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gonaut/Desktop/"/>
    </mc:Choice>
  </mc:AlternateContent>
  <xr:revisionPtr revIDLastSave="0" documentId="13_ncr:1_{777EB2DA-E1A1-9B44-B19C-24363099BE08}" xr6:coauthVersionLast="41" xr6:coauthVersionMax="41" xr10:uidLastSave="{00000000-0000-0000-0000-000000000000}"/>
  <bookViews>
    <workbookView xWindow="0" yWindow="460" windowWidth="25600" windowHeight="15540" tabRatio="500" xr2:uid="{00000000-000D-0000-FFFF-FFFF00000000}"/>
  </bookViews>
  <sheets>
    <sheet name="Retirement Calculator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6" i="5" l="1"/>
  <c r="F6" i="5" l="1"/>
  <c r="G6" i="5" s="1"/>
  <c r="A6" i="5" l="1"/>
  <c r="A7" i="5" s="1"/>
  <c r="B6" i="5"/>
  <c r="M6" i="5" s="1"/>
  <c r="O6" i="5"/>
  <c r="D6" i="5"/>
  <c r="E6" i="5" s="1"/>
  <c r="C7" i="5"/>
  <c r="I7" i="5"/>
  <c r="N6" i="5"/>
  <c r="Q7" i="5" l="1"/>
  <c r="F7" i="5"/>
  <c r="G7" i="5" s="1"/>
  <c r="B7" i="5"/>
  <c r="J6" i="5"/>
  <c r="K6" i="5"/>
  <c r="L6" i="5"/>
  <c r="D7" i="5"/>
  <c r="E7" i="5" s="1"/>
  <c r="I8" i="5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M7" i="5" l="1"/>
  <c r="L7" i="5"/>
  <c r="K7" i="5"/>
  <c r="J7" i="5"/>
  <c r="N7" i="5"/>
  <c r="O7" i="5"/>
  <c r="I44" i="5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B8" i="5"/>
  <c r="C8" i="5"/>
  <c r="Q8" i="5" s="1"/>
  <c r="J8" i="5" l="1"/>
  <c r="K8" i="5"/>
  <c r="B9" i="5"/>
  <c r="L8" i="5"/>
  <c r="F8" i="5"/>
  <c r="G8" i="5" s="1"/>
  <c r="M8" i="5" s="1"/>
  <c r="D8" i="5"/>
  <c r="E8" i="5" s="1"/>
  <c r="C9" i="5"/>
  <c r="Q9" i="5" s="1"/>
  <c r="K9" i="5" l="1"/>
  <c r="J9" i="5"/>
  <c r="B10" i="5"/>
  <c r="L9" i="5"/>
  <c r="N8" i="5"/>
  <c r="O8" i="5"/>
  <c r="F9" i="5"/>
  <c r="G9" i="5" s="1"/>
  <c r="M9" i="5" s="1"/>
  <c r="D9" i="5"/>
  <c r="E9" i="5" s="1"/>
  <c r="C10" i="5"/>
  <c r="Q10" i="5" s="1"/>
  <c r="C11" i="5" l="1"/>
  <c r="Q11" i="5" s="1"/>
  <c r="J10" i="5"/>
  <c r="K10" i="5"/>
  <c r="B11" i="5"/>
  <c r="L10" i="5"/>
  <c r="N9" i="5"/>
  <c r="O9" i="5"/>
  <c r="F10" i="5"/>
  <c r="G10" i="5" s="1"/>
  <c r="M10" i="5" s="1"/>
  <c r="D10" i="5"/>
  <c r="E10" i="5" s="1"/>
  <c r="K11" i="5" l="1"/>
  <c r="J11" i="5"/>
  <c r="B12" i="5"/>
  <c r="L11" i="5"/>
  <c r="N10" i="5"/>
  <c r="O10" i="5"/>
  <c r="D11" i="5"/>
  <c r="E11" i="5" s="1"/>
  <c r="F11" i="5"/>
  <c r="G11" i="5" s="1"/>
  <c r="M11" i="5" s="1"/>
  <c r="C12" i="5"/>
  <c r="Q12" i="5" s="1"/>
  <c r="K12" i="5" l="1"/>
  <c r="J12" i="5"/>
  <c r="B13" i="5"/>
  <c r="L12" i="5"/>
  <c r="N11" i="5"/>
  <c r="O11" i="5"/>
  <c r="F12" i="5"/>
  <c r="G12" i="5" s="1"/>
  <c r="M12" i="5" s="1"/>
  <c r="D12" i="5"/>
  <c r="E12" i="5" s="1"/>
  <c r="C13" i="5"/>
  <c r="Q13" i="5" s="1"/>
  <c r="K13" i="5" l="1"/>
  <c r="J13" i="5"/>
  <c r="B14" i="5"/>
  <c r="L13" i="5"/>
  <c r="N12" i="5"/>
  <c r="O12" i="5"/>
  <c r="F13" i="5"/>
  <c r="G13" i="5" s="1"/>
  <c r="M13" i="5" s="1"/>
  <c r="D13" i="5"/>
  <c r="E13" i="5" s="1"/>
  <c r="C14" i="5"/>
  <c r="Q14" i="5" s="1"/>
  <c r="J14" i="5" l="1"/>
  <c r="K14" i="5"/>
  <c r="B15" i="5"/>
  <c r="L14" i="5"/>
  <c r="N13" i="5"/>
  <c r="O13" i="5"/>
  <c r="F14" i="5"/>
  <c r="G14" i="5" s="1"/>
  <c r="M14" i="5" s="1"/>
  <c r="D14" i="5"/>
  <c r="E14" i="5" s="1"/>
  <c r="C15" i="5"/>
  <c r="Q15" i="5" s="1"/>
  <c r="K15" i="5" l="1"/>
  <c r="J15" i="5"/>
  <c r="B16" i="5"/>
  <c r="L15" i="5"/>
  <c r="N14" i="5"/>
  <c r="O14" i="5"/>
  <c r="D15" i="5"/>
  <c r="E15" i="5" s="1"/>
  <c r="F15" i="5"/>
  <c r="G15" i="5" s="1"/>
  <c r="M15" i="5" s="1"/>
  <c r="C16" i="5"/>
  <c r="Q16" i="5" s="1"/>
  <c r="J16" i="5" l="1"/>
  <c r="K16" i="5"/>
  <c r="B17" i="5"/>
  <c r="L16" i="5"/>
  <c r="N15" i="5"/>
  <c r="O15" i="5"/>
  <c r="F16" i="5"/>
  <c r="G16" i="5" s="1"/>
  <c r="M16" i="5" s="1"/>
  <c r="D16" i="5"/>
  <c r="E16" i="5" s="1"/>
  <c r="C17" i="5"/>
  <c r="Q17" i="5" s="1"/>
  <c r="K17" i="5" l="1"/>
  <c r="J17" i="5"/>
  <c r="B18" i="5"/>
  <c r="L17" i="5"/>
  <c r="N16" i="5"/>
  <c r="O16" i="5"/>
  <c r="F17" i="5"/>
  <c r="G17" i="5" s="1"/>
  <c r="M17" i="5" s="1"/>
  <c r="D17" i="5"/>
  <c r="E17" i="5" s="1"/>
  <c r="C18" i="5"/>
  <c r="Q18" i="5" s="1"/>
  <c r="J18" i="5" l="1"/>
  <c r="K18" i="5"/>
  <c r="B19" i="5"/>
  <c r="L18" i="5"/>
  <c r="N17" i="5"/>
  <c r="O17" i="5"/>
  <c r="D18" i="5"/>
  <c r="E18" i="5" s="1"/>
  <c r="F18" i="5"/>
  <c r="G18" i="5" s="1"/>
  <c r="M18" i="5" s="1"/>
  <c r="C19" i="5"/>
  <c r="Q19" i="5" s="1"/>
  <c r="K19" i="5" l="1"/>
  <c r="J19" i="5"/>
  <c r="B20" i="5"/>
  <c r="L19" i="5"/>
  <c r="N18" i="5"/>
  <c r="O18" i="5"/>
  <c r="D19" i="5"/>
  <c r="E19" i="5" s="1"/>
  <c r="F19" i="5"/>
  <c r="G19" i="5" s="1"/>
  <c r="M19" i="5" s="1"/>
  <c r="C20" i="5"/>
  <c r="Q20" i="5" s="1"/>
  <c r="K20" i="5" l="1"/>
  <c r="J20" i="5"/>
  <c r="B21" i="5"/>
  <c r="L20" i="5"/>
  <c r="N19" i="5"/>
  <c r="O19" i="5"/>
  <c r="F20" i="5"/>
  <c r="G20" i="5" s="1"/>
  <c r="M20" i="5" s="1"/>
  <c r="D20" i="5"/>
  <c r="E20" i="5" s="1"/>
  <c r="C21" i="5"/>
  <c r="Q21" i="5" s="1"/>
  <c r="K21" i="5" l="1"/>
  <c r="J21" i="5"/>
  <c r="B22" i="5"/>
  <c r="L21" i="5"/>
  <c r="N20" i="5"/>
  <c r="O20" i="5"/>
  <c r="F21" i="5"/>
  <c r="G21" i="5" s="1"/>
  <c r="M21" i="5" s="1"/>
  <c r="D21" i="5"/>
  <c r="E21" i="5" s="1"/>
  <c r="C22" i="5"/>
  <c r="Q22" i="5" s="1"/>
  <c r="J22" i="5" l="1"/>
  <c r="K22" i="5"/>
  <c r="B23" i="5"/>
  <c r="L22" i="5"/>
  <c r="N21" i="5"/>
  <c r="O21" i="5"/>
  <c r="D22" i="5"/>
  <c r="E22" i="5" s="1"/>
  <c r="F22" i="5"/>
  <c r="G22" i="5" s="1"/>
  <c r="M22" i="5" s="1"/>
  <c r="C23" i="5"/>
  <c r="Q23" i="5" s="1"/>
  <c r="B24" i="5" l="1"/>
  <c r="N22" i="5"/>
  <c r="O22" i="5"/>
  <c r="D23" i="5"/>
  <c r="E23" i="5" s="1"/>
  <c r="F23" i="5"/>
  <c r="G23" i="5" s="1"/>
  <c r="M23" i="5" s="1"/>
  <c r="C24" i="5"/>
  <c r="Q24" i="5" s="1"/>
  <c r="L23" i="5" l="1"/>
  <c r="J23" i="5"/>
  <c r="K23" i="5"/>
  <c r="B25" i="5"/>
  <c r="N23" i="5"/>
  <c r="O23" i="5"/>
  <c r="F24" i="5"/>
  <c r="G24" i="5" s="1"/>
  <c r="M24" i="5" s="1"/>
  <c r="D24" i="5"/>
  <c r="E24" i="5" s="1"/>
  <c r="C25" i="5"/>
  <c r="Q25" i="5" s="1"/>
  <c r="L24" i="5" l="1"/>
  <c r="J24" i="5"/>
  <c r="K24" i="5"/>
  <c r="K25" i="5"/>
  <c r="J25" i="5"/>
  <c r="B26" i="5"/>
  <c r="L25" i="5"/>
  <c r="N24" i="5"/>
  <c r="O24" i="5"/>
  <c r="F25" i="5"/>
  <c r="G25" i="5" s="1"/>
  <c r="M25" i="5" s="1"/>
  <c r="D25" i="5"/>
  <c r="E25" i="5" s="1"/>
  <c r="C26" i="5"/>
  <c r="Q26" i="5" s="1"/>
  <c r="B27" i="5" l="1"/>
  <c r="N25" i="5"/>
  <c r="O25" i="5"/>
  <c r="F26" i="5"/>
  <c r="G26" i="5" s="1"/>
  <c r="M26" i="5" s="1"/>
  <c r="D26" i="5"/>
  <c r="E26" i="5" s="1"/>
  <c r="C27" i="5"/>
  <c r="Q27" i="5" s="1"/>
  <c r="L26" i="5" l="1"/>
  <c r="K26" i="5"/>
  <c r="J26" i="5"/>
  <c r="B28" i="5"/>
  <c r="N26" i="5"/>
  <c r="O26" i="5"/>
  <c r="D27" i="5"/>
  <c r="E27" i="5" s="1"/>
  <c r="F27" i="5"/>
  <c r="G27" i="5" s="1"/>
  <c r="M27" i="5" s="1"/>
  <c r="C28" i="5"/>
  <c r="Q28" i="5" s="1"/>
  <c r="K27" i="5" l="1"/>
  <c r="L27" i="5"/>
  <c r="J27" i="5"/>
  <c r="K28" i="5"/>
  <c r="J28" i="5"/>
  <c r="B29" i="5"/>
  <c r="L28" i="5"/>
  <c r="N27" i="5"/>
  <c r="O27" i="5"/>
  <c r="F28" i="5"/>
  <c r="G28" i="5" s="1"/>
  <c r="M28" i="5" s="1"/>
  <c r="D28" i="5"/>
  <c r="E28" i="5" s="1"/>
  <c r="C29" i="5"/>
  <c r="Q29" i="5" s="1"/>
  <c r="B30" i="5" l="1"/>
  <c r="N28" i="5"/>
  <c r="O28" i="5"/>
  <c r="F29" i="5"/>
  <c r="G29" i="5" s="1"/>
  <c r="M29" i="5" s="1"/>
  <c r="D29" i="5"/>
  <c r="E29" i="5" s="1"/>
  <c r="C30" i="5"/>
  <c r="Q30" i="5" s="1"/>
  <c r="L29" i="5" l="1"/>
  <c r="K29" i="5"/>
  <c r="J29" i="5"/>
  <c r="B31" i="5"/>
  <c r="L30" i="5"/>
  <c r="N29" i="5"/>
  <c r="O29" i="5"/>
  <c r="F30" i="5"/>
  <c r="G30" i="5" s="1"/>
  <c r="M30" i="5" s="1"/>
  <c r="D30" i="5"/>
  <c r="E30" i="5" s="1"/>
  <c r="C31" i="5"/>
  <c r="Q31" i="5" s="1"/>
  <c r="K30" i="5" l="1"/>
  <c r="J30" i="5"/>
  <c r="J31" i="5"/>
  <c r="B32" i="5"/>
  <c r="N30" i="5"/>
  <c r="O30" i="5"/>
  <c r="D31" i="5"/>
  <c r="E31" i="5" s="1"/>
  <c r="F31" i="5"/>
  <c r="G31" i="5" s="1"/>
  <c r="M31" i="5" s="1"/>
  <c r="C32" i="5"/>
  <c r="Q32" i="5" s="1"/>
  <c r="K31" i="5" l="1"/>
  <c r="L31" i="5"/>
  <c r="B33" i="5"/>
  <c r="N31" i="5"/>
  <c r="O31" i="5"/>
  <c r="F32" i="5"/>
  <c r="G32" i="5" s="1"/>
  <c r="M32" i="5" s="1"/>
  <c r="D32" i="5"/>
  <c r="E32" i="5" s="1"/>
  <c r="C33" i="5"/>
  <c r="Q33" i="5" s="1"/>
  <c r="K32" i="5" l="1"/>
  <c r="J32" i="5"/>
  <c r="L32" i="5"/>
  <c r="B34" i="5"/>
  <c r="N32" i="5"/>
  <c r="O32" i="5"/>
  <c r="F33" i="5"/>
  <c r="G33" i="5" s="1"/>
  <c r="J33" i="5" s="1"/>
  <c r="D33" i="5"/>
  <c r="E33" i="5" s="1"/>
  <c r="C34" i="5"/>
  <c r="Q34" i="5" s="1"/>
  <c r="K33" i="5" l="1"/>
  <c r="L33" i="5"/>
  <c r="M33" i="5"/>
  <c r="B35" i="5"/>
  <c r="N33" i="5"/>
  <c r="O33" i="5"/>
  <c r="F34" i="5"/>
  <c r="G34" i="5" s="1"/>
  <c r="K34" i="5" s="1"/>
  <c r="D34" i="5"/>
  <c r="E34" i="5" s="1"/>
  <c r="C35" i="5"/>
  <c r="Q35" i="5" s="1"/>
  <c r="J34" i="5" l="1"/>
  <c r="L34" i="5"/>
  <c r="M34" i="5"/>
  <c r="B36" i="5"/>
  <c r="N34" i="5"/>
  <c r="O34" i="5"/>
  <c r="D35" i="5"/>
  <c r="E35" i="5" s="1"/>
  <c r="F35" i="5"/>
  <c r="G35" i="5" s="1"/>
  <c r="J35" i="5" s="1"/>
  <c r="C36" i="5"/>
  <c r="Q36" i="5" s="1"/>
  <c r="K35" i="5" l="1"/>
  <c r="L35" i="5"/>
  <c r="M35" i="5"/>
  <c r="B37" i="5"/>
  <c r="N35" i="5"/>
  <c r="O35" i="5"/>
  <c r="F36" i="5"/>
  <c r="G36" i="5" s="1"/>
  <c r="K36" i="5" s="1"/>
  <c r="D36" i="5"/>
  <c r="E36" i="5" s="1"/>
  <c r="C37" i="5"/>
  <c r="Q37" i="5" s="1"/>
  <c r="J36" i="5" l="1"/>
  <c r="L36" i="5"/>
  <c r="M36" i="5"/>
  <c r="B38" i="5"/>
  <c r="N36" i="5"/>
  <c r="O36" i="5"/>
  <c r="F37" i="5"/>
  <c r="G37" i="5" s="1"/>
  <c r="K37" i="5" s="1"/>
  <c r="D37" i="5"/>
  <c r="E37" i="5" s="1"/>
  <c r="C38" i="5"/>
  <c r="Q38" i="5" s="1"/>
  <c r="J37" i="5" l="1"/>
  <c r="L37" i="5"/>
  <c r="M37" i="5"/>
  <c r="B39" i="5"/>
  <c r="N37" i="5"/>
  <c r="O37" i="5"/>
  <c r="F38" i="5"/>
  <c r="G38" i="5" s="1"/>
  <c r="M38" i="5" s="1"/>
  <c r="D38" i="5"/>
  <c r="E38" i="5" s="1"/>
  <c r="C39" i="5"/>
  <c r="Q39" i="5" s="1"/>
  <c r="J38" i="5" l="1"/>
  <c r="K38" i="5"/>
  <c r="L38" i="5"/>
  <c r="B40" i="5"/>
  <c r="N38" i="5"/>
  <c r="O38" i="5"/>
  <c r="D39" i="5"/>
  <c r="E39" i="5" s="1"/>
  <c r="F39" i="5"/>
  <c r="G39" i="5" s="1"/>
  <c r="K39" i="5" s="1"/>
  <c r="C40" i="5"/>
  <c r="Q40" i="5" s="1"/>
  <c r="J39" i="5" l="1"/>
  <c r="L39" i="5"/>
  <c r="M39" i="5"/>
  <c r="B41" i="5"/>
  <c r="N39" i="5"/>
  <c r="O39" i="5"/>
  <c r="F40" i="5"/>
  <c r="G40" i="5" s="1"/>
  <c r="J40" i="5" s="1"/>
  <c r="D40" i="5"/>
  <c r="E40" i="5" s="1"/>
  <c r="C41" i="5"/>
  <c r="Q41" i="5" s="1"/>
  <c r="K40" i="5" l="1"/>
  <c r="L40" i="5"/>
  <c r="M40" i="5"/>
  <c r="B42" i="5"/>
  <c r="N40" i="5"/>
  <c r="O40" i="5"/>
  <c r="F41" i="5"/>
  <c r="G41" i="5" s="1"/>
  <c r="K41" i="5" s="1"/>
  <c r="D41" i="5"/>
  <c r="E41" i="5" s="1"/>
  <c r="C42" i="5"/>
  <c r="Q42" i="5" s="1"/>
  <c r="J41" i="5" l="1"/>
  <c r="L41" i="5"/>
  <c r="M41" i="5"/>
  <c r="B43" i="5"/>
  <c r="N41" i="5"/>
  <c r="O41" i="5"/>
  <c r="F42" i="5"/>
  <c r="G42" i="5" s="1"/>
  <c r="K42" i="5" s="1"/>
  <c r="D42" i="5"/>
  <c r="E42" i="5" s="1"/>
  <c r="C43" i="5"/>
  <c r="Q43" i="5" s="1"/>
  <c r="J42" i="5" l="1"/>
  <c r="L42" i="5"/>
  <c r="M42" i="5"/>
  <c r="B44" i="5"/>
  <c r="N42" i="5"/>
  <c r="O42" i="5"/>
  <c r="D43" i="5"/>
  <c r="E43" i="5" s="1"/>
  <c r="F43" i="5"/>
  <c r="G43" i="5" s="1"/>
  <c r="C44" i="5"/>
  <c r="Q44" i="5" s="1"/>
  <c r="O43" i="5" l="1"/>
  <c r="M43" i="5"/>
  <c r="J43" i="5"/>
  <c r="C45" i="5"/>
  <c r="Q45" i="5" s="1"/>
  <c r="B45" i="5"/>
  <c r="K43" i="5"/>
  <c r="L43" i="5"/>
  <c r="F44" i="5"/>
  <c r="G44" i="5" s="1"/>
  <c r="D44" i="5"/>
  <c r="E44" i="5" s="1"/>
  <c r="N43" i="5"/>
  <c r="D45" i="5" l="1"/>
  <c r="O44" i="5"/>
  <c r="M44" i="5"/>
  <c r="C46" i="5"/>
  <c r="Q46" i="5" s="1"/>
  <c r="F45" i="5"/>
  <c r="G45" i="5" s="1"/>
  <c r="J44" i="5"/>
  <c r="K44" i="5"/>
  <c r="B46" i="5"/>
  <c r="E45" i="5"/>
  <c r="L44" i="5"/>
  <c r="N44" i="5"/>
  <c r="D46" i="5" l="1"/>
  <c r="E46" i="5" s="1"/>
  <c r="J45" i="5"/>
  <c r="M45" i="5"/>
  <c r="F46" i="5"/>
  <c r="G46" i="5" s="1"/>
  <c r="M46" i="5" s="1"/>
  <c r="C47" i="5"/>
  <c r="Q47" i="5" s="1"/>
  <c r="K45" i="5"/>
  <c r="B47" i="5"/>
  <c r="N45" i="5"/>
  <c r="O45" i="5"/>
  <c r="L45" i="5"/>
  <c r="C48" i="5" l="1"/>
  <c r="Q48" i="5" s="1"/>
  <c r="F47" i="5"/>
  <c r="G47" i="5" s="1"/>
  <c r="K47" i="5" s="1"/>
  <c r="J46" i="5"/>
  <c r="D47" i="5"/>
  <c r="E47" i="5" s="1"/>
  <c r="K46" i="5"/>
  <c r="B48" i="5"/>
  <c r="F48" i="5"/>
  <c r="C49" i="5"/>
  <c r="Q49" i="5" s="1"/>
  <c r="D48" i="5"/>
  <c r="L46" i="5"/>
  <c r="N46" i="5"/>
  <c r="O46" i="5"/>
  <c r="J47" i="5" l="1"/>
  <c r="M47" i="5"/>
  <c r="B49" i="5"/>
  <c r="E48" i="5"/>
  <c r="L47" i="5"/>
  <c r="N47" i="5"/>
  <c r="G48" i="5"/>
  <c r="O47" i="5"/>
  <c r="F49" i="5"/>
  <c r="D49" i="5"/>
  <c r="C50" i="5"/>
  <c r="Q50" i="5" s="1"/>
  <c r="K48" i="5" l="1"/>
  <c r="M48" i="5"/>
  <c r="J48" i="5"/>
  <c r="B50" i="5"/>
  <c r="E49" i="5"/>
  <c r="G49" i="5"/>
  <c r="F50" i="5"/>
  <c r="D50" i="5"/>
  <c r="C51" i="5"/>
  <c r="Q51" i="5" s="1"/>
  <c r="L48" i="5"/>
  <c r="N48" i="5"/>
  <c r="O48" i="5"/>
  <c r="O49" i="5" l="1"/>
  <c r="M49" i="5"/>
  <c r="J49" i="5"/>
  <c r="K49" i="5"/>
  <c r="B51" i="5"/>
  <c r="E50" i="5"/>
  <c r="N49" i="5"/>
  <c r="L49" i="5"/>
  <c r="G50" i="5"/>
  <c r="F51" i="5"/>
  <c r="C52" i="5"/>
  <c r="Q52" i="5" s="1"/>
  <c r="D51" i="5"/>
  <c r="K50" i="5" l="1"/>
  <c r="M50" i="5"/>
  <c r="J50" i="5"/>
  <c r="B52" i="5"/>
  <c r="E51" i="5"/>
  <c r="N50" i="5"/>
  <c r="L50" i="5"/>
  <c r="O50" i="5"/>
  <c r="G51" i="5"/>
  <c r="M51" i="5" s="1"/>
  <c r="D52" i="5"/>
  <c r="F52" i="5"/>
  <c r="C53" i="5"/>
  <c r="Q53" i="5" s="1"/>
  <c r="K51" i="5" l="1"/>
  <c r="J51" i="5"/>
  <c r="B53" i="5"/>
  <c r="E52" i="5"/>
  <c r="O51" i="5"/>
  <c r="N51" i="5"/>
  <c r="G52" i="5"/>
  <c r="L51" i="5"/>
  <c r="F53" i="5"/>
  <c r="D53" i="5"/>
  <c r="C54" i="5"/>
  <c r="Q54" i="5" s="1"/>
  <c r="K52" i="5" l="1"/>
  <c r="M52" i="5"/>
  <c r="J52" i="5"/>
  <c r="B54" i="5"/>
  <c r="E53" i="5"/>
  <c r="O52" i="5"/>
  <c r="N52" i="5"/>
  <c r="L52" i="5"/>
  <c r="G53" i="5"/>
  <c r="F54" i="5"/>
  <c r="D54" i="5"/>
  <c r="C55" i="5"/>
  <c r="Q55" i="5" s="1"/>
  <c r="O53" i="5" l="1"/>
  <c r="M53" i="5"/>
  <c r="J53" i="5"/>
  <c r="K53" i="5"/>
  <c r="B55" i="5"/>
  <c r="E54" i="5"/>
  <c r="N53" i="5"/>
  <c r="L53" i="5"/>
  <c r="G54" i="5"/>
  <c r="C56" i="5"/>
  <c r="Q56" i="5" s="1"/>
  <c r="F55" i="5"/>
  <c r="D55" i="5"/>
  <c r="N54" i="5" l="1"/>
  <c r="M54" i="5"/>
  <c r="K54" i="5"/>
  <c r="B56" i="5"/>
  <c r="J54" i="5"/>
  <c r="E55" i="5"/>
  <c r="G55" i="5"/>
  <c r="L54" i="5"/>
  <c r="O54" i="5"/>
  <c r="C57" i="5"/>
  <c r="Q57" i="5" s="1"/>
  <c r="F56" i="5"/>
  <c r="D56" i="5"/>
  <c r="O55" i="5" l="1"/>
  <c r="M55" i="5"/>
  <c r="J55" i="5"/>
  <c r="K55" i="5"/>
  <c r="B57" i="5"/>
  <c r="E56" i="5"/>
  <c r="G56" i="5"/>
  <c r="N55" i="5"/>
  <c r="L55" i="5"/>
  <c r="C58" i="5"/>
  <c r="Q58" i="5" s="1"/>
  <c r="F57" i="5"/>
  <c r="D57" i="5"/>
  <c r="O56" i="5" l="1"/>
  <c r="M56" i="5"/>
  <c r="K56" i="5"/>
  <c r="B58" i="5"/>
  <c r="J56" i="5"/>
  <c r="E57" i="5"/>
  <c r="N56" i="5"/>
  <c r="L56" i="5"/>
  <c r="G57" i="5"/>
  <c r="C59" i="5"/>
  <c r="Q59" i="5" s="1"/>
  <c r="F58" i="5"/>
  <c r="D58" i="5"/>
  <c r="O57" i="5" l="1"/>
  <c r="M57" i="5"/>
  <c r="K57" i="5"/>
  <c r="J57" i="5"/>
  <c r="B59" i="5"/>
  <c r="E58" i="5"/>
  <c r="L57" i="5"/>
  <c r="G58" i="5"/>
  <c r="N57" i="5"/>
  <c r="C60" i="5"/>
  <c r="Q60" i="5" s="1"/>
  <c r="F59" i="5"/>
  <c r="D59" i="5"/>
  <c r="E59" i="5" l="1"/>
  <c r="N58" i="5"/>
  <c r="M58" i="5"/>
  <c r="K58" i="5"/>
  <c r="B60" i="5"/>
  <c r="J58" i="5"/>
  <c r="L58" i="5"/>
  <c r="G59" i="5"/>
  <c r="J59" i="5" s="1"/>
  <c r="O58" i="5"/>
  <c r="F60" i="5"/>
  <c r="D60" i="5"/>
  <c r="C61" i="5"/>
  <c r="Q61" i="5" s="1"/>
  <c r="E60" i="5" l="1"/>
  <c r="K59" i="5"/>
  <c r="M59" i="5"/>
  <c r="B61" i="5"/>
  <c r="O59" i="5"/>
  <c r="N59" i="5"/>
  <c r="L59" i="5"/>
  <c r="G60" i="5"/>
  <c r="D61" i="5"/>
  <c r="F61" i="5"/>
  <c r="E61" i="5" l="1"/>
  <c r="K60" i="5"/>
  <c r="M60" i="5"/>
  <c r="J60" i="5"/>
  <c r="N60" i="5"/>
  <c r="O60" i="5"/>
  <c r="L60" i="5"/>
  <c r="G61" i="5"/>
  <c r="L61" i="5" l="1"/>
  <c r="M61" i="5"/>
  <c r="J61" i="5"/>
  <c r="K61" i="5"/>
  <c r="O61" i="5"/>
  <c r="N61" i="5"/>
</calcChain>
</file>

<file path=xl/sharedStrings.xml><?xml version="1.0" encoding="utf-8"?>
<sst xmlns="http://schemas.openxmlformats.org/spreadsheetml/2006/main" count="48" uniqueCount="46">
  <si>
    <t>Salary</t>
  </si>
  <si>
    <t>Retirement Contribution:</t>
  </si>
  <si>
    <t>Savings Total:</t>
  </si>
  <si>
    <t>Age</t>
  </si>
  <si>
    <t>Year</t>
  </si>
  <si>
    <t>Avg. Investments Return</t>
  </si>
  <si>
    <t>Starting Year</t>
  </si>
  <si>
    <t>Kid(s) Start College</t>
  </si>
  <si>
    <t>Kid(s) Finished with College</t>
  </si>
  <si>
    <t>Future Value of Dollar</t>
  </si>
  <si>
    <t>Retirement Total:</t>
  </si>
  <si>
    <t>IRA &amp; 401K Withdrawl Allowed</t>
  </si>
  <si>
    <t>Planned Inheritence After Death:</t>
  </si>
  <si>
    <t>Savings Contribution:</t>
  </si>
  <si>
    <t>Starting Age</t>
  </si>
  <si>
    <t>Retirement Calculator</t>
  </si>
  <si>
    <t>Notes and Adjustments</t>
  </si>
  <si>
    <t>(In Current Years Dollars)</t>
  </si>
  <si>
    <t>401K Match:</t>
  </si>
  <si>
    <t xml:space="preserve">4% Rule Withdrawl Rate </t>
  </si>
  <si>
    <t>Starting Savings:</t>
  </si>
  <si>
    <t>Bonus Variable Income:</t>
  </si>
  <si>
    <t>Starting Retire:</t>
  </si>
  <si>
    <t>Variable Income Investment Rate:</t>
  </si>
  <si>
    <t>Retirement Investment Rate:</t>
  </si>
  <si>
    <t>Savings Investment Rate</t>
  </si>
  <si>
    <t>Avg. Salary Increase:</t>
  </si>
  <si>
    <t>Avg. Inflation Rate:</t>
  </si>
  <si>
    <t>Variable Income Savings Rate:</t>
  </si>
  <si>
    <t>Avg. Savings Return</t>
  </si>
  <si>
    <t>Age 40 $1,000,000 Investment Goal</t>
  </si>
  <si>
    <t>Expected Age of Death:</t>
  </si>
  <si>
    <t>Starting Base Income:</t>
  </si>
  <si>
    <t>55 Yrs of Working</t>
  </si>
  <si>
    <t>Expected Retirement Age</t>
  </si>
  <si>
    <t>Start Career</t>
  </si>
  <si>
    <t>MBA Yr 1 ($15,000)</t>
  </si>
  <si>
    <t>MBA Yr 2 ($15,000)</t>
  </si>
  <si>
    <t>Finish MBA (10% Salary Increase)</t>
  </si>
  <si>
    <t>(In Current Year's Dollars)</t>
  </si>
  <si>
    <t>(Adj. for Avg. Lifetime Inflation)</t>
  </si>
  <si>
    <t>Other Item(s):</t>
  </si>
  <si>
    <t xml:space="preserve">Annual Retirement Lifetime Withdrawl Rate </t>
  </si>
  <si>
    <t>40 Years Worked</t>
  </si>
  <si>
    <t>(Adj. for Current Purchasing Power)</t>
  </si>
  <si>
    <t>Salary Adjusted for Current Purchasing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</si>
</sst>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71" formatCode="_([$$-409]* #,##0.00_);_([$$-409]* \(#,##0.00\);_([$$-409]* &quot;-&quot;??_);_(@_)"/>
    <numFmt numFmtId="172" formatCode="_(* #,##0_);_(* \(#,##0\);_(* &quot;-&quot;??_);_(@_)"/>
  </numFmts>
  <fonts count="12">
    <font>
      <sz val="12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b/>
      <sz val="12"/>
      <name val="Times"/>
      <family val="1"/>
    </font>
    <font>
      <sz val="12"/>
      <name val="Times"/>
      <family val="1"/>
    </font>
    <font>
      <b/>
      <sz val="12"/>
      <name val="Times Roman"/>
    </font>
    <font>
      <sz val="12"/>
      <name val="Times Roman"/>
    </font>
    <font>
      <b/>
      <i/>
      <sz val="12"/>
      <name val="Times"/>
      <family val="1"/>
    </font>
    <font>
      <b/>
      <sz val="14"/>
      <name val="Times"/>
      <family val="1"/>
    </font>
    <font>
      <b/>
      <sz val="18"/>
      <name val="Times"/>
      <family val="1"/>
    </font>
    <font>
      <b/>
      <sz val="20"/>
      <name val="Times Roman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9" fontId="1" fillId="0" borderId="0" applyBorder="0" applyProtection="0"/>
    <xf numFmtId="0" fontId="2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62">
    <xf numFmtId="0" fontId="0" fillId="0" borderId="0" xfId="0"/>
    <xf numFmtId="0" fontId="0" fillId="0" borderId="6" xfId="0" applyBorder="1"/>
    <xf numFmtId="0" fontId="8" fillId="0" borderId="7" xfId="0" applyFont="1" applyBorder="1" applyAlignment="1">
      <alignment horizontal="center" vertical="center"/>
    </xf>
    <xf numFmtId="0" fontId="4" fillId="0" borderId="8" xfId="0" applyFont="1" applyBorder="1" applyAlignment="1"/>
    <xf numFmtId="0" fontId="4" fillId="0" borderId="6" xfId="0" applyFont="1" applyBorder="1" applyAlignment="1"/>
    <xf numFmtId="0" fontId="4" fillId="0" borderId="7" xfId="0" applyFont="1" applyBorder="1" applyAlignment="1"/>
    <xf numFmtId="0" fontId="4" fillId="0" borderId="5" xfId="0" applyFont="1" applyBorder="1" applyAlignment="1"/>
    <xf numFmtId="0" fontId="4" fillId="0" borderId="1" xfId="0" applyFont="1" applyBorder="1" applyAlignment="1"/>
    <xf numFmtId="0" fontId="4" fillId="0" borderId="3" xfId="0" applyFont="1" applyBorder="1" applyAlignment="1"/>
    <xf numFmtId="171" fontId="5" fillId="0" borderId="0" xfId="3" applyNumberFormat="1" applyFont="1" applyFill="1" applyBorder="1" applyAlignment="1">
      <alignment horizontal="left"/>
    </xf>
    <xf numFmtId="0" fontId="7" fillId="0" borderId="0" xfId="0" applyFont="1" applyFill="1" applyBorder="1"/>
    <xf numFmtId="0" fontId="4" fillId="0" borderId="9" xfId="0" applyFont="1" applyBorder="1" applyAlignment="1"/>
    <xf numFmtId="0" fontId="4" fillId="0" borderId="0" xfId="0" applyFont="1" applyBorder="1" applyAlignment="1"/>
    <xf numFmtId="0" fontId="6" fillId="0" borderId="0" xfId="0" applyFont="1" applyBorder="1"/>
    <xf numFmtId="0" fontId="8" fillId="0" borderId="4" xfId="0" applyFont="1" applyBorder="1" applyAlignment="1">
      <alignment horizontal="center" vertical="center"/>
    </xf>
    <xf numFmtId="171" fontId="5" fillId="2" borderId="8" xfId="3" applyNumberFormat="1" applyFont="1" applyFill="1" applyBorder="1" applyAlignment="1"/>
    <xf numFmtId="10" fontId="7" fillId="2" borderId="0" xfId="1" applyNumberFormat="1" applyFont="1" applyFill="1" applyBorder="1"/>
    <xf numFmtId="10" fontId="7" fillId="2" borderId="6" xfId="1" applyNumberFormat="1" applyFont="1" applyFill="1" applyBorder="1"/>
    <xf numFmtId="10" fontId="7" fillId="2" borderId="8" xfId="1" applyNumberFormat="1" applyFont="1" applyFill="1" applyBorder="1"/>
    <xf numFmtId="171" fontId="5" fillId="2" borderId="6" xfId="3" applyNumberFormat="1" applyFont="1" applyFill="1" applyBorder="1" applyAlignment="1"/>
    <xf numFmtId="172" fontId="7" fillId="2" borderId="8" xfId="4" applyNumberFormat="1" applyFont="1" applyFill="1" applyBorder="1"/>
    <xf numFmtId="171" fontId="5" fillId="2" borderId="10" xfId="3" applyNumberFormat="1" applyFont="1" applyFill="1" applyBorder="1" applyAlignment="1"/>
    <xf numFmtId="0" fontId="0" fillId="0" borderId="0" xfId="0" applyFill="1" applyBorder="1"/>
    <xf numFmtId="0" fontId="7" fillId="2" borderId="0" xfId="0" applyFont="1" applyFill="1" applyBorder="1"/>
    <xf numFmtId="172" fontId="7" fillId="2" borderId="10" xfId="4" applyNumberFormat="1" applyFont="1" applyFill="1" applyBorder="1"/>
    <xf numFmtId="0" fontId="7" fillId="3" borderId="0" xfId="0" applyFont="1" applyFill="1" applyBorder="1"/>
    <xf numFmtId="0" fontId="7" fillId="4" borderId="0" xfId="0" applyFont="1" applyFill="1" applyBorder="1"/>
    <xf numFmtId="0" fontId="9" fillId="0" borderId="0" xfId="0" applyFont="1" applyBorder="1" applyAlignment="1">
      <alignment vertical="center"/>
    </xf>
    <xf numFmtId="172" fontId="7" fillId="2" borderId="2" xfId="4" applyNumberFormat="1" applyFont="1" applyFill="1" applyBorder="1"/>
    <xf numFmtId="0" fontId="0" fillId="0" borderId="0" xfId="0" applyBorder="1"/>
    <xf numFmtId="0" fontId="8" fillId="0" borderId="5" xfId="0" applyFont="1" applyBorder="1" applyAlignment="1">
      <alignment horizontal="center" vertical="center"/>
    </xf>
    <xf numFmtId="171" fontId="5" fillId="0" borderId="14" xfId="3" applyNumberFormat="1" applyFont="1" applyBorder="1" applyAlignment="1">
      <alignment horizontal="left"/>
    </xf>
    <xf numFmtId="171" fontId="5" fillId="0" borderId="7" xfId="3" applyNumberFormat="1" applyFont="1" applyBorder="1" applyAlignment="1">
      <alignment horizontal="left"/>
    </xf>
    <xf numFmtId="0" fontId="7" fillId="0" borderId="1" xfId="0" applyFont="1" applyBorder="1"/>
    <xf numFmtId="171" fontId="5" fillId="0" borderId="8" xfId="3" applyNumberFormat="1" applyFont="1" applyBorder="1" applyAlignment="1">
      <alignment horizontal="left"/>
    </xf>
    <xf numFmtId="0" fontId="7" fillId="0" borderId="8" xfId="0" applyFont="1" applyBorder="1"/>
    <xf numFmtId="171" fontId="5" fillId="0" borderId="2" xfId="3" applyNumberFormat="1" applyFont="1" applyBorder="1" applyAlignment="1">
      <alignment horizontal="left"/>
    </xf>
    <xf numFmtId="0" fontId="7" fillId="0" borderId="9" xfId="0" applyFont="1" applyBorder="1"/>
    <xf numFmtId="0" fontId="7" fillId="0" borderId="0" xfId="0" applyFont="1" applyBorder="1"/>
    <xf numFmtId="171" fontId="5" fillId="0" borderId="0" xfId="3" applyNumberFormat="1" applyFont="1" applyBorder="1" applyAlignment="1">
      <alignment horizontal="left"/>
    </xf>
    <xf numFmtId="171" fontId="5" fillId="0" borderId="10" xfId="3" applyNumberFormat="1" applyFont="1" applyBorder="1" applyAlignment="1">
      <alignment horizontal="left"/>
    </xf>
    <xf numFmtId="0" fontId="7" fillId="0" borderId="9" xfId="0" applyFont="1" applyFill="1" applyBorder="1"/>
    <xf numFmtId="171" fontId="5" fillId="0" borderId="10" xfId="3" applyNumberFormat="1" applyFont="1" applyFill="1" applyBorder="1" applyAlignment="1">
      <alignment horizontal="left"/>
    </xf>
    <xf numFmtId="0" fontId="7" fillId="0" borderId="3" xfId="0" applyFont="1" applyFill="1" applyBorder="1"/>
    <xf numFmtId="0" fontId="7" fillId="0" borderId="6" xfId="0" applyFont="1" applyFill="1" applyBorder="1"/>
    <xf numFmtId="171" fontId="5" fillId="0" borderId="6" xfId="3" applyNumberFormat="1" applyFont="1" applyFill="1" applyBorder="1" applyAlignment="1">
      <alignment horizontal="left"/>
    </xf>
    <xf numFmtId="171" fontId="5" fillId="0" borderId="6" xfId="3" applyNumberFormat="1" applyFont="1" applyBorder="1" applyAlignment="1">
      <alignment horizontal="left"/>
    </xf>
    <xf numFmtId="171" fontId="5" fillId="0" borderId="4" xfId="3" applyNumberFormat="1" applyFont="1" applyFill="1" applyBorder="1" applyAlignment="1">
      <alignment horizontal="left"/>
    </xf>
    <xf numFmtId="171" fontId="5" fillId="0" borderId="1" xfId="3" applyNumberFormat="1" applyFont="1" applyFill="1" applyBorder="1" applyAlignment="1">
      <alignment horizontal="left"/>
    </xf>
    <xf numFmtId="171" fontId="5" fillId="0" borderId="2" xfId="3" applyNumberFormat="1" applyFont="1" applyFill="1" applyBorder="1" applyAlignment="1">
      <alignment horizontal="left"/>
    </xf>
    <xf numFmtId="171" fontId="5" fillId="0" borderId="9" xfId="3" applyNumberFormat="1" applyFont="1" applyFill="1" applyBorder="1" applyAlignment="1">
      <alignment horizontal="left"/>
    </xf>
    <xf numFmtId="171" fontId="5" fillId="0" borderId="3" xfId="3" applyNumberFormat="1" applyFont="1" applyFill="1" applyBorder="1" applyAlignment="1">
      <alignment horizontal="left"/>
    </xf>
    <xf numFmtId="0" fontId="10" fillId="0" borderId="5" xfId="0" applyFont="1" applyBorder="1" applyAlignment="1">
      <alignment horizontal="center" vertical="center"/>
    </xf>
    <xf numFmtId="0" fontId="0" fillId="0" borderId="15" xfId="0" applyBorder="1"/>
    <xf numFmtId="0" fontId="0" fillId="0" borderId="14" xfId="0" applyBorder="1"/>
    <xf numFmtId="0" fontId="0" fillId="0" borderId="7" xfId="0" applyBorder="1"/>
    <xf numFmtId="0" fontId="11" fillId="0" borderId="5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</cellXfs>
  <cellStyles count="5">
    <cellStyle name="Comma" xfId="4" builtinId="3"/>
    <cellStyle name="Currency" xfId="3" builtinId="4"/>
    <cellStyle name="Excel Built-in Explanatory Text" xfId="2" xr:uid="{00000000-0005-0000-0000-000007000000}"/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7030A0"/>
      <rgbColor rgb="FFF3F3F3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Annual</a:t>
            </a:r>
            <a:r>
              <a:rPr lang="en-US" sz="3600" baseline="0"/>
              <a:t> Income vs 4% Rule Withdrawl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'Retirement Calculator'!$C$5</c:f>
              <c:strCache>
                <c:ptCount val="1"/>
                <c:pt idx="0">
                  <c:v>Salary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'Retirement Calculator'!$B$6:$B$61</c:f>
              <c:numCache>
                <c:formatCode>General</c:formatCode>
                <c:ptCount val="5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  <c:pt idx="53">
                  <c:v>75</c:v>
                </c:pt>
                <c:pt idx="54">
                  <c:v>76</c:v>
                </c:pt>
                <c:pt idx="55">
                  <c:v>77</c:v>
                </c:pt>
              </c:numCache>
            </c:numRef>
          </c:cat>
          <c:val>
            <c:numRef>
              <c:f>'Retirement Calculator'!$C$6:$C$61</c:f>
              <c:numCache>
                <c:formatCode>_([$$-409]* #,##0.00_);_([$$-409]* \(#,##0.00\);_([$$-409]* "-"??_);_(@_)</c:formatCode>
                <c:ptCount val="56"/>
                <c:pt idx="0">
                  <c:v>0</c:v>
                </c:pt>
                <c:pt idx="1">
                  <c:v>70000</c:v>
                </c:pt>
                <c:pt idx="2">
                  <c:v>72800</c:v>
                </c:pt>
                <c:pt idx="3">
                  <c:v>75712</c:v>
                </c:pt>
                <c:pt idx="4">
                  <c:v>78740.479999999996</c:v>
                </c:pt>
                <c:pt idx="5">
                  <c:v>89764.147200000007</c:v>
                </c:pt>
                <c:pt idx="6">
                  <c:v>93354.713088000004</c:v>
                </c:pt>
                <c:pt idx="7">
                  <c:v>97088.901611520007</c:v>
                </c:pt>
                <c:pt idx="8">
                  <c:v>100972.45767598081</c:v>
                </c:pt>
                <c:pt idx="9">
                  <c:v>105011.35598302005</c:v>
                </c:pt>
                <c:pt idx="10">
                  <c:v>109211.81022234086</c:v>
                </c:pt>
                <c:pt idx="11">
                  <c:v>113580.2826312345</c:v>
                </c:pt>
                <c:pt idx="12">
                  <c:v>118123.49393648388</c:v>
                </c:pt>
                <c:pt idx="13">
                  <c:v>122848.43369394324</c:v>
                </c:pt>
                <c:pt idx="14">
                  <c:v>127762.37104170097</c:v>
                </c:pt>
                <c:pt idx="15">
                  <c:v>132872.86588336903</c:v>
                </c:pt>
                <c:pt idx="16">
                  <c:v>138187.7805187038</c:v>
                </c:pt>
                <c:pt idx="17">
                  <c:v>143715.29173945196</c:v>
                </c:pt>
                <c:pt idx="18">
                  <c:v>149463.90340903006</c:v>
                </c:pt>
                <c:pt idx="19">
                  <c:v>155442.45954539126</c:v>
                </c:pt>
                <c:pt idx="20">
                  <c:v>161660.15792720692</c:v>
                </c:pt>
                <c:pt idx="21">
                  <c:v>168126.56424429521</c:v>
                </c:pt>
                <c:pt idx="22">
                  <c:v>174851.62681406701</c:v>
                </c:pt>
                <c:pt idx="23">
                  <c:v>181845.69188662971</c:v>
                </c:pt>
                <c:pt idx="24">
                  <c:v>189119.51956209491</c:v>
                </c:pt>
                <c:pt idx="25">
                  <c:v>196684.30034457872</c:v>
                </c:pt>
                <c:pt idx="26">
                  <c:v>204551.67235836189</c:v>
                </c:pt>
                <c:pt idx="27">
                  <c:v>212733.73925269637</c:v>
                </c:pt>
                <c:pt idx="28">
                  <c:v>221243.08882280422</c:v>
                </c:pt>
                <c:pt idx="29">
                  <c:v>230092.8123757164</c:v>
                </c:pt>
                <c:pt idx="30">
                  <c:v>239296.52487074505</c:v>
                </c:pt>
                <c:pt idx="31">
                  <c:v>248868.38586557485</c:v>
                </c:pt>
                <c:pt idx="32">
                  <c:v>258823.12130019785</c:v>
                </c:pt>
                <c:pt idx="33">
                  <c:v>269176.04615220579</c:v>
                </c:pt>
                <c:pt idx="34">
                  <c:v>279943.08799829404</c:v>
                </c:pt>
                <c:pt idx="35">
                  <c:v>291140.81151822582</c:v>
                </c:pt>
                <c:pt idx="36">
                  <c:v>302786.44397895486</c:v>
                </c:pt>
                <c:pt idx="37">
                  <c:v>314897.90173811308</c:v>
                </c:pt>
                <c:pt idx="38">
                  <c:v>327493.81780763762</c:v>
                </c:pt>
                <c:pt idx="39">
                  <c:v>340593.57051994314</c:v>
                </c:pt>
                <c:pt idx="40">
                  <c:v>354217.31334074086</c:v>
                </c:pt>
                <c:pt idx="41">
                  <c:v>368386.00587437052</c:v>
                </c:pt>
                <c:pt idx="42">
                  <c:v>383121.44610934536</c:v>
                </c:pt>
                <c:pt idx="43">
                  <c:v>398446.30395371921</c:v>
                </c:pt>
                <c:pt idx="44">
                  <c:v>414384.15611186798</c:v>
                </c:pt>
                <c:pt idx="45">
                  <c:v>430959.5223563427</c:v>
                </c:pt>
                <c:pt idx="46">
                  <c:v>448197.90325059643</c:v>
                </c:pt>
                <c:pt idx="47">
                  <c:v>466125.81938062032</c:v>
                </c:pt>
                <c:pt idx="48">
                  <c:v>484770.85215584515</c:v>
                </c:pt>
                <c:pt idx="49">
                  <c:v>504161.68624207895</c:v>
                </c:pt>
                <c:pt idx="50">
                  <c:v>524328.15369176213</c:v>
                </c:pt>
                <c:pt idx="51">
                  <c:v>545301.27983943268</c:v>
                </c:pt>
                <c:pt idx="52">
                  <c:v>567113.33103301004</c:v>
                </c:pt>
                <c:pt idx="53">
                  <c:v>589797.86427433044</c:v>
                </c:pt>
                <c:pt idx="54">
                  <c:v>613389.77884530369</c:v>
                </c:pt>
                <c:pt idx="55">
                  <c:v>637925.36999911582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09-6543-939F-2955055F9AF0}"/>
            </c:ext>
          </c:extLst>
        </c:ser>
        <c:ser>
          <c:idx val="2"/>
          <c:order val="1"/>
          <c:tx>
            <c:strRef>
              <c:f>'Retirement Calculator'!$M$4:$O$4</c:f>
              <c:strCache>
                <c:ptCount val="1"/>
                <c:pt idx="0">
                  <c:v>4% Rule Withdrawl Rate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'Retirement Calculator'!$B$6:$B$61</c:f>
              <c:numCache>
                <c:formatCode>General</c:formatCode>
                <c:ptCount val="5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  <c:pt idx="53">
                  <c:v>75</c:v>
                </c:pt>
                <c:pt idx="54">
                  <c:v>76</c:v>
                </c:pt>
                <c:pt idx="55">
                  <c:v>77</c:v>
                </c:pt>
              </c:numCache>
            </c:numRef>
          </c:cat>
          <c:val>
            <c:numRef>
              <c:f>'Retirement Calculator'!$O$6:$O$61</c:f>
              <c:numCache>
                <c:formatCode>_([$$-409]* #,##0.00_);_([$$-409]* \(#,##0.00\);_([$$-409]* "-"??_);_(@_)</c:formatCode>
                <c:ptCount val="56"/>
                <c:pt idx="0">
                  <c:v>520</c:v>
                </c:pt>
                <c:pt idx="1">
                  <c:v>1303.6421052631579</c:v>
                </c:pt>
                <c:pt idx="2">
                  <c:v>2187.2856842105266</c:v>
                </c:pt>
                <c:pt idx="3">
                  <c:v>3181.1098168421058</c:v>
                </c:pt>
                <c:pt idx="4">
                  <c:v>4296.2568582526328</c:v>
                </c:pt>
                <c:pt idx="5">
                  <c:v>5627.8057354953698</c:v>
                </c:pt>
                <c:pt idx="6">
                  <c:v>7116.9894420899545</c:v>
                </c:pt>
                <c:pt idx="7">
                  <c:v>8779.5069298940507</c:v>
                </c:pt>
                <c:pt idx="8">
                  <c:v>10632.530529121155</c:v>
                </c:pt>
                <c:pt idx="9">
                  <c:v>12694.840971300167</c:v>
                </c:pt>
                <c:pt idx="10">
                  <c:v>14986.974661057613</c:v>
                </c:pt>
                <c:pt idx="11">
                  <c:v>17531.384302986848</c:v>
                </c:pt>
                <c:pt idx="12">
                  <c:v>20352.614089587074</c:v>
                </c:pt>
                <c:pt idx="13">
                  <c:v>23477.490764954578</c:v>
                </c:pt>
                <c:pt idx="14">
                  <c:v>26935.331997397348</c:v>
                </c:pt>
                <c:pt idx="15">
                  <c:v>30758.173623303835</c:v>
                </c:pt>
                <c:pt idx="16">
                  <c:v>34981.017465387544</c:v>
                </c:pt>
                <c:pt idx="17">
                  <c:v>39642.101581898234</c:v>
                </c:pt>
                <c:pt idx="18">
                  <c:v>44783.194970679921</c:v>
                </c:pt>
                <c:pt idx="19">
                  <c:v>50449.918934308393</c:v>
                </c:pt>
                <c:pt idx="20">
                  <c:v>56692.097511314118</c:v>
                </c:pt>
                <c:pt idx="21">
                  <c:v>63564.139595167078</c:v>
                </c:pt>
                <c:pt idx="22">
                  <c:v>71125.455598880188</c:v>
                </c:pt>
                <c:pt idx="23">
                  <c:v>79440.91178053341</c:v>
                </c:pt>
                <c:pt idx="24">
                  <c:v>88581.325625645579</c:v>
                </c:pt>
                <c:pt idx="25">
                  <c:v>98624.005988212404</c:v>
                </c:pt>
                <c:pt idx="26">
                  <c:v>109653.34202566059</c:v>
                </c:pt>
                <c:pt idx="27">
                  <c:v>121761.44532641949</c:v>
                </c:pt>
                <c:pt idx="28">
                  <c:v>135048.85002498465</c:v>
                </c:pt>
                <c:pt idx="29">
                  <c:v>149625.27613118821</c:v>
                </c:pt>
                <c:pt idx="30">
                  <c:v>165610.46177110824</c:v>
                </c:pt>
                <c:pt idx="31">
                  <c:v>183135.07055014561</c:v>
                </c:pt>
                <c:pt idx="32">
                  <c:v>202341.6808080819</c:v>
                </c:pt>
                <c:pt idx="33">
                  <c:v>223385.86414556936</c:v>
                </c:pt>
                <c:pt idx="34">
                  <c:v>246437.36126602106</c:v>
                </c:pt>
                <c:pt idx="35">
                  <c:v>271681.36390120746</c:v>
                </c:pt>
                <c:pt idx="36">
                  <c:v>299319.9123784104</c:v>
                </c:pt>
                <c:pt idx="37">
                  <c:v>329573.41924760537</c:v>
                </c:pt>
                <c:pt idx="38">
                  <c:v>362682.3303252334</c:v>
                </c:pt>
                <c:pt idx="39">
                  <c:v>398908.93553366169</c:v>
                </c:pt>
                <c:pt idx="40">
                  <c:v>438539.34303001489</c:v>
                </c:pt>
                <c:pt idx="41">
                  <c:v>481885.63133297279</c:v>
                </c:pt>
                <c:pt idx="42">
                  <c:v>529288.1954804071</c:v>
                </c:pt>
                <c:pt idx="43">
                  <c:v>581118.30469420925</c:v>
                </c:pt>
                <c:pt idx="44">
                  <c:v>637780.89060207619</c:v>
                </c:pt>
                <c:pt idx="45">
                  <c:v>699717.58678106684</c:v>
                </c:pt>
                <c:pt idx="46">
                  <c:v>767410.04225715867</c:v>
                </c:pt>
                <c:pt idx="47">
                  <c:v>841383.5336327306</c:v>
                </c:pt>
                <c:pt idx="48">
                  <c:v>922210.90273500117</c:v>
                </c:pt>
                <c:pt idx="49">
                  <c:v>1010516.849099489</c:v>
                </c:pt>
                <c:pt idx="50">
                  <c:v>1106982.6092415145</c:v>
                </c:pt>
                <c:pt idx="51">
                  <c:v>1212351.0575452449</c:v>
                </c:pt>
                <c:pt idx="52">
                  <c:v>1327432.2667351908</c:v>
                </c:pt>
                <c:pt idx="53">
                  <c:v>1453109.569312667</c:v>
                </c:pt>
                <c:pt idx="54">
                  <c:v>1590346.1650649682</c:v>
                </c:pt>
                <c:pt idx="55">
                  <c:v>1740192.3238155432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09-6543-939F-2955055F9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0432352"/>
        <c:axId val="1291090208"/>
      </c:lineChart>
      <c:catAx>
        <c:axId val="136043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090208"/>
        <c:crosses val="autoZero"/>
        <c:auto val="1"/>
        <c:lblAlgn val="ctr"/>
        <c:lblOffset val="100"/>
        <c:noMultiLvlLbl val="0"/>
      </c:catAx>
      <c:valAx>
        <c:axId val="129109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43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Value Of Investments At</a:t>
            </a:r>
            <a:r>
              <a:rPr lang="en-US" sz="2800" baseline="0"/>
              <a:t> the End of</a:t>
            </a:r>
          </a:p>
          <a:p>
            <a:pPr>
              <a:defRPr/>
            </a:pPr>
            <a:r>
              <a:rPr lang="en-US" sz="2800"/>
              <a:t> Each</a:t>
            </a:r>
            <a:r>
              <a:rPr lang="en-US" sz="2800" baseline="0"/>
              <a:t> Year Worked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'Retirement Calculator'!$G$5</c:f>
              <c:strCache>
                <c:ptCount val="1"/>
                <c:pt idx="0">
                  <c:v>Retirement Total: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'Retirement Calculator'!$B$6:$B$61</c:f>
              <c:numCache>
                <c:formatCode>General</c:formatCode>
                <c:ptCount val="5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  <c:pt idx="53">
                  <c:v>75</c:v>
                </c:pt>
                <c:pt idx="54">
                  <c:v>76</c:v>
                </c:pt>
                <c:pt idx="55">
                  <c:v>77</c:v>
                </c:pt>
              </c:numCache>
            </c:numRef>
          </c:cat>
          <c:val>
            <c:numRef>
              <c:f>'Retirement Calculator'!$G$6:$G$61</c:f>
              <c:numCache>
                <c:formatCode>_([$$-409]* #,##0.00_);_([$$-409]* \(#,##0.00\);_([$$-409]* "-"??_);_(@_)</c:formatCode>
                <c:ptCount val="56"/>
                <c:pt idx="0">
                  <c:v>13000</c:v>
                </c:pt>
                <c:pt idx="1">
                  <c:v>32591.052631578947</c:v>
                </c:pt>
                <c:pt idx="2">
                  <c:v>54682.142105263163</c:v>
                </c:pt>
                <c:pt idx="3">
                  <c:v>79527.745421052648</c:v>
                </c:pt>
                <c:pt idx="4">
                  <c:v>107406.42145631582</c:v>
                </c:pt>
                <c:pt idx="5">
                  <c:v>140695.14338738425</c:v>
                </c:pt>
                <c:pt idx="6">
                  <c:v>177924.73605224886</c:v>
                </c:pt>
                <c:pt idx="7">
                  <c:v>219487.67324735128</c:v>
                </c:pt>
                <c:pt idx="8">
                  <c:v>265813.2632280289</c:v>
                </c:pt>
                <c:pt idx="9">
                  <c:v>317371.02428250416</c:v>
                </c:pt>
                <c:pt idx="10">
                  <c:v>374674.36652644031</c:v>
                </c:pt>
                <c:pt idx="11">
                  <c:v>438284.60757467116</c:v>
                </c:pt>
                <c:pt idx="12">
                  <c:v>508815.35223967681</c:v>
                </c:pt>
                <c:pt idx="13">
                  <c:v>586937.26912386448</c:v>
                </c:pt>
                <c:pt idx="14">
                  <c:v>673383.29993493366</c:v>
                </c:pt>
                <c:pt idx="15">
                  <c:v>768954.34058259591</c:v>
                </c:pt>
                <c:pt idx="16">
                  <c:v>874525.43663468852</c:v>
                </c:pt>
                <c:pt idx="17">
                  <c:v>991052.53954745585</c:v>
                </c:pt>
                <c:pt idx="18">
                  <c:v>1119579.8742669979</c:v>
                </c:pt>
                <c:pt idx="19">
                  <c:v>1261247.9733577098</c:v>
                </c:pt>
                <c:pt idx="20">
                  <c:v>1417302.4377828529</c:v>
                </c:pt>
                <c:pt idx="21">
                  <c:v>1589103.489879177</c:v>
                </c:pt>
                <c:pt idx="22">
                  <c:v>1778136.3899720048</c:v>
                </c:pt>
                <c:pt idx="23">
                  <c:v>1986022.7945133352</c:v>
                </c:pt>
                <c:pt idx="24">
                  <c:v>2214533.1406411394</c:v>
                </c:pt>
                <c:pt idx="25">
                  <c:v>2465600.1497053099</c:v>
                </c:pt>
                <c:pt idx="26">
                  <c:v>2741333.5506415148</c:v>
                </c:pt>
                <c:pt idx="27">
                  <c:v>3044036.1331604873</c:v>
                </c:pt>
                <c:pt idx="28">
                  <c:v>3376221.2506246166</c:v>
                </c:pt>
                <c:pt idx="29">
                  <c:v>3740631.903279705</c:v>
                </c:pt>
                <c:pt idx="30">
                  <c:v>4140261.5442777062</c:v>
                </c:pt>
                <c:pt idx="31">
                  <c:v>4578376.7637536405</c:v>
                </c:pt>
                <c:pt idx="32">
                  <c:v>5058542.0202020472</c:v>
                </c:pt>
                <c:pt idx="33">
                  <c:v>5584646.6036392339</c:v>
                </c:pt>
                <c:pt idx="34">
                  <c:v>6160934.0316505264</c:v>
                </c:pt>
                <c:pt idx="35">
                  <c:v>6792034.0975301862</c:v>
                </c:pt>
                <c:pt idx="36">
                  <c:v>7482997.80946026</c:v>
                </c:pt>
                <c:pt idx="37">
                  <c:v>8239335.4811901348</c:v>
                </c:pt>
                <c:pt idx="38">
                  <c:v>9067058.2581308354</c:v>
                </c:pt>
                <c:pt idx="39">
                  <c:v>9972723.3883415423</c:v>
                </c:pt>
                <c:pt idx="40">
                  <c:v>10963483.575750371</c:v>
                </c:pt>
                <c:pt idx="41">
                  <c:v>12047140.78332432</c:v>
                </c:pt>
                <c:pt idx="42">
                  <c:v>13232204.887010178</c:v>
                </c:pt>
                <c:pt idx="43">
                  <c:v>14527957.617355231</c:v>
                </c:pt>
                <c:pt idx="44">
                  <c:v>15944522.265051905</c:v>
                </c:pt>
                <c:pt idx="45">
                  <c:v>17492939.66952667</c:v>
                </c:pt>
                <c:pt idx="46">
                  <c:v>19185251.056428965</c:v>
                </c:pt>
                <c:pt idx="47">
                  <c:v>21034588.340818264</c:v>
                </c:pt>
                <c:pt idx="48">
                  <c:v>23055272.568375029</c:v>
                </c:pt>
                <c:pt idx="49">
                  <c:v>25262921.227487225</c:v>
                </c:pt>
                <c:pt idx="50">
                  <c:v>27674565.231037859</c:v>
                </c:pt>
                <c:pt idx="51">
                  <c:v>30308776.438631121</c:v>
                </c:pt>
                <c:pt idx="52">
                  <c:v>33185806.668379769</c:v>
                </c:pt>
                <c:pt idx="53">
                  <c:v>36327739.232816674</c:v>
                </c:pt>
                <c:pt idx="54">
                  <c:v>39758654.126624204</c:v>
                </c:pt>
                <c:pt idx="55">
                  <c:v>43504808.095388576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8-1F41-8813-DDB052A94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0509136"/>
        <c:axId val="1360510816"/>
      </c:barChart>
      <c:catAx>
        <c:axId val="136050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510816"/>
        <c:crosses val="autoZero"/>
        <c:auto val="1"/>
        <c:lblAlgn val="ctr"/>
        <c:lblOffset val="100"/>
        <c:noMultiLvlLbl val="0"/>
      </c:catAx>
      <c:valAx>
        <c:axId val="13605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50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Annunity</a:t>
            </a:r>
            <a:r>
              <a:rPr lang="en-US" sz="3200" baseline="0"/>
              <a:t> Value for Retirement at Given Ages</a:t>
            </a:r>
            <a:endParaRPr lang="en-US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'Retirement Calculator'!$L$5</c:f>
              <c:strCache>
                <c:ptCount val="1"/>
                <c:pt idx="0">
                  <c:v>(In Current Year's Dollars)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'Retirement Calculator'!$B$6:$B$61</c:f>
              <c:numCache>
                <c:formatCode>General</c:formatCode>
                <c:ptCount val="5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  <c:pt idx="53">
                  <c:v>75</c:v>
                </c:pt>
                <c:pt idx="54">
                  <c:v>76</c:v>
                </c:pt>
                <c:pt idx="55">
                  <c:v>77</c:v>
                </c:pt>
              </c:numCache>
            </c:numRef>
          </c:cat>
          <c:val>
            <c:numRef>
              <c:f>'Retirement Calculator'!$L$6:$L$61</c:f>
              <c:numCache>
                <c:formatCode>_([$$-409]* #,##0.00_);_([$$-409]* \(#,##0.00\);_([$$-409]* "-"??_);_(@_)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734083.69108381099</c:v>
                </c:pt>
                <c:pt idx="38">
                  <c:v>811710.27694355207</c:v>
                </c:pt>
                <c:pt idx="39">
                  <c:v>897406.6325823837</c:v>
                </c:pt>
                <c:pt idx="40">
                  <c:v>992072.15299652889</c:v>
                </c:pt>
                <c:pt idx="41">
                  <c:v>1096722.4217213036</c:v>
                </c:pt>
                <c:pt idx="42">
                  <c:v>1212507.6672919418</c:v>
                </c:pt>
                <c:pt idx="43">
                  <c:v>1340734.8737259449</c:v>
                </c:pt>
                <c:pt idx="44">
                  <c:v>1482894.4263777588</c:v>
                </c:pt>
                <c:pt idx="45">
                  <c:v>1640692.4266449618</c:v>
                </c:pt>
                <c:pt idx="46">
                  <c:v>1816090.1452117045</c:v>
                </c:pt>
                <c:pt idx="47">
                  <c:v>2011352.5361358759</c:v>
                </c:pt>
                <c:pt idx="48">
                  <c:v>2229108.3496842268</c:v>
                </c:pt>
                <c:pt idx="49">
                  <c:v>2472425.2282977984</c:v>
                </c:pt>
                <c:pt idx="50">
                  <c:v>2744904.3478060509</c:v>
                </c:pt>
                <c:pt idx="51">
                  <c:v>3050800.8255675836</c:v>
                </c:pt>
                <c:pt idx="52">
                  <c:v>3395178.4880301324</c:v>
                </c:pt>
                <c:pt idx="53">
                  <c:v>3784111.0278909281</c:v>
                </c:pt>
                <c:pt idx="54">
                  <c:v>4224946.6471020514</c:v>
                </c:pt>
                <c:pt idx="55">
                  <c:v>4726660.8810444772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F-8042-A657-A1DFB551A45F}"/>
            </c:ext>
          </c:extLst>
        </c:ser>
        <c:ser>
          <c:idx val="1"/>
          <c:order val="1"/>
          <c:tx>
            <c:v>Adjusted For Inflation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'Retirement Calculator'!$J$6:$J$61</c:f>
              <c:numCache>
                <c:formatCode>_([$$-409]* #,##0.00_);_([$$-409]* \(#,##0.00\);_([$$-409]* "-"??_);_(@_)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107206.34656700124</c:v>
                </c:pt>
                <c:pt idx="38">
                  <c:v>116450.03456434819</c:v>
                </c:pt>
                <c:pt idx="39">
                  <c:v>126471.16202900026</c:v>
                </c:pt>
                <c:pt idx="40">
                  <c:v>137343.82869811665</c:v>
                </c:pt>
                <c:pt idx="41">
                  <c:v>149151.03440315012</c:v>
                </c:pt>
                <c:pt idx="42">
                  <c:v>161986.08062830116</c:v>
                </c:pt>
                <c:pt idx="43">
                  <c:v>175954.25213341569</c:v>
                </c:pt>
                <c:pt idx="44">
                  <c:v>191174.84648009829</c:v>
                </c:pt>
                <c:pt idx="45">
                  <c:v>207783.63870344346</c:v>
                </c:pt>
                <c:pt idx="46">
                  <c:v>225935.89424204049</c:v>
                </c:pt>
                <c:pt idx="47">
                  <c:v>245810.07806248846</c:v>
                </c:pt>
                <c:pt idx="48">
                  <c:v>267612.45527240029</c:v>
                </c:pt>
                <c:pt idx="49">
                  <c:v>291582.84362981725</c:v>
                </c:pt>
                <c:pt idx="50">
                  <c:v>318001.86894662655</c:v>
                </c:pt>
                <c:pt idx="51">
                  <c:v>347200.20202829072</c:v>
                </c:pt>
                <c:pt idx="52">
                  <c:v>379570.43813664711</c:v>
                </c:pt>
                <c:pt idx="53">
                  <c:v>415582.54435603571</c:v>
                </c:pt>
                <c:pt idx="54">
                  <c:v>455804.18986876321</c:v>
                </c:pt>
                <c:pt idx="55">
                  <c:v>500927.85857693432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6F-8042-A657-A1DFB551A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5740800"/>
        <c:axId val="1310631600"/>
      </c:barChart>
      <c:catAx>
        <c:axId val="136574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631600"/>
        <c:crosses val="autoZero"/>
        <c:auto val="1"/>
        <c:lblAlgn val="ctr"/>
        <c:lblOffset val="100"/>
        <c:noMultiLvlLbl val="0"/>
      </c:catAx>
      <c:valAx>
        <c:axId val="13106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4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aseline="0"/>
              <a:t>Purchasing Power Adjusted for Average Lifetime Inflation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Salary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'Retirement Calculator'!$B$6:$B$61</c:f>
              <c:numCache>
                <c:formatCode>General</c:formatCode>
                <c:ptCount val="5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  <c:pt idx="53">
                  <c:v>75</c:v>
                </c:pt>
                <c:pt idx="54">
                  <c:v>76</c:v>
                </c:pt>
                <c:pt idx="55">
                  <c:v>77</c:v>
                </c:pt>
              </c:numCache>
            </c:numRef>
          </c:cat>
          <c:val>
            <c:numRef>
              <c:f>'Retirement Calculator'!$Q$6:$Q$61</c:f>
              <c:numCache>
                <c:formatCode>_([$$-409]* #,##0.00_);_([$$-409]* \(#,##0.00\);_([$$-409]* "-"??_);_(@_)</c:formatCode>
                <c:ptCount val="56"/>
                <c:pt idx="0">
                  <c:v>0</c:v>
                </c:pt>
                <c:pt idx="1">
                  <c:v>67550</c:v>
                </c:pt>
                <c:pt idx="2">
                  <c:v>67793.179999999993</c:v>
                </c:pt>
                <c:pt idx="3">
                  <c:v>68037.235447999992</c:v>
                </c:pt>
                <c:pt idx="4">
                  <c:v>68282.16949561279</c:v>
                </c:pt>
                <c:pt idx="5">
                  <c:v>75117.214662123632</c:v>
                </c:pt>
                <c:pt idx="6">
                  <c:v>75387.636634907278</c:v>
                </c:pt>
                <c:pt idx="7">
                  <c:v>75659.032126792939</c:v>
                </c:pt>
                <c:pt idx="8">
                  <c:v>75931.404642449401</c:v>
                </c:pt>
                <c:pt idx="9">
                  <c:v>76204.757699162219</c:v>
                </c:pt>
                <c:pt idx="10">
                  <c:v>76479.094826879213</c:v>
                </c:pt>
                <c:pt idx="11">
                  <c:v>76754.419568255966</c:v>
                </c:pt>
                <c:pt idx="12">
                  <c:v>77030.735478701696</c:v>
                </c:pt>
                <c:pt idx="13">
                  <c:v>77308.046126425033</c:v>
                </c:pt>
                <c:pt idx="14">
                  <c:v>77586.355092480153</c:v>
                </c:pt>
                <c:pt idx="15">
                  <c:v>77865.665970813076</c:v>
                </c:pt>
                <c:pt idx="16">
                  <c:v>78145.982368308018</c:v>
                </c:pt>
                <c:pt idx="17">
                  <c:v>78427.307904833928</c:v>
                </c:pt>
                <c:pt idx="18">
                  <c:v>78709.646213291329</c:v>
                </c:pt>
                <c:pt idx="19">
                  <c:v>78993.000939659178</c:v>
                </c:pt>
                <c:pt idx="20">
                  <c:v>79277.37574304195</c:v>
                </c:pt>
                <c:pt idx="21">
                  <c:v>79562.774295716896</c:v>
                </c:pt>
                <c:pt idx="22">
                  <c:v>79849.200283181475</c:v>
                </c:pt>
                <c:pt idx="23">
                  <c:v>80136.657404200931</c:v>
                </c:pt>
                <c:pt idx="24">
                  <c:v>80425.149370856059</c:v>
                </c:pt>
                <c:pt idx="25">
                  <c:v>80714.679908591133</c:v>
                </c:pt>
                <c:pt idx="26">
                  <c:v>81005.252756262067</c:v>
                </c:pt>
                <c:pt idx="27">
                  <c:v>81296.871666184612</c:v>
                </c:pt>
                <c:pt idx="28">
                  <c:v>81589.540404182873</c:v>
                </c:pt>
                <c:pt idx="29">
                  <c:v>81883.262749637943</c:v>
                </c:pt>
                <c:pt idx="30">
                  <c:v>82178.042495536632</c:v>
                </c:pt>
                <c:pt idx="31">
                  <c:v>82473.883448520559</c:v>
                </c:pt>
                <c:pt idx="32">
                  <c:v>82770.789428935226</c:v>
                </c:pt>
                <c:pt idx="33">
                  <c:v>83068.764270879401</c:v>
                </c:pt>
                <c:pt idx="34">
                  <c:v>83367.811822254575</c:v>
                </c:pt>
                <c:pt idx="35">
                  <c:v>83667.935944814686</c:v>
                </c:pt>
                <c:pt idx="36">
                  <c:v>83969.140514216022</c:v>
                </c:pt>
                <c:pt idx="37">
                  <c:v>84271.429420067201</c:v>
                </c:pt>
                <c:pt idx="38">
                  <c:v>84574.806565979437</c:v>
                </c:pt>
                <c:pt idx="39">
                  <c:v>84879.275869616962</c:v>
                </c:pt>
                <c:pt idx="40">
                  <c:v>85184.841262747577</c:v>
                </c:pt>
                <c:pt idx="41">
                  <c:v>85491.506691293471</c:v>
                </c:pt>
                <c:pt idx="42">
                  <c:v>85799.276115382134</c:v>
                </c:pt>
                <c:pt idx="43">
                  <c:v>86108.153509397511</c:v>
                </c:pt>
                <c:pt idx="44">
                  <c:v>86418.142862031338</c:v>
                </c:pt>
                <c:pt idx="45">
                  <c:v>86729.248176334659</c:v>
                </c:pt>
                <c:pt idx="46">
                  <c:v>87041.473469769466</c:v>
                </c:pt>
                <c:pt idx="47">
                  <c:v>87354.82277426064</c:v>
                </c:pt>
                <c:pt idx="48">
                  <c:v>87669.30013624797</c:v>
                </c:pt>
                <c:pt idx="49">
                  <c:v>87984.909616738456</c:v>
                </c:pt>
                <c:pt idx="50">
                  <c:v>88301.655291358722</c:v>
                </c:pt>
                <c:pt idx="51">
                  <c:v>88619.541250407623</c:v>
                </c:pt>
                <c:pt idx="52">
                  <c:v>88938.571598909082</c:v>
                </c:pt>
                <c:pt idx="53">
                  <c:v>89258.750456665162</c:v>
                </c:pt>
                <c:pt idx="54">
                  <c:v>89580.081958309165</c:v>
                </c:pt>
                <c:pt idx="55">
                  <c:v>89902.570253359081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C9-6745-BC99-BB1BD56E4C8C}"/>
            </c:ext>
          </c:extLst>
        </c:ser>
        <c:ser>
          <c:idx val="1"/>
          <c:order val="1"/>
          <c:tx>
            <c:v>4% Rule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'Retirement Calculator'!$B$6:$B$61</c:f>
              <c:numCache>
                <c:formatCode>General</c:formatCode>
                <c:ptCount val="5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  <c:pt idx="53">
                  <c:v>75</c:v>
                </c:pt>
                <c:pt idx="54">
                  <c:v>76</c:v>
                </c:pt>
                <c:pt idx="55">
                  <c:v>77</c:v>
                </c:pt>
              </c:numCache>
            </c:numRef>
          </c:cat>
          <c:val>
            <c:numRef>
              <c:f>'Retirement Calculator'!$M$6:$M$61</c:f>
              <c:numCache>
                <c:formatCode>_([$$-409]* #,##0.00_);_([$$-409]* \(#,##0.00\);_([$$-409]* "-"??_);_(@_)</c:formatCode>
                <c:ptCount val="56"/>
                <c:pt idx="0">
                  <c:v>146.79895611818802</c:v>
                </c:pt>
                <c:pt idx="1">
                  <c:v>361.52776748716957</c:v>
                </c:pt>
                <c:pt idx="2">
                  <c:v>595.87127162165257</c:v>
                </c:pt>
                <c:pt idx="3">
                  <c:v>851.31298089893323</c:v>
                </c:pt>
                <c:pt idx="4">
                  <c:v>1129.443443929913</c:v>
                </c:pt>
                <c:pt idx="5">
                  <c:v>1453.3727221379331</c:v>
                </c:pt>
                <c:pt idx="6">
                  <c:v>1805.5016318870053</c:v>
                </c:pt>
                <c:pt idx="7">
                  <c:v>2187.9396888323135</c:v>
                </c:pt>
                <c:pt idx="8">
                  <c:v>2602.9481397160848</c:v>
                </c:pt>
                <c:pt idx="9">
                  <c:v>3052.9507516075701</c:v>
                </c:pt>
                <c:pt idx="10">
                  <c:v>3540.5453656942932</c:v>
                </c:pt>
                <c:pt idx="11">
                  <c:v>4068.5162697454994</c:v>
                </c:pt>
                <c:pt idx="12">
                  <c:v>4639.8474471986538</c:v>
                </c:pt>
                <c:pt idx="13">
                  <c:v>5257.7367649206553</c:v>
                </c:pt>
                <c:pt idx="14">
                  <c:v>5925.6111660865336</c:v>
                </c:pt>
                <c:pt idx="15">
                  <c:v>6647.1429393200833</c:v>
                </c:pt>
                <c:pt idx="16">
                  <c:v>7426.2671402753667</c:v>
                </c:pt>
                <c:pt idx="17">
                  <c:v>8267.2002472285767</c:v>
                </c:pt>
                <c:pt idx="18">
                  <c:v>9174.4601380220065</c:v>
                </c:pt>
                <c:pt idx="19">
                  <c:v>10152.887481882091</c:v>
                </c:pt>
                <c:pt idx="20">
                  <c:v>11207.668646251641</c:v>
                </c:pt>
                <c:pt idx="21">
                  <c:v>12344.360225862112</c:v>
                </c:pt>
                <c:pt idx="22">
                  <c:v>13568.91530885949</c:v>
                </c:pt>
                <c:pt idx="23">
                  <c:v>14887.711602921538</c:v>
                </c:pt>
                <c:pt idx="24">
                  <c:v>16307.581553003369</c:v>
                </c:pt>
                <c:pt idx="25">
                  <c:v>17835.84459166303</c:v>
                </c:pt>
                <c:pt idx="26">
                  <c:v>19480.341672892595</c:v>
                </c:pt>
                <c:pt idx="27">
                  <c:v>21249.472251059575</c:v>
                </c:pt>
                <c:pt idx="28">
                  <c:v>23152.23387799893</c:v>
                </c:pt>
                <c:pt idx="29">
                  <c:v>25198.264603539872</c:v>
                </c:pt>
                <c:pt idx="30">
                  <c:v>27397.888377862444</c:v>
                </c:pt>
                <c:pt idx="31">
                  <c:v>29762.163668117137</c:v>
                </c:pt>
                <c:pt idx="32">
                  <c:v>32302.935516772268</c:v>
                </c:pt>
                <c:pt idx="33">
                  <c:v>35032.891285249061</c:v>
                </c:pt>
                <c:pt idx="34">
                  <c:v>37965.62034363838</c:v>
                </c:pt>
                <c:pt idx="35">
                  <c:v>41115.677985746377</c:v>
                </c:pt>
                <c:pt idx="36">
                  <c:v>44498.653868475369</c:v>
                </c:pt>
                <c:pt idx="37">
                  <c:v>48131.245295703557</c:v>
                </c:pt>
                <c:pt idx="38">
                  <c:v>52031.335689481282</c:v>
                </c:pt>
                <c:pt idx="39">
                  <c:v>56218.078615618317</c:v>
                </c:pt>
                <c:pt idx="40">
                  <c:v>60711.987756710798</c:v>
                </c:pt>
                <c:pt idx="41">
                  <c:v>65535.033253466492</c:v>
                </c:pt>
                <c:pt idx="42">
                  <c:v>70710.744864967375</c:v>
                </c:pt>
                <c:pt idx="43">
                  <c:v>76264.322430393193</c:v>
                </c:pt>
                <c:pt idx="44">
                  <c:v>82222.754148872831</c:v>
                </c:pt>
                <c:pt idx="45">
                  <c:v>88614.943230687713</c:v>
                </c:pt>
                <c:pt idx="46">
                  <c:v>95471.843512196036</c:v>
                </c:pt>
                <c:pt idx="47">
                  <c:v>102826.60466876118</c:v>
                </c:pt>
                <c:pt idx="48">
                  <c:v>110714.72770484714</c:v>
                </c:pt>
                <c:pt idx="49">
                  <c:v>119174.23144849986</c:v>
                </c:pt>
                <c:pt idx="50">
                  <c:v>128245.83082888831</c:v>
                </c:pt>
                <c:pt idx="51">
                  <c:v>137973.12777067631</c:v>
                </c:pt>
                <c:pt idx="52">
                  <c:v>148402.81559799021</c:v>
                </c:pt>
                <c:pt idx="53">
                  <c:v>159584.89790391733</c:v>
                </c:pt>
                <c:pt idx="54">
                  <c:v>171572.92290910744</c:v>
                </c:pt>
                <c:pt idx="55">
                  <c:v>184424.23440547573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C9-6745-BC99-BB1BD56E4C8C}"/>
            </c:ext>
          </c:extLst>
        </c:ser>
        <c:ser>
          <c:idx val="0"/>
          <c:order val="2"/>
          <c:tx>
            <c:v>Retirement Annunity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'Retirement Calculator'!$B$6:$B$61</c:f>
              <c:numCache>
                <c:formatCode>General</c:formatCode>
                <c:ptCount val="5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  <c:pt idx="53">
                  <c:v>75</c:v>
                </c:pt>
                <c:pt idx="54">
                  <c:v>76</c:v>
                </c:pt>
                <c:pt idx="55">
                  <c:v>77</c:v>
                </c:pt>
              </c:numCache>
            </c:numRef>
          </c:cat>
          <c:val>
            <c:numRef>
              <c:f>'Retirement Calculator'!$J$6:$J$61</c:f>
              <c:numCache>
                <c:formatCode>_([$$-409]* #,##0.00_);_([$$-409]* \(#,##0.00\);_([$$-409]* "-"??_);_(@_)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107206.34656700124</c:v>
                </c:pt>
                <c:pt idx="38">
                  <c:v>116450.03456434819</c:v>
                </c:pt>
                <c:pt idx="39">
                  <c:v>126471.16202900026</c:v>
                </c:pt>
                <c:pt idx="40">
                  <c:v>137343.82869811665</c:v>
                </c:pt>
                <c:pt idx="41">
                  <c:v>149151.03440315012</c:v>
                </c:pt>
                <c:pt idx="42">
                  <c:v>161986.08062830116</c:v>
                </c:pt>
                <c:pt idx="43">
                  <c:v>175954.25213341569</c:v>
                </c:pt>
                <c:pt idx="44">
                  <c:v>191174.84648009829</c:v>
                </c:pt>
                <c:pt idx="45">
                  <c:v>207783.63870344346</c:v>
                </c:pt>
                <c:pt idx="46">
                  <c:v>225935.89424204049</c:v>
                </c:pt>
                <c:pt idx="47">
                  <c:v>245810.07806248846</c:v>
                </c:pt>
                <c:pt idx="48">
                  <c:v>267612.45527240029</c:v>
                </c:pt>
                <c:pt idx="49">
                  <c:v>291582.84362981725</c:v>
                </c:pt>
                <c:pt idx="50">
                  <c:v>318001.86894662655</c:v>
                </c:pt>
                <c:pt idx="51">
                  <c:v>347200.20202829072</c:v>
                </c:pt>
                <c:pt idx="52">
                  <c:v>379570.43813664711</c:v>
                </c:pt>
                <c:pt idx="53">
                  <c:v>415582.54435603571</c:v>
                </c:pt>
                <c:pt idx="54">
                  <c:v>455804.18986876321</c:v>
                </c:pt>
                <c:pt idx="55">
                  <c:v>500927.85857693432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C9-6745-BC99-BB1BD56E4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10367"/>
        <c:axId val="86490191"/>
      </c:lineChart>
      <c:catAx>
        <c:axId val="11701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90191"/>
        <c:crosses val="autoZero"/>
        <c:auto val="1"/>
        <c:lblAlgn val="ctr"/>
        <c:lblOffset val="100"/>
        <c:noMultiLvlLbl val="0"/>
      </c:catAx>
      <c:valAx>
        <c:axId val="864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1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31751</xdr:colOff>
      <xdr:row>61</xdr:row>
      <xdr:rowOff>96739</xdr:rowOff>
    </xdr:from>
    <xdr:to>
      <xdr:col>6</xdr:col>
      <xdr:colOff>406400</xdr:colOff>
      <xdr:row>86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A8A02F-3D2C-F548-AA4F-B45EDC073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520700</xdr:colOff>
      <xdr:row>61</xdr:row>
      <xdr:rowOff>101600</xdr:rowOff>
    </xdr:from>
    <xdr:to>
      <xdr:col>9</xdr:col>
      <xdr:colOff>1879600</xdr:colOff>
      <xdr:row>86</xdr:row>
      <xdr:rowOff>102419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9FD97B-45F5-F64E-AE68-E0CF33E1E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9</xdr:col>
      <xdr:colOff>1987857</xdr:colOff>
      <xdr:row>61</xdr:row>
      <xdr:rowOff>104774</xdr:rowOff>
    </xdr:from>
    <xdr:to>
      <xdr:col>12</xdr:col>
      <xdr:colOff>2760133</xdr:colOff>
      <xdr:row>86</xdr:row>
      <xdr:rowOff>81936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A64D67-16D2-B44C-8E4E-B481A25AD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187817</xdr:colOff>
      <xdr:row>61</xdr:row>
      <xdr:rowOff>101600</xdr:rowOff>
    </xdr:from>
    <xdr:to>
      <xdr:col>17</xdr:col>
      <xdr:colOff>0</xdr:colOff>
      <xdr:row>86</xdr:row>
      <xdr:rowOff>67734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4188D-266C-1F42-A4BD-CAC3F7CB3C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DBB22-53E0-8F47-AAFF-7643E00FA7D5}">
  <dimension ref="A1:S61"/>
  <sheetViews>
    <sheetView tabSelected="1" zoomScale="50" zoomScaleNormal="100" workbookViewId="0">
      <selection sqref="A1:C2"/>
    </sheetView>
  </sheetViews>
  <sheetFormatPr baseColWidth="10" defaultRowHeight="16"/>
  <cols>
    <col min="1" max="1" width="8.85546875" customWidth="1"/>
    <col min="2" max="2" width="7.140625" customWidth="1"/>
    <col min="3" max="3" width="15.85546875" customWidth="1"/>
    <col min="4" max="4" width="24.7109375" bestFit="1" customWidth="1"/>
    <col min="5" max="5" width="15" customWidth="1"/>
    <col min="6" max="6" width="22.42578125" bestFit="1" customWidth="1"/>
    <col min="7" max="7" width="15.5703125" bestFit="1" customWidth="1"/>
    <col min="8" max="8" width="38.140625" customWidth="1"/>
    <col min="9" max="9" width="19.85546875" bestFit="1" customWidth="1"/>
    <col min="10" max="10" width="28.42578125" bestFit="1" customWidth="1"/>
    <col min="11" max="11" width="34.140625" bestFit="1" customWidth="1"/>
    <col min="12" max="12" width="26.5703125" bestFit="1" customWidth="1"/>
    <col min="13" max="13" width="29.5703125" bestFit="1" customWidth="1"/>
    <col min="14" max="14" width="33" bestFit="1" customWidth="1"/>
    <col min="15" max="15" width="23" customWidth="1"/>
    <col min="16" max="16" width="4.140625" customWidth="1"/>
    <col min="17" max="17" width="41" bestFit="1" customWidth="1"/>
  </cols>
  <sheetData>
    <row r="1" spans="1:19" ht="16" customHeight="1">
      <c r="A1" s="56" t="s">
        <v>15</v>
      </c>
      <c r="B1" s="56"/>
      <c r="C1" s="57"/>
      <c r="D1" s="7" t="s">
        <v>32</v>
      </c>
      <c r="E1" s="15">
        <v>70000</v>
      </c>
      <c r="F1" s="3" t="s">
        <v>5</v>
      </c>
      <c r="G1" s="18">
        <v>0.09</v>
      </c>
      <c r="H1" s="3" t="s">
        <v>21</v>
      </c>
      <c r="I1" s="18">
        <v>0.05</v>
      </c>
      <c r="J1" s="3" t="s">
        <v>14</v>
      </c>
      <c r="K1" s="20">
        <v>22</v>
      </c>
      <c r="L1" s="3" t="s">
        <v>34</v>
      </c>
      <c r="M1" s="28">
        <v>62</v>
      </c>
      <c r="Q1" s="29"/>
    </row>
    <row r="2" spans="1:19" ht="16" customHeight="1">
      <c r="A2" s="56"/>
      <c r="B2" s="56"/>
      <c r="C2" s="58"/>
      <c r="D2" s="11" t="s">
        <v>25</v>
      </c>
      <c r="E2" s="16">
        <v>0.1</v>
      </c>
      <c r="F2" s="12" t="s">
        <v>26</v>
      </c>
      <c r="G2" s="16">
        <v>0.04</v>
      </c>
      <c r="H2" s="13" t="s">
        <v>28</v>
      </c>
      <c r="I2" s="16">
        <v>0.15</v>
      </c>
      <c r="J2" s="12" t="s">
        <v>6</v>
      </c>
      <c r="K2" s="23">
        <v>2019</v>
      </c>
      <c r="L2" s="12" t="s">
        <v>31</v>
      </c>
      <c r="M2" s="24">
        <v>95</v>
      </c>
      <c r="Q2" s="29"/>
    </row>
    <row r="3" spans="1:19">
      <c r="A3" s="7" t="s">
        <v>20</v>
      </c>
      <c r="C3" s="15">
        <v>1000</v>
      </c>
      <c r="D3" s="12" t="s">
        <v>24</v>
      </c>
      <c r="E3" s="16">
        <v>0.2</v>
      </c>
      <c r="F3" s="12" t="s">
        <v>29</v>
      </c>
      <c r="G3" s="16">
        <v>5.0000000000000001E-3</v>
      </c>
      <c r="H3" s="13" t="s">
        <v>23</v>
      </c>
      <c r="I3" s="16">
        <v>0.2</v>
      </c>
      <c r="L3" s="12" t="s">
        <v>12</v>
      </c>
      <c r="M3" s="21">
        <v>10000000</v>
      </c>
      <c r="Q3" s="29"/>
    </row>
    <row r="4" spans="1:19" ht="24">
      <c r="A4" s="8" t="s">
        <v>22</v>
      </c>
      <c r="C4" s="19">
        <v>13000</v>
      </c>
      <c r="D4" s="4" t="s">
        <v>18</v>
      </c>
      <c r="E4" s="17">
        <v>0.05</v>
      </c>
      <c r="F4" s="4" t="s">
        <v>27</v>
      </c>
      <c r="G4" s="17">
        <v>3.5000000000000003E-2</v>
      </c>
      <c r="H4" s="1"/>
      <c r="I4" s="1"/>
      <c r="J4" s="59" t="s">
        <v>42</v>
      </c>
      <c r="K4" s="60"/>
      <c r="L4" s="61"/>
      <c r="M4" s="59" t="s">
        <v>19</v>
      </c>
      <c r="N4" s="60"/>
      <c r="O4" s="61"/>
      <c r="P4" s="53"/>
      <c r="Q4" s="52" t="s">
        <v>41</v>
      </c>
      <c r="R4" s="27"/>
      <c r="S4" s="27"/>
    </row>
    <row r="5" spans="1:19">
      <c r="A5" s="6" t="s">
        <v>4</v>
      </c>
      <c r="B5" s="6" t="s">
        <v>3</v>
      </c>
      <c r="C5" s="5" t="s">
        <v>0</v>
      </c>
      <c r="D5" s="5" t="s">
        <v>13</v>
      </c>
      <c r="E5" s="5" t="s">
        <v>2</v>
      </c>
      <c r="F5" s="5" t="s">
        <v>1</v>
      </c>
      <c r="G5" s="5" t="s">
        <v>10</v>
      </c>
      <c r="H5" s="5" t="s">
        <v>16</v>
      </c>
      <c r="I5" s="8" t="s">
        <v>9</v>
      </c>
      <c r="J5" s="2" t="s">
        <v>40</v>
      </c>
      <c r="K5" s="2" t="s">
        <v>44</v>
      </c>
      <c r="L5" s="14" t="s">
        <v>39</v>
      </c>
      <c r="M5" s="2" t="s">
        <v>40</v>
      </c>
      <c r="N5" s="2" t="s">
        <v>44</v>
      </c>
      <c r="O5" s="30" t="s">
        <v>17</v>
      </c>
      <c r="P5" s="54"/>
      <c r="Q5" s="6" t="s">
        <v>45</v>
      </c>
    </row>
    <row r="6" spans="1:19">
      <c r="A6" s="33">
        <f>K2</f>
        <v>2019</v>
      </c>
      <c r="B6" s="38">
        <f>K1</f>
        <v>22</v>
      </c>
      <c r="C6" s="34">
        <v>0</v>
      </c>
      <c r="D6" s="34">
        <f>C3</f>
        <v>1000</v>
      </c>
      <c r="E6" s="34">
        <f>D6</f>
        <v>1000</v>
      </c>
      <c r="F6" s="34">
        <f>C4</f>
        <v>13000</v>
      </c>
      <c r="G6" s="34">
        <f>F6</f>
        <v>13000</v>
      </c>
      <c r="H6" s="35" t="s">
        <v>35</v>
      </c>
      <c r="I6" s="34">
        <v>1</v>
      </c>
      <c r="J6" s="48">
        <f t="shared" ref="J6:J37" si="0">IF(B6&lt;59,0,-1*PMT($G$1,($M$2-B6),G6,-$M$3)*(I6*(1-$G$4)^(($M$2-B6)/2-1)))</f>
        <v>0</v>
      </c>
      <c r="K6" s="34">
        <f t="shared" ref="K6:K37" si="1">IF(B6&lt;59,0,-1*PMT($G$1,($M$2-B6),G6,-$M$3)*I6)</f>
        <v>0</v>
      </c>
      <c r="L6" s="49">
        <f t="shared" ref="L6:L37" si="2">IF(B6&lt;59,0,-1*PMT($G$1,($M$2-B6),G6,-$M$3))</f>
        <v>0</v>
      </c>
      <c r="M6" s="34">
        <f t="shared" ref="M6:M37" si="3">0.04*G6*(I6*(1-$G$4)^(($M$2-B6)/2-1))</f>
        <v>146.79895611818802</v>
      </c>
      <c r="N6" s="34">
        <f t="shared" ref="N6:N37" si="4">0.04*G6*I6</f>
        <v>520</v>
      </c>
      <c r="O6" s="36">
        <f t="shared" ref="O6:O37" si="5">0.04*G6</f>
        <v>520</v>
      </c>
      <c r="P6" s="54"/>
      <c r="Q6" s="31">
        <f t="shared" ref="Q6:Q37" si="6">C6*I6</f>
        <v>0</v>
      </c>
    </row>
    <row r="7" spans="1:19">
      <c r="A7" s="37">
        <f>A6+1</f>
        <v>2020</v>
      </c>
      <c r="B7" s="38">
        <f>B6+1</f>
        <v>23</v>
      </c>
      <c r="C7" s="39">
        <f>E1</f>
        <v>70000</v>
      </c>
      <c r="D7" s="39">
        <f t="shared" ref="D7:D38" si="7">$E$2*C7+$I$1*C7/(1-$I$1)*$I$2</f>
        <v>7552.6315789473683</v>
      </c>
      <c r="E7" s="39">
        <f>D7+E6*(1+$G$3)</f>
        <v>8557.6315789473683</v>
      </c>
      <c r="F7" s="39">
        <f t="shared" ref="F7:F38" si="8">$E$3*C7+(C7/(1-$I$1)*$E$4)+$I$1*C7/(1-$I$1)*$I$3</f>
        <v>18421.052631578947</v>
      </c>
      <c r="G7" s="39">
        <f>G6*(1+G1)+F7</f>
        <v>32591.052631578947</v>
      </c>
      <c r="H7" s="38"/>
      <c r="I7" s="39">
        <f t="shared" ref="I7:I38" si="9">I6*(1-$G$4)</f>
        <v>0.96499999999999997</v>
      </c>
      <c r="J7" s="50">
        <f t="shared" si="0"/>
        <v>0</v>
      </c>
      <c r="K7" s="39">
        <f t="shared" si="1"/>
        <v>0</v>
      </c>
      <c r="L7" s="42">
        <f t="shared" si="2"/>
        <v>0</v>
      </c>
      <c r="M7" s="9">
        <f t="shared" si="3"/>
        <v>361.52776748716957</v>
      </c>
      <c r="N7" s="9">
        <f t="shared" si="4"/>
        <v>1258.0146315789473</v>
      </c>
      <c r="O7" s="40">
        <f t="shared" si="5"/>
        <v>1303.6421052631579</v>
      </c>
      <c r="P7" s="54"/>
      <c r="Q7" s="31">
        <f t="shared" si="6"/>
        <v>67550</v>
      </c>
    </row>
    <row r="8" spans="1:19">
      <c r="A8" s="37">
        <f>A7+1</f>
        <v>2021</v>
      </c>
      <c r="B8" s="38">
        <f>B7+1</f>
        <v>24</v>
      </c>
      <c r="C8" s="39">
        <f>C7*(1+$G$2)</f>
        <v>72800</v>
      </c>
      <c r="D8" s="39">
        <f t="shared" si="7"/>
        <v>7854.7368421052633</v>
      </c>
      <c r="E8" s="39">
        <f>D8+E7*(1+$G$3)</f>
        <v>16455.156578947368</v>
      </c>
      <c r="F8" s="39">
        <f t="shared" si="8"/>
        <v>19157.894736842103</v>
      </c>
      <c r="G8" s="39">
        <f t="shared" ref="G8:G39" si="10">G7*(1+$G$1)+F8</f>
        <v>54682.142105263163</v>
      </c>
      <c r="H8" s="29"/>
      <c r="I8" s="39">
        <f t="shared" si="9"/>
        <v>0.93122499999999997</v>
      </c>
      <c r="J8" s="50">
        <f t="shared" si="0"/>
        <v>0</v>
      </c>
      <c r="K8" s="39">
        <f t="shared" si="1"/>
        <v>0</v>
      </c>
      <c r="L8" s="42">
        <f t="shared" si="2"/>
        <v>0</v>
      </c>
      <c r="M8" s="9">
        <f t="shared" si="3"/>
        <v>595.87127162165257</v>
      </c>
      <c r="N8" s="39">
        <f t="shared" si="4"/>
        <v>2036.8551112789476</v>
      </c>
      <c r="O8" s="40">
        <f t="shared" si="5"/>
        <v>2187.2856842105266</v>
      </c>
      <c r="P8" s="54"/>
      <c r="Q8" s="31">
        <f t="shared" si="6"/>
        <v>67793.179999999993</v>
      </c>
    </row>
    <row r="9" spans="1:19">
      <c r="A9" s="37">
        <f t="shared" ref="A9:A59" si="11">A8+1</f>
        <v>2022</v>
      </c>
      <c r="B9" s="38">
        <f t="shared" ref="B9:B45" si="12">B8+1</f>
        <v>25</v>
      </c>
      <c r="C9" s="39">
        <f>C8*(1+$G$2)</f>
        <v>75712</v>
      </c>
      <c r="D9" s="39">
        <f t="shared" si="7"/>
        <v>8168.9263157894748</v>
      </c>
      <c r="E9" s="39">
        <f>D9+E8*(1+$G$3)-15000</f>
        <v>9706.3586776315788</v>
      </c>
      <c r="F9" s="39">
        <f t="shared" si="8"/>
        <v>19924.210526315794</v>
      </c>
      <c r="G9" s="39">
        <f t="shared" si="10"/>
        <v>79527.745421052648</v>
      </c>
      <c r="H9" s="25" t="s">
        <v>36</v>
      </c>
      <c r="I9" s="39">
        <f t="shared" si="9"/>
        <v>0.89863212499999989</v>
      </c>
      <c r="J9" s="50">
        <f t="shared" si="0"/>
        <v>0</v>
      </c>
      <c r="K9" s="39">
        <f t="shared" si="1"/>
        <v>0</v>
      </c>
      <c r="L9" s="42">
        <f t="shared" si="2"/>
        <v>0</v>
      </c>
      <c r="M9" s="9">
        <f t="shared" si="3"/>
        <v>851.31298089893323</v>
      </c>
      <c r="N9" s="39">
        <f t="shared" si="4"/>
        <v>2858.6474745671821</v>
      </c>
      <c r="O9" s="40">
        <f t="shared" si="5"/>
        <v>3181.1098168421058</v>
      </c>
      <c r="P9" s="54"/>
      <c r="Q9" s="31">
        <f t="shared" si="6"/>
        <v>68037.235447999992</v>
      </c>
    </row>
    <row r="10" spans="1:19">
      <c r="A10" s="37">
        <f t="shared" si="11"/>
        <v>2023</v>
      </c>
      <c r="B10" s="38">
        <f t="shared" si="12"/>
        <v>26</v>
      </c>
      <c r="C10" s="39">
        <f>C9*(1+$G$2)</f>
        <v>78740.479999999996</v>
      </c>
      <c r="D10" s="39">
        <f t="shared" si="7"/>
        <v>8495.6833684210524</v>
      </c>
      <c r="E10" s="39">
        <f>D10+E9*(1+$G$3)-15000</f>
        <v>3250.573839440789</v>
      </c>
      <c r="F10" s="39">
        <f t="shared" si="8"/>
        <v>20721.178947368418</v>
      </c>
      <c r="G10" s="39">
        <f t="shared" si="10"/>
        <v>107406.42145631582</v>
      </c>
      <c r="H10" s="25" t="s">
        <v>37</v>
      </c>
      <c r="I10" s="39">
        <f t="shared" si="9"/>
        <v>0.86718000062499989</v>
      </c>
      <c r="J10" s="50">
        <f t="shared" si="0"/>
        <v>0</v>
      </c>
      <c r="K10" s="39">
        <f t="shared" si="1"/>
        <v>0</v>
      </c>
      <c r="L10" s="42">
        <f t="shared" si="2"/>
        <v>0</v>
      </c>
      <c r="M10" s="9">
        <f t="shared" si="3"/>
        <v>1129.443443929913</v>
      </c>
      <c r="N10" s="39">
        <f t="shared" si="4"/>
        <v>3725.6280250246782</v>
      </c>
      <c r="O10" s="40">
        <f t="shared" si="5"/>
        <v>4296.2568582526328</v>
      </c>
      <c r="P10" s="54"/>
      <c r="Q10" s="31">
        <f t="shared" si="6"/>
        <v>68282.16949561279</v>
      </c>
    </row>
    <row r="11" spans="1:19">
      <c r="A11" s="37">
        <f t="shared" si="11"/>
        <v>2024</v>
      </c>
      <c r="B11" s="38">
        <f t="shared" si="12"/>
        <v>27</v>
      </c>
      <c r="C11" s="9">
        <f>C10*(1+$G$2+0.1)</f>
        <v>89764.147200000007</v>
      </c>
      <c r="D11" s="39">
        <f t="shared" si="7"/>
        <v>9685.0790400000005</v>
      </c>
      <c r="E11" s="39">
        <f t="shared" ref="E11:E42" si="13">D11+E10*(1+$G$3)</f>
        <v>12951.905748637993</v>
      </c>
      <c r="F11" s="39">
        <f t="shared" si="8"/>
        <v>23622.144000000004</v>
      </c>
      <c r="G11" s="39">
        <f t="shared" si="10"/>
        <v>140695.14338738425</v>
      </c>
      <c r="H11" s="26" t="s">
        <v>38</v>
      </c>
      <c r="I11" s="39">
        <f t="shared" si="9"/>
        <v>0.83682870060312486</v>
      </c>
      <c r="J11" s="50">
        <f t="shared" si="0"/>
        <v>0</v>
      </c>
      <c r="K11" s="39">
        <f t="shared" si="1"/>
        <v>0</v>
      </c>
      <c r="L11" s="42">
        <f t="shared" si="2"/>
        <v>0</v>
      </c>
      <c r="M11" s="9">
        <f t="shared" si="3"/>
        <v>1453.3727221379331</v>
      </c>
      <c r="N11" s="39">
        <f t="shared" si="4"/>
        <v>4709.5093608814041</v>
      </c>
      <c r="O11" s="40">
        <f t="shared" si="5"/>
        <v>5627.8057354953698</v>
      </c>
      <c r="P11" s="54"/>
      <c r="Q11" s="31">
        <f t="shared" si="6"/>
        <v>75117.214662123632</v>
      </c>
    </row>
    <row r="12" spans="1:19">
      <c r="A12" s="37">
        <f t="shared" si="11"/>
        <v>2025</v>
      </c>
      <c r="B12" s="38">
        <f t="shared" si="12"/>
        <v>28</v>
      </c>
      <c r="C12" s="39">
        <f t="shared" ref="C12:C43" si="14">C11*(1+$G$2)</f>
        <v>93354.713088000004</v>
      </c>
      <c r="D12" s="39">
        <f t="shared" si="7"/>
        <v>10072.482201600002</v>
      </c>
      <c r="E12" s="39">
        <f t="shared" si="13"/>
        <v>23089.147478981184</v>
      </c>
      <c r="F12" s="39">
        <f t="shared" si="8"/>
        <v>24567.029760000001</v>
      </c>
      <c r="G12" s="39">
        <f t="shared" si="10"/>
        <v>177924.73605224886</v>
      </c>
      <c r="H12" s="38"/>
      <c r="I12" s="39">
        <f t="shared" si="9"/>
        <v>0.80753969608201548</v>
      </c>
      <c r="J12" s="50">
        <f t="shared" si="0"/>
        <v>0</v>
      </c>
      <c r="K12" s="39">
        <f t="shared" si="1"/>
        <v>0</v>
      </c>
      <c r="L12" s="42">
        <f t="shared" si="2"/>
        <v>0</v>
      </c>
      <c r="M12" s="9">
        <f t="shared" si="3"/>
        <v>1805.5016318870053</v>
      </c>
      <c r="N12" s="39">
        <f t="shared" si="4"/>
        <v>5747.2514910842347</v>
      </c>
      <c r="O12" s="40">
        <f t="shared" si="5"/>
        <v>7116.9894420899545</v>
      </c>
      <c r="P12" s="54"/>
      <c r="Q12" s="31">
        <f t="shared" si="6"/>
        <v>75387.636634907278</v>
      </c>
    </row>
    <row r="13" spans="1:19">
      <c r="A13" s="37">
        <f t="shared" si="11"/>
        <v>2026</v>
      </c>
      <c r="B13" s="38">
        <f t="shared" si="12"/>
        <v>29</v>
      </c>
      <c r="C13" s="39">
        <f t="shared" si="14"/>
        <v>97088.901611520007</v>
      </c>
      <c r="D13" s="39">
        <f t="shared" si="7"/>
        <v>10475.381489664001</v>
      </c>
      <c r="E13" s="39">
        <f t="shared" si="13"/>
        <v>33679.974706040091</v>
      </c>
      <c r="F13" s="39">
        <f t="shared" si="8"/>
        <v>25549.710950400004</v>
      </c>
      <c r="G13" s="39">
        <f t="shared" si="10"/>
        <v>219487.67324735128</v>
      </c>
      <c r="H13" s="38"/>
      <c r="I13" s="39">
        <f t="shared" si="9"/>
        <v>0.77927580671914487</v>
      </c>
      <c r="J13" s="50">
        <f t="shared" si="0"/>
        <v>0</v>
      </c>
      <c r="K13" s="39">
        <f t="shared" si="1"/>
        <v>0</v>
      </c>
      <c r="L13" s="42">
        <f t="shared" si="2"/>
        <v>0</v>
      </c>
      <c r="M13" s="9">
        <f t="shared" si="3"/>
        <v>2187.9396888323135</v>
      </c>
      <c r="N13" s="39">
        <f t="shared" si="4"/>
        <v>6841.6573453895089</v>
      </c>
      <c r="O13" s="40">
        <f t="shared" si="5"/>
        <v>8779.5069298940507</v>
      </c>
      <c r="P13" s="54"/>
      <c r="Q13" s="31">
        <f t="shared" si="6"/>
        <v>75659.032126792939</v>
      </c>
    </row>
    <row r="14" spans="1:19">
      <c r="A14" s="37">
        <f t="shared" si="11"/>
        <v>2027</v>
      </c>
      <c r="B14" s="38">
        <f t="shared" si="12"/>
        <v>30</v>
      </c>
      <c r="C14" s="39">
        <f t="shared" si="14"/>
        <v>100972.45767598081</v>
      </c>
      <c r="D14" s="39">
        <f t="shared" si="7"/>
        <v>10894.396749250562</v>
      </c>
      <c r="E14" s="39">
        <f t="shared" si="13"/>
        <v>44742.771328820847</v>
      </c>
      <c r="F14" s="39">
        <f t="shared" si="8"/>
        <v>26571.699388416004</v>
      </c>
      <c r="G14" s="39">
        <f t="shared" si="10"/>
        <v>265813.2632280289</v>
      </c>
      <c r="H14" s="38"/>
      <c r="I14" s="39">
        <f t="shared" si="9"/>
        <v>0.75200115348397478</v>
      </c>
      <c r="J14" s="50">
        <f t="shared" si="0"/>
        <v>0</v>
      </c>
      <c r="K14" s="39">
        <f t="shared" si="1"/>
        <v>0</v>
      </c>
      <c r="L14" s="42">
        <f t="shared" si="2"/>
        <v>0</v>
      </c>
      <c r="M14" s="9">
        <f t="shared" si="3"/>
        <v>2602.9481397160848</v>
      </c>
      <c r="N14" s="39">
        <f t="shared" si="4"/>
        <v>7995.6752223526855</v>
      </c>
      <c r="O14" s="40">
        <f t="shared" si="5"/>
        <v>10632.530529121155</v>
      </c>
      <c r="P14" s="54"/>
      <c r="Q14" s="31">
        <f t="shared" si="6"/>
        <v>75931.404642449401</v>
      </c>
    </row>
    <row r="15" spans="1:19">
      <c r="A15" s="41">
        <f t="shared" si="11"/>
        <v>2028</v>
      </c>
      <c r="B15" s="10">
        <f t="shared" si="12"/>
        <v>31</v>
      </c>
      <c r="C15" s="9">
        <f t="shared" si="14"/>
        <v>105011.35598302005</v>
      </c>
      <c r="D15" s="9">
        <f t="shared" si="7"/>
        <v>11330.172619220586</v>
      </c>
      <c r="E15" s="9">
        <f t="shared" si="13"/>
        <v>56296.657804685528</v>
      </c>
      <c r="F15" s="9">
        <f t="shared" si="8"/>
        <v>27634.567363952647</v>
      </c>
      <c r="G15" s="9">
        <f t="shared" si="10"/>
        <v>317371.02428250416</v>
      </c>
      <c r="H15" s="10"/>
      <c r="I15" s="9">
        <f t="shared" si="9"/>
        <v>0.72568111311203565</v>
      </c>
      <c r="J15" s="50">
        <f t="shared" si="0"/>
        <v>0</v>
      </c>
      <c r="K15" s="39">
        <f t="shared" si="1"/>
        <v>0</v>
      </c>
      <c r="L15" s="42">
        <f t="shared" si="2"/>
        <v>0</v>
      </c>
      <c r="M15" s="9">
        <f t="shared" si="3"/>
        <v>3052.9507516075701</v>
      </c>
      <c r="N15" s="9">
        <f t="shared" si="4"/>
        <v>9212.4063268333812</v>
      </c>
      <c r="O15" s="42">
        <f t="shared" si="5"/>
        <v>12694.840971300167</v>
      </c>
      <c r="P15" s="54"/>
      <c r="Q15" s="31">
        <f t="shared" si="6"/>
        <v>76204.757699162219</v>
      </c>
    </row>
    <row r="16" spans="1:19">
      <c r="A16" s="41">
        <f t="shared" si="11"/>
        <v>2029</v>
      </c>
      <c r="B16" s="10">
        <f t="shared" si="12"/>
        <v>32</v>
      </c>
      <c r="C16" s="9">
        <f t="shared" si="14"/>
        <v>109211.81022234086</v>
      </c>
      <c r="D16" s="9">
        <f t="shared" si="7"/>
        <v>11783.37952398941</v>
      </c>
      <c r="E16" s="9">
        <f t="shared" si="13"/>
        <v>68361.520617698363</v>
      </c>
      <c r="F16" s="9">
        <f t="shared" si="8"/>
        <v>28739.950058510756</v>
      </c>
      <c r="G16" s="9">
        <f t="shared" si="10"/>
        <v>374674.36652644031</v>
      </c>
      <c r="H16" s="10"/>
      <c r="I16" s="9">
        <f t="shared" si="9"/>
        <v>0.70028227415311439</v>
      </c>
      <c r="J16" s="50">
        <f t="shared" si="0"/>
        <v>0</v>
      </c>
      <c r="K16" s="39">
        <f t="shared" si="1"/>
        <v>0</v>
      </c>
      <c r="L16" s="42">
        <f t="shared" si="2"/>
        <v>0</v>
      </c>
      <c r="M16" s="9">
        <f t="shared" si="3"/>
        <v>3540.5453656942932</v>
      </c>
      <c r="N16" s="9">
        <f t="shared" si="4"/>
        <v>10495.112698320527</v>
      </c>
      <c r="O16" s="42">
        <f t="shared" si="5"/>
        <v>14986.974661057613</v>
      </c>
      <c r="P16" s="54"/>
      <c r="Q16" s="31">
        <f t="shared" si="6"/>
        <v>76479.094826879213</v>
      </c>
    </row>
    <row r="17" spans="1:17">
      <c r="A17" s="41">
        <f t="shared" si="11"/>
        <v>2030</v>
      </c>
      <c r="B17" s="10">
        <f t="shared" si="12"/>
        <v>33</v>
      </c>
      <c r="C17" s="9">
        <f t="shared" si="14"/>
        <v>113580.2826312345</v>
      </c>
      <c r="D17" s="9">
        <f t="shared" si="7"/>
        <v>12254.714704948987</v>
      </c>
      <c r="E17" s="9">
        <f t="shared" si="13"/>
        <v>80958.042925735834</v>
      </c>
      <c r="F17" s="9">
        <f t="shared" si="8"/>
        <v>29889.54806085119</v>
      </c>
      <c r="G17" s="9">
        <f t="shared" si="10"/>
        <v>438284.60757467116</v>
      </c>
      <c r="H17" s="10"/>
      <c r="I17" s="9">
        <f t="shared" si="9"/>
        <v>0.6757723945577554</v>
      </c>
      <c r="J17" s="50">
        <f t="shared" si="0"/>
        <v>0</v>
      </c>
      <c r="K17" s="39">
        <f t="shared" si="1"/>
        <v>0</v>
      </c>
      <c r="L17" s="42">
        <f t="shared" si="2"/>
        <v>0</v>
      </c>
      <c r="M17" s="9">
        <f t="shared" si="3"/>
        <v>4068.5162697454994</v>
      </c>
      <c r="N17" s="9">
        <f t="shared" si="4"/>
        <v>11847.225550341667</v>
      </c>
      <c r="O17" s="42">
        <f t="shared" si="5"/>
        <v>17531.384302986848</v>
      </c>
      <c r="P17" s="54"/>
      <c r="Q17" s="31">
        <f t="shared" si="6"/>
        <v>76754.419568255966</v>
      </c>
    </row>
    <row r="18" spans="1:17">
      <c r="A18" s="41">
        <f t="shared" si="11"/>
        <v>2031</v>
      </c>
      <c r="B18" s="10">
        <f t="shared" si="12"/>
        <v>34</v>
      </c>
      <c r="C18" s="9">
        <f t="shared" si="14"/>
        <v>118123.49393648388</v>
      </c>
      <c r="D18" s="9">
        <f t="shared" si="7"/>
        <v>12744.903293146945</v>
      </c>
      <c r="E18" s="9">
        <f t="shared" si="13"/>
        <v>94107.73643351144</v>
      </c>
      <c r="F18" s="9">
        <f t="shared" si="8"/>
        <v>31085.129983285235</v>
      </c>
      <c r="G18" s="9">
        <f t="shared" si="10"/>
        <v>508815.35223967681</v>
      </c>
      <c r="H18" s="10"/>
      <c r="I18" s="9">
        <f t="shared" si="9"/>
        <v>0.65212036074823398</v>
      </c>
      <c r="J18" s="50">
        <f t="shared" si="0"/>
        <v>0</v>
      </c>
      <c r="K18" s="39">
        <f t="shared" si="1"/>
        <v>0</v>
      </c>
      <c r="L18" s="42">
        <f t="shared" si="2"/>
        <v>0</v>
      </c>
      <c r="M18" s="9">
        <f t="shared" si="3"/>
        <v>4639.8474471986538</v>
      </c>
      <c r="N18" s="9">
        <f t="shared" si="4"/>
        <v>13272.354042271112</v>
      </c>
      <c r="O18" s="42">
        <f t="shared" si="5"/>
        <v>20352.614089587074</v>
      </c>
      <c r="P18" s="54"/>
      <c r="Q18" s="31">
        <f t="shared" si="6"/>
        <v>77030.735478701696</v>
      </c>
    </row>
    <row r="19" spans="1:17">
      <c r="A19" s="41">
        <f t="shared" si="11"/>
        <v>2032</v>
      </c>
      <c r="B19" s="10">
        <f t="shared" si="12"/>
        <v>35</v>
      </c>
      <c r="C19" s="9">
        <f t="shared" si="14"/>
        <v>122848.43369394324</v>
      </c>
      <c r="D19" s="9">
        <f t="shared" si="7"/>
        <v>13254.699424872824</v>
      </c>
      <c r="E19" s="9">
        <f t="shared" si="13"/>
        <v>107832.97454055182</v>
      </c>
      <c r="F19" s="9">
        <f t="shared" si="8"/>
        <v>32328.535182616644</v>
      </c>
      <c r="G19" s="9">
        <f t="shared" si="10"/>
        <v>586937.26912386448</v>
      </c>
      <c r="H19" s="10"/>
      <c r="I19" s="9">
        <f t="shared" si="9"/>
        <v>0.62929614812204582</v>
      </c>
      <c r="J19" s="50">
        <f t="shared" si="0"/>
        <v>0</v>
      </c>
      <c r="K19" s="39">
        <f t="shared" si="1"/>
        <v>0</v>
      </c>
      <c r="L19" s="42">
        <f t="shared" si="2"/>
        <v>0</v>
      </c>
      <c r="M19" s="9">
        <f t="shared" si="3"/>
        <v>5257.7367649206553</v>
      </c>
      <c r="N19" s="9">
        <f t="shared" si="4"/>
        <v>14774.294505956819</v>
      </c>
      <c r="O19" s="42">
        <f t="shared" si="5"/>
        <v>23477.490764954578</v>
      </c>
      <c r="P19" s="54"/>
      <c r="Q19" s="31">
        <f t="shared" si="6"/>
        <v>77308.046126425033</v>
      </c>
    </row>
    <row r="20" spans="1:17">
      <c r="A20" s="41">
        <f t="shared" si="11"/>
        <v>2033</v>
      </c>
      <c r="B20" s="10">
        <f t="shared" si="12"/>
        <v>36</v>
      </c>
      <c r="C20" s="9">
        <f t="shared" si="14"/>
        <v>127762.37104170097</v>
      </c>
      <c r="D20" s="9">
        <f t="shared" si="7"/>
        <v>13784.887401867736</v>
      </c>
      <c r="E20" s="9">
        <f t="shared" si="13"/>
        <v>122157.0268151223</v>
      </c>
      <c r="F20" s="9">
        <f t="shared" si="8"/>
        <v>33621.676589921313</v>
      </c>
      <c r="G20" s="9">
        <f t="shared" si="10"/>
        <v>673383.29993493366</v>
      </c>
      <c r="H20" s="10"/>
      <c r="I20" s="9">
        <f t="shared" si="9"/>
        <v>0.60727078293777415</v>
      </c>
      <c r="J20" s="50">
        <f t="shared" si="0"/>
        <v>0</v>
      </c>
      <c r="K20" s="39">
        <f t="shared" si="1"/>
        <v>0</v>
      </c>
      <c r="L20" s="42">
        <f t="shared" si="2"/>
        <v>0</v>
      </c>
      <c r="M20" s="9">
        <f t="shared" si="3"/>
        <v>5925.6111660865336</v>
      </c>
      <c r="N20" s="9">
        <f t="shared" si="4"/>
        <v>16357.040150748368</v>
      </c>
      <c r="O20" s="42">
        <f t="shared" si="5"/>
        <v>26935.331997397348</v>
      </c>
      <c r="P20" s="54"/>
      <c r="Q20" s="31">
        <f t="shared" si="6"/>
        <v>77586.355092480153</v>
      </c>
    </row>
    <row r="21" spans="1:17">
      <c r="A21" s="41">
        <f t="shared" si="11"/>
        <v>2034</v>
      </c>
      <c r="B21" s="10">
        <f t="shared" si="12"/>
        <v>37</v>
      </c>
      <c r="C21" s="9">
        <f t="shared" si="14"/>
        <v>132872.86588336903</v>
      </c>
      <c r="D21" s="9">
        <f t="shared" si="7"/>
        <v>14336.282897942448</v>
      </c>
      <c r="E21" s="9">
        <f t="shared" si="13"/>
        <v>137104.09484714034</v>
      </c>
      <c r="F21" s="9">
        <f t="shared" si="8"/>
        <v>34966.543653518165</v>
      </c>
      <c r="G21" s="9">
        <f t="shared" si="10"/>
        <v>768954.34058259591</v>
      </c>
      <c r="H21" s="10"/>
      <c r="I21" s="9">
        <f t="shared" si="9"/>
        <v>0.58601630553495199</v>
      </c>
      <c r="J21" s="50">
        <f t="shared" si="0"/>
        <v>0</v>
      </c>
      <c r="K21" s="39">
        <f t="shared" si="1"/>
        <v>0</v>
      </c>
      <c r="L21" s="42">
        <f t="shared" si="2"/>
        <v>0</v>
      </c>
      <c r="M21" s="9">
        <f t="shared" si="3"/>
        <v>6647.1429393200833</v>
      </c>
      <c r="N21" s="9">
        <f t="shared" si="4"/>
        <v>18024.791271731123</v>
      </c>
      <c r="O21" s="42">
        <f t="shared" si="5"/>
        <v>30758.173623303835</v>
      </c>
      <c r="P21" s="54"/>
      <c r="Q21" s="31">
        <f t="shared" si="6"/>
        <v>77865.665970813076</v>
      </c>
    </row>
    <row r="22" spans="1:17">
      <c r="A22" s="41">
        <f t="shared" si="11"/>
        <v>2035</v>
      </c>
      <c r="B22" s="10">
        <f t="shared" si="12"/>
        <v>38</v>
      </c>
      <c r="C22" s="9">
        <f t="shared" si="14"/>
        <v>138187.7805187038</v>
      </c>
      <c r="D22" s="9">
        <f t="shared" si="7"/>
        <v>14909.734213860147</v>
      </c>
      <c r="E22" s="9">
        <f t="shared" si="13"/>
        <v>152699.34953523616</v>
      </c>
      <c r="F22" s="9">
        <f t="shared" si="8"/>
        <v>36365.205399658895</v>
      </c>
      <c r="G22" s="9">
        <f t="shared" si="10"/>
        <v>874525.43663468852</v>
      </c>
      <c r="H22" s="10"/>
      <c r="I22" s="9">
        <f t="shared" si="9"/>
        <v>0.56550573484122868</v>
      </c>
      <c r="J22" s="50">
        <f t="shared" si="0"/>
        <v>0</v>
      </c>
      <c r="K22" s="39">
        <f t="shared" si="1"/>
        <v>0</v>
      </c>
      <c r="L22" s="42">
        <f t="shared" si="2"/>
        <v>0</v>
      </c>
      <c r="M22" s="9">
        <f t="shared" si="3"/>
        <v>7426.2671402753667</v>
      </c>
      <c r="N22" s="9">
        <f t="shared" si="4"/>
        <v>19781.965987257838</v>
      </c>
      <c r="O22" s="42">
        <f t="shared" si="5"/>
        <v>34981.017465387544</v>
      </c>
      <c r="P22" s="54"/>
      <c r="Q22" s="31">
        <f t="shared" si="6"/>
        <v>78145.982368308018</v>
      </c>
    </row>
    <row r="23" spans="1:17">
      <c r="A23" s="41">
        <f t="shared" si="11"/>
        <v>2036</v>
      </c>
      <c r="B23" s="10">
        <f t="shared" si="12"/>
        <v>39</v>
      </c>
      <c r="C23" s="9">
        <f t="shared" si="14"/>
        <v>143715.29173945196</v>
      </c>
      <c r="D23" s="9">
        <f t="shared" si="7"/>
        <v>15506.123582414555</v>
      </c>
      <c r="E23" s="9">
        <f t="shared" si="13"/>
        <v>168968.96986532689</v>
      </c>
      <c r="F23" s="9">
        <f t="shared" si="8"/>
        <v>37819.813615645253</v>
      </c>
      <c r="G23" s="9">
        <f t="shared" si="10"/>
        <v>991052.53954745585</v>
      </c>
      <c r="H23" s="10"/>
      <c r="I23" s="9">
        <f t="shared" si="9"/>
        <v>0.54571303412178562</v>
      </c>
      <c r="J23" s="50">
        <f t="shared" si="0"/>
        <v>0</v>
      </c>
      <c r="K23" s="39">
        <f t="shared" si="1"/>
        <v>0</v>
      </c>
      <c r="L23" s="42">
        <f t="shared" si="2"/>
        <v>0</v>
      </c>
      <c r="M23" s="9">
        <f t="shared" si="3"/>
        <v>8267.2002472285767</v>
      </c>
      <c r="N23" s="9">
        <f t="shared" si="4"/>
        <v>21633.211533221722</v>
      </c>
      <c r="O23" s="42">
        <f t="shared" si="5"/>
        <v>39642.101581898234</v>
      </c>
      <c r="P23" s="54"/>
      <c r="Q23" s="31">
        <f t="shared" si="6"/>
        <v>78427.307904833928</v>
      </c>
    </row>
    <row r="24" spans="1:17">
      <c r="A24" s="41">
        <f t="shared" si="11"/>
        <v>2037</v>
      </c>
      <c r="B24" s="10">
        <f t="shared" si="12"/>
        <v>40</v>
      </c>
      <c r="C24" s="9">
        <f t="shared" si="14"/>
        <v>149463.90340903006</v>
      </c>
      <c r="D24" s="9">
        <f t="shared" si="7"/>
        <v>16126.368525711139</v>
      </c>
      <c r="E24" s="9">
        <f t="shared" si="13"/>
        <v>185940.18324036465</v>
      </c>
      <c r="F24" s="9">
        <f t="shared" si="8"/>
        <v>39332.606160271069</v>
      </c>
      <c r="G24" s="9">
        <f t="shared" si="10"/>
        <v>1119579.8742669979</v>
      </c>
      <c r="H24" s="23" t="s">
        <v>30</v>
      </c>
      <c r="I24" s="9">
        <f t="shared" si="9"/>
        <v>0.5266130779275231</v>
      </c>
      <c r="J24" s="50">
        <f t="shared" si="0"/>
        <v>0</v>
      </c>
      <c r="K24" s="39">
        <f t="shared" si="1"/>
        <v>0</v>
      </c>
      <c r="L24" s="42">
        <f t="shared" si="2"/>
        <v>0</v>
      </c>
      <c r="M24" s="9">
        <f t="shared" si="3"/>
        <v>9174.4601380220065</v>
      </c>
      <c r="N24" s="9">
        <f t="shared" si="4"/>
        <v>23583.416142938124</v>
      </c>
      <c r="O24" s="42">
        <f t="shared" si="5"/>
        <v>44783.194970679921</v>
      </c>
      <c r="P24" s="54"/>
      <c r="Q24" s="31">
        <f t="shared" si="6"/>
        <v>78709.646213291329</v>
      </c>
    </row>
    <row r="25" spans="1:17">
      <c r="A25" s="41">
        <f t="shared" si="11"/>
        <v>2038</v>
      </c>
      <c r="B25" s="10">
        <f t="shared" si="12"/>
        <v>41</v>
      </c>
      <c r="C25" s="9">
        <f t="shared" si="14"/>
        <v>155442.45954539126</v>
      </c>
      <c r="D25" s="9">
        <f t="shared" si="7"/>
        <v>16771.423266739585</v>
      </c>
      <c r="E25" s="9">
        <f t="shared" si="13"/>
        <v>203641.30742330605</v>
      </c>
      <c r="F25" s="9">
        <f t="shared" si="8"/>
        <v>40905.910406681913</v>
      </c>
      <c r="G25" s="9">
        <f t="shared" si="10"/>
        <v>1261247.9733577098</v>
      </c>
      <c r="H25" s="10"/>
      <c r="I25" s="9">
        <f t="shared" si="9"/>
        <v>0.50818162020005975</v>
      </c>
      <c r="J25" s="50">
        <f t="shared" si="0"/>
        <v>0</v>
      </c>
      <c r="K25" s="39">
        <f t="shared" si="1"/>
        <v>0</v>
      </c>
      <c r="L25" s="42">
        <f t="shared" si="2"/>
        <v>0</v>
      </c>
      <c r="M25" s="9">
        <f t="shared" si="3"/>
        <v>10152.887481882091</v>
      </c>
      <c r="N25" s="9">
        <f t="shared" si="4"/>
        <v>25637.721542998512</v>
      </c>
      <c r="O25" s="42">
        <f t="shared" si="5"/>
        <v>50449.918934308393</v>
      </c>
      <c r="P25" s="54"/>
      <c r="Q25" s="31">
        <f t="shared" si="6"/>
        <v>78993.000939659178</v>
      </c>
    </row>
    <row r="26" spans="1:17">
      <c r="A26" s="41">
        <f t="shared" si="11"/>
        <v>2039</v>
      </c>
      <c r="B26" s="10">
        <f t="shared" si="12"/>
        <v>42</v>
      </c>
      <c r="C26" s="9">
        <f t="shared" si="14"/>
        <v>161660.15792720692</v>
      </c>
      <c r="D26" s="9">
        <f t="shared" si="7"/>
        <v>17442.280197409167</v>
      </c>
      <c r="E26" s="9">
        <f t="shared" si="13"/>
        <v>222101.79415783173</v>
      </c>
      <c r="F26" s="9">
        <f t="shared" si="8"/>
        <v>42542.146822949187</v>
      </c>
      <c r="G26" s="9">
        <f t="shared" si="10"/>
        <v>1417302.4377828529</v>
      </c>
      <c r="H26" s="10"/>
      <c r="I26" s="9">
        <f t="shared" si="9"/>
        <v>0.49039526349305762</v>
      </c>
      <c r="J26" s="50">
        <f t="shared" si="0"/>
        <v>0</v>
      </c>
      <c r="K26" s="39">
        <f t="shared" si="1"/>
        <v>0</v>
      </c>
      <c r="L26" s="42">
        <f t="shared" si="2"/>
        <v>0</v>
      </c>
      <c r="M26" s="9">
        <f t="shared" si="3"/>
        <v>11207.668646251641</v>
      </c>
      <c r="N26" s="9">
        <f t="shared" si="4"/>
        <v>27801.536097035001</v>
      </c>
      <c r="O26" s="42">
        <f t="shared" si="5"/>
        <v>56692.097511314118</v>
      </c>
      <c r="P26" s="54"/>
      <c r="Q26" s="31">
        <f t="shared" si="6"/>
        <v>79277.37574304195</v>
      </c>
    </row>
    <row r="27" spans="1:17">
      <c r="A27" s="41">
        <f t="shared" si="11"/>
        <v>2040</v>
      </c>
      <c r="B27" s="10">
        <f t="shared" si="12"/>
        <v>43</v>
      </c>
      <c r="C27" s="9">
        <f t="shared" si="14"/>
        <v>168126.56424429521</v>
      </c>
      <c r="D27" s="9">
        <f t="shared" si="7"/>
        <v>18139.971405305536</v>
      </c>
      <c r="E27" s="9">
        <f t="shared" si="13"/>
        <v>241352.27453392639</v>
      </c>
      <c r="F27" s="9">
        <f t="shared" si="8"/>
        <v>44243.832695867168</v>
      </c>
      <c r="G27" s="9">
        <f t="shared" si="10"/>
        <v>1589103.489879177</v>
      </c>
      <c r="H27" s="10"/>
      <c r="I27" s="9">
        <f t="shared" si="9"/>
        <v>0.47323142927080059</v>
      </c>
      <c r="J27" s="50">
        <f t="shared" si="0"/>
        <v>0</v>
      </c>
      <c r="K27" s="39">
        <f t="shared" si="1"/>
        <v>0</v>
      </c>
      <c r="L27" s="42">
        <f t="shared" si="2"/>
        <v>0</v>
      </c>
      <c r="M27" s="9">
        <f t="shared" si="3"/>
        <v>12344.360225862112</v>
      </c>
      <c r="N27" s="9">
        <f t="shared" si="4"/>
        <v>30080.548630989604</v>
      </c>
      <c r="O27" s="42">
        <f t="shared" si="5"/>
        <v>63564.139595167078</v>
      </c>
      <c r="P27" s="54"/>
      <c r="Q27" s="31">
        <f t="shared" si="6"/>
        <v>79562.774295716896</v>
      </c>
    </row>
    <row r="28" spans="1:17">
      <c r="A28" s="41">
        <f t="shared" si="11"/>
        <v>2041</v>
      </c>
      <c r="B28" s="10">
        <f t="shared" si="12"/>
        <v>44</v>
      </c>
      <c r="C28" s="9">
        <f t="shared" si="14"/>
        <v>174851.62681406701</v>
      </c>
      <c r="D28" s="9">
        <f t="shared" si="7"/>
        <v>18865.570261517758</v>
      </c>
      <c r="E28" s="9">
        <f t="shared" si="13"/>
        <v>261424.60616811377</v>
      </c>
      <c r="F28" s="9">
        <f t="shared" si="8"/>
        <v>46013.58600370185</v>
      </c>
      <c r="G28" s="9">
        <f t="shared" si="10"/>
        <v>1778136.3899720048</v>
      </c>
      <c r="H28" s="10"/>
      <c r="I28" s="9">
        <f t="shared" si="9"/>
        <v>0.45666832924632256</v>
      </c>
      <c r="J28" s="50">
        <f t="shared" si="0"/>
        <v>0</v>
      </c>
      <c r="K28" s="39">
        <f t="shared" si="1"/>
        <v>0</v>
      </c>
      <c r="L28" s="42">
        <f t="shared" si="2"/>
        <v>0</v>
      </c>
      <c r="M28" s="9">
        <f t="shared" si="3"/>
        <v>13568.91530885949</v>
      </c>
      <c r="N28" s="9">
        <f t="shared" si="4"/>
        <v>32480.742975224115</v>
      </c>
      <c r="O28" s="42">
        <f t="shared" si="5"/>
        <v>71125.455598880188</v>
      </c>
      <c r="P28" s="54"/>
      <c r="Q28" s="31">
        <f t="shared" si="6"/>
        <v>79849.200283181475</v>
      </c>
    </row>
    <row r="29" spans="1:17">
      <c r="A29" s="41">
        <f t="shared" si="11"/>
        <v>2042</v>
      </c>
      <c r="B29" s="10">
        <f t="shared" si="12"/>
        <v>45</v>
      </c>
      <c r="C29" s="9">
        <f t="shared" si="14"/>
        <v>181845.69188662971</v>
      </c>
      <c r="D29" s="9">
        <f t="shared" si="7"/>
        <v>19620.193071978469</v>
      </c>
      <c r="E29" s="9">
        <f t="shared" si="13"/>
        <v>282351.92227093276</v>
      </c>
      <c r="F29" s="9">
        <f t="shared" si="8"/>
        <v>47854.129443849924</v>
      </c>
      <c r="G29" s="9">
        <f t="shared" si="10"/>
        <v>1986022.7945133352</v>
      </c>
      <c r="H29" s="10"/>
      <c r="I29" s="9">
        <f t="shared" si="9"/>
        <v>0.44068493772270123</v>
      </c>
      <c r="J29" s="50">
        <f t="shared" si="0"/>
        <v>0</v>
      </c>
      <c r="K29" s="39">
        <f t="shared" si="1"/>
        <v>0</v>
      </c>
      <c r="L29" s="42">
        <f t="shared" si="2"/>
        <v>0</v>
      </c>
      <c r="M29" s="9">
        <f t="shared" si="3"/>
        <v>14887.711602921538</v>
      </c>
      <c r="N29" s="9">
        <f t="shared" si="4"/>
        <v>35008.413260638968</v>
      </c>
      <c r="O29" s="42">
        <f t="shared" si="5"/>
        <v>79440.91178053341</v>
      </c>
      <c r="P29" s="54"/>
      <c r="Q29" s="31">
        <f t="shared" si="6"/>
        <v>80136.657404200931</v>
      </c>
    </row>
    <row r="30" spans="1:17">
      <c r="A30" s="41">
        <f t="shared" si="11"/>
        <v>2043</v>
      </c>
      <c r="B30" s="10">
        <f t="shared" si="12"/>
        <v>46</v>
      </c>
      <c r="C30" s="9">
        <f t="shared" si="14"/>
        <v>189119.51956209491</v>
      </c>
      <c r="D30" s="9">
        <f t="shared" si="7"/>
        <v>20405.000794857609</v>
      </c>
      <c r="E30" s="9">
        <f t="shared" si="13"/>
        <v>304168.682677145</v>
      </c>
      <c r="F30" s="9">
        <f t="shared" si="8"/>
        <v>49768.29462160392</v>
      </c>
      <c r="G30" s="9">
        <f t="shared" si="10"/>
        <v>2214533.1406411394</v>
      </c>
      <c r="H30" s="25" t="s">
        <v>7</v>
      </c>
      <c r="I30" s="9">
        <f t="shared" si="9"/>
        <v>0.42526096490240667</v>
      </c>
      <c r="J30" s="50">
        <f t="shared" si="0"/>
        <v>0</v>
      </c>
      <c r="K30" s="39">
        <f t="shared" si="1"/>
        <v>0</v>
      </c>
      <c r="L30" s="42">
        <f t="shared" si="2"/>
        <v>0</v>
      </c>
      <c r="M30" s="9">
        <f t="shared" si="3"/>
        <v>16307.581553003369</v>
      </c>
      <c r="N30" s="9">
        <f t="shared" si="4"/>
        <v>37670.180007896321</v>
      </c>
      <c r="O30" s="42">
        <f t="shared" si="5"/>
        <v>88581.325625645579</v>
      </c>
      <c r="P30" s="54"/>
      <c r="Q30" s="31">
        <f t="shared" si="6"/>
        <v>80425.149370856059</v>
      </c>
    </row>
    <row r="31" spans="1:17">
      <c r="A31" s="41">
        <f t="shared" si="11"/>
        <v>2044</v>
      </c>
      <c r="B31" s="10">
        <f t="shared" si="12"/>
        <v>47</v>
      </c>
      <c r="C31" s="9">
        <f t="shared" si="14"/>
        <v>196684.30034457872</v>
      </c>
      <c r="D31" s="9">
        <f t="shared" si="7"/>
        <v>21221.200826651915</v>
      </c>
      <c r="E31" s="9">
        <f t="shared" si="13"/>
        <v>326910.72691718262</v>
      </c>
      <c r="F31" s="9">
        <f t="shared" si="8"/>
        <v>51759.026406468096</v>
      </c>
      <c r="G31" s="9">
        <f t="shared" si="10"/>
        <v>2465600.1497053099</v>
      </c>
      <c r="H31" s="10"/>
      <c r="I31" s="9">
        <f t="shared" si="9"/>
        <v>0.41037683113082241</v>
      </c>
      <c r="J31" s="50">
        <f t="shared" si="0"/>
        <v>0</v>
      </c>
      <c r="K31" s="39">
        <f t="shared" si="1"/>
        <v>0</v>
      </c>
      <c r="L31" s="42">
        <f t="shared" si="2"/>
        <v>0</v>
      </c>
      <c r="M31" s="9">
        <f t="shared" si="3"/>
        <v>17835.84459166303</v>
      </c>
      <c r="N31" s="9">
        <f t="shared" si="4"/>
        <v>40473.007050869863</v>
      </c>
      <c r="O31" s="42">
        <f t="shared" si="5"/>
        <v>98624.005988212404</v>
      </c>
      <c r="P31" s="54"/>
      <c r="Q31" s="31">
        <f t="shared" si="6"/>
        <v>80714.679908591133</v>
      </c>
    </row>
    <row r="32" spans="1:17">
      <c r="A32" s="41">
        <f t="shared" si="11"/>
        <v>2045</v>
      </c>
      <c r="B32" s="10">
        <f t="shared" si="12"/>
        <v>48</v>
      </c>
      <c r="C32" s="9">
        <f t="shared" si="14"/>
        <v>204551.67235836189</v>
      </c>
      <c r="D32" s="9">
        <f t="shared" si="7"/>
        <v>22070.048859717994</v>
      </c>
      <c r="E32" s="9">
        <f t="shared" si="13"/>
        <v>350615.32941148651</v>
      </c>
      <c r="F32" s="9">
        <f t="shared" si="8"/>
        <v>53829.387462726816</v>
      </c>
      <c r="G32" s="9">
        <f t="shared" si="10"/>
        <v>2741333.5506415148</v>
      </c>
      <c r="H32" s="10"/>
      <c r="I32" s="9">
        <f t="shared" si="9"/>
        <v>0.39601364204124362</v>
      </c>
      <c r="J32" s="50">
        <f t="shared" si="0"/>
        <v>0</v>
      </c>
      <c r="K32" s="39">
        <f t="shared" si="1"/>
        <v>0</v>
      </c>
      <c r="L32" s="42">
        <f t="shared" si="2"/>
        <v>0</v>
      </c>
      <c r="M32" s="9">
        <f t="shared" si="3"/>
        <v>19480.341672892595</v>
      </c>
      <c r="N32" s="9">
        <f t="shared" si="4"/>
        <v>43424.219337576011</v>
      </c>
      <c r="O32" s="42">
        <f t="shared" si="5"/>
        <v>109653.34202566059</v>
      </c>
      <c r="P32" s="54"/>
      <c r="Q32" s="31">
        <f t="shared" si="6"/>
        <v>81005.252756262067</v>
      </c>
    </row>
    <row r="33" spans="1:17">
      <c r="A33" s="41">
        <f t="shared" si="11"/>
        <v>2046</v>
      </c>
      <c r="B33" s="10">
        <f t="shared" si="12"/>
        <v>49</v>
      </c>
      <c r="C33" s="9">
        <f t="shared" si="14"/>
        <v>212733.73925269637</v>
      </c>
      <c r="D33" s="9">
        <f t="shared" si="7"/>
        <v>22952.850814106718</v>
      </c>
      <c r="E33" s="9">
        <f t="shared" si="13"/>
        <v>375321.25687265059</v>
      </c>
      <c r="F33" s="9">
        <f t="shared" si="8"/>
        <v>55982.56296123589</v>
      </c>
      <c r="G33" s="9">
        <f t="shared" si="10"/>
        <v>3044036.1331604873</v>
      </c>
      <c r="H33" s="10"/>
      <c r="I33" s="9">
        <f t="shared" si="9"/>
        <v>0.38215316456980009</v>
      </c>
      <c r="J33" s="50">
        <f t="shared" si="0"/>
        <v>0</v>
      </c>
      <c r="K33" s="39">
        <f t="shared" si="1"/>
        <v>0</v>
      </c>
      <c r="L33" s="42">
        <f t="shared" si="2"/>
        <v>0</v>
      </c>
      <c r="M33" s="9">
        <f t="shared" si="3"/>
        <v>21249.472251059575</v>
      </c>
      <c r="N33" s="9">
        <f t="shared" si="4"/>
        <v>46531.521654083903</v>
      </c>
      <c r="O33" s="42">
        <f t="shared" si="5"/>
        <v>121761.44532641949</v>
      </c>
      <c r="P33" s="54"/>
      <c r="Q33" s="31">
        <f t="shared" si="6"/>
        <v>81296.871666184612</v>
      </c>
    </row>
    <row r="34" spans="1:17">
      <c r="A34" s="41">
        <f t="shared" si="11"/>
        <v>2047</v>
      </c>
      <c r="B34" s="10">
        <f t="shared" si="12"/>
        <v>50</v>
      </c>
      <c r="C34" s="9">
        <f t="shared" si="14"/>
        <v>221243.08882280422</v>
      </c>
      <c r="D34" s="9">
        <f t="shared" si="7"/>
        <v>23870.964846670984</v>
      </c>
      <c r="E34" s="9">
        <f t="shared" si="13"/>
        <v>401068.82800368476</v>
      </c>
      <c r="F34" s="9">
        <f t="shared" si="8"/>
        <v>58221.86547968533</v>
      </c>
      <c r="G34" s="9">
        <f t="shared" si="10"/>
        <v>3376221.2506246166</v>
      </c>
      <c r="H34" s="10"/>
      <c r="I34" s="9">
        <f t="shared" si="9"/>
        <v>0.36877780380985709</v>
      </c>
      <c r="J34" s="50">
        <f t="shared" si="0"/>
        <v>0</v>
      </c>
      <c r="K34" s="39">
        <f t="shared" si="1"/>
        <v>0</v>
      </c>
      <c r="L34" s="42">
        <f t="shared" si="2"/>
        <v>0</v>
      </c>
      <c r="M34" s="9">
        <f t="shared" si="3"/>
        <v>23152.23387799893</v>
      </c>
      <c r="N34" s="9">
        <f t="shared" si="4"/>
        <v>49803.018319260605</v>
      </c>
      <c r="O34" s="42">
        <f t="shared" si="5"/>
        <v>135048.85002498465</v>
      </c>
      <c r="P34" s="54"/>
      <c r="Q34" s="31">
        <f t="shared" si="6"/>
        <v>81589.540404182873</v>
      </c>
    </row>
    <row r="35" spans="1:17">
      <c r="A35" s="41">
        <f t="shared" si="11"/>
        <v>2048</v>
      </c>
      <c r="B35" s="10">
        <f t="shared" si="12"/>
        <v>51</v>
      </c>
      <c r="C35" s="9">
        <f t="shared" si="14"/>
        <v>230092.8123757164</v>
      </c>
      <c r="D35" s="9">
        <f t="shared" si="7"/>
        <v>24825.803440537824</v>
      </c>
      <c r="E35" s="9">
        <f t="shared" si="13"/>
        <v>427899.97558424098</v>
      </c>
      <c r="F35" s="9">
        <f t="shared" si="8"/>
        <v>60550.740098872739</v>
      </c>
      <c r="G35" s="9">
        <f t="shared" si="10"/>
        <v>3740631.903279705</v>
      </c>
      <c r="H35" s="10"/>
      <c r="I35" s="9">
        <f t="shared" si="9"/>
        <v>0.35587058067651206</v>
      </c>
      <c r="J35" s="50">
        <f t="shared" si="0"/>
        <v>0</v>
      </c>
      <c r="K35" s="39">
        <f t="shared" si="1"/>
        <v>0</v>
      </c>
      <c r="L35" s="42">
        <f t="shared" si="2"/>
        <v>0</v>
      </c>
      <c r="M35" s="9">
        <f t="shared" si="3"/>
        <v>25198.264603539872</v>
      </c>
      <c r="N35" s="9">
        <f t="shared" si="4"/>
        <v>53247.233900689404</v>
      </c>
      <c r="O35" s="42">
        <f t="shared" si="5"/>
        <v>149625.27613118821</v>
      </c>
      <c r="P35" s="54"/>
      <c r="Q35" s="31">
        <f t="shared" si="6"/>
        <v>81883.262749637943</v>
      </c>
    </row>
    <row r="36" spans="1:17">
      <c r="A36" s="41">
        <f t="shared" si="11"/>
        <v>2049</v>
      </c>
      <c r="B36" s="10">
        <f t="shared" si="12"/>
        <v>52</v>
      </c>
      <c r="C36" s="9">
        <f t="shared" si="14"/>
        <v>239296.52487074505</v>
      </c>
      <c r="D36" s="9">
        <f t="shared" si="7"/>
        <v>25818.835578159335</v>
      </c>
      <c r="E36" s="9">
        <f t="shared" si="13"/>
        <v>455858.31104032142</v>
      </c>
      <c r="F36" s="9">
        <f t="shared" si="8"/>
        <v>62972.769702827645</v>
      </c>
      <c r="G36" s="9">
        <f t="shared" si="10"/>
        <v>4140261.5442777062</v>
      </c>
      <c r="H36" s="10"/>
      <c r="I36" s="9">
        <f t="shared" si="9"/>
        <v>0.34341511035283412</v>
      </c>
      <c r="J36" s="50">
        <f t="shared" si="0"/>
        <v>0</v>
      </c>
      <c r="K36" s="39">
        <f t="shared" si="1"/>
        <v>0</v>
      </c>
      <c r="L36" s="42">
        <f t="shared" si="2"/>
        <v>0</v>
      </c>
      <c r="M36" s="9">
        <f t="shared" si="3"/>
        <v>27397.888377862444</v>
      </c>
      <c r="N36" s="9">
        <f t="shared" si="4"/>
        <v>56873.135004708951</v>
      </c>
      <c r="O36" s="42">
        <f t="shared" si="5"/>
        <v>165610.46177110824</v>
      </c>
      <c r="P36" s="54"/>
      <c r="Q36" s="31">
        <f t="shared" si="6"/>
        <v>82178.042495536632</v>
      </c>
    </row>
    <row r="37" spans="1:17">
      <c r="A37" s="41">
        <f t="shared" si="11"/>
        <v>2050</v>
      </c>
      <c r="B37" s="10">
        <f t="shared" si="12"/>
        <v>53</v>
      </c>
      <c r="C37" s="9">
        <f t="shared" si="14"/>
        <v>248868.38586557485</v>
      </c>
      <c r="D37" s="9">
        <f t="shared" si="7"/>
        <v>26851.589001285709</v>
      </c>
      <c r="E37" s="9">
        <f t="shared" si="13"/>
        <v>484989.19159680873</v>
      </c>
      <c r="F37" s="9">
        <f t="shared" si="8"/>
        <v>65491.680490940751</v>
      </c>
      <c r="G37" s="9">
        <f t="shared" si="10"/>
        <v>4578376.7637536405</v>
      </c>
      <c r="H37" s="10"/>
      <c r="I37" s="9">
        <f t="shared" si="9"/>
        <v>0.33139558149048493</v>
      </c>
      <c r="J37" s="50">
        <f t="shared" si="0"/>
        <v>0</v>
      </c>
      <c r="K37" s="39">
        <f t="shared" si="1"/>
        <v>0</v>
      </c>
      <c r="L37" s="42">
        <f t="shared" si="2"/>
        <v>0</v>
      </c>
      <c r="M37" s="9">
        <f t="shared" si="3"/>
        <v>29762.163668117137</v>
      </c>
      <c r="N37" s="9">
        <f t="shared" si="4"/>
        <v>60690.153196266489</v>
      </c>
      <c r="O37" s="42">
        <f t="shared" si="5"/>
        <v>183135.07055014561</v>
      </c>
      <c r="P37" s="54"/>
      <c r="Q37" s="31">
        <f t="shared" si="6"/>
        <v>82473.883448520559</v>
      </c>
    </row>
    <row r="38" spans="1:17">
      <c r="A38" s="41">
        <f t="shared" si="11"/>
        <v>2051</v>
      </c>
      <c r="B38" s="10">
        <f t="shared" si="12"/>
        <v>54</v>
      </c>
      <c r="C38" s="9">
        <f t="shared" si="14"/>
        <v>258823.12130019785</v>
      </c>
      <c r="D38" s="9">
        <f t="shared" si="7"/>
        <v>27925.652561337138</v>
      </c>
      <c r="E38" s="9">
        <f t="shared" si="13"/>
        <v>515339.79011612991</v>
      </c>
      <c r="F38" s="9">
        <f t="shared" si="8"/>
        <v>68111.347710578382</v>
      </c>
      <c r="G38" s="9">
        <f t="shared" si="10"/>
        <v>5058542.0202020472</v>
      </c>
      <c r="H38" s="10"/>
      <c r="I38" s="9">
        <f t="shared" si="9"/>
        <v>0.31979673613831794</v>
      </c>
      <c r="J38" s="50">
        <f t="shared" ref="J38:J61" si="15">IF(B38&lt;59,0,-1*PMT($G$1,($M$2-B38),G38,-$M$3)*(I38*(1-$G$4)^(($M$2-B38)/2-1)))</f>
        <v>0</v>
      </c>
      <c r="K38" s="39">
        <f t="shared" ref="K38:K61" si="16">IF(B38&lt;59,0,-1*PMT($G$1,($M$2-B38),G38,-$M$3)*I38)</f>
        <v>0</v>
      </c>
      <c r="L38" s="42">
        <f t="shared" ref="L38:L61" si="17">IF(B38&lt;59,0,-1*PMT($G$1,($M$2-B38),G38,-$M$3))</f>
        <v>0</v>
      </c>
      <c r="M38" s="9">
        <f t="shared" ref="M38:M61" si="18">0.04*G38*(I38*(1-$G$4)^(($M$2-B38)/2-1))</f>
        <v>32302.935516772268</v>
      </c>
      <c r="N38" s="9">
        <f t="shared" ref="N38:N61" si="19">0.04*G38*I38</f>
        <v>64708.209107165916</v>
      </c>
      <c r="O38" s="42">
        <f t="shared" ref="O38:O61" si="20">0.04*G38</f>
        <v>202341.6808080819</v>
      </c>
      <c r="P38" s="54"/>
      <c r="Q38" s="31">
        <f t="shared" ref="Q38:Q61" si="21">C38*I38</f>
        <v>82770.789428935226</v>
      </c>
    </row>
    <row r="39" spans="1:17">
      <c r="A39" s="41">
        <f t="shared" si="11"/>
        <v>2052</v>
      </c>
      <c r="B39" s="10">
        <f t="shared" si="12"/>
        <v>55</v>
      </c>
      <c r="C39" s="9">
        <f t="shared" si="14"/>
        <v>269176.04615220579</v>
      </c>
      <c r="D39" s="9">
        <f t="shared" ref="D39:D61" si="22">$E$2*C39+$I$1*C39/(1-$I$1)*$I$2</f>
        <v>29042.678663790626</v>
      </c>
      <c r="E39" s="9">
        <f t="shared" si="13"/>
        <v>546959.16773050115</v>
      </c>
      <c r="F39" s="9">
        <f t="shared" ref="F39:F61" si="23">$E$3*C39+(C39/(1-$I$1)*$E$4)+$I$1*C39/(1-$I$1)*$I$3</f>
        <v>70835.801619001548</v>
      </c>
      <c r="G39" s="9">
        <f t="shared" si="10"/>
        <v>5584646.6036392339</v>
      </c>
      <c r="H39" s="26" t="s">
        <v>8</v>
      </c>
      <c r="I39" s="9">
        <f t="shared" ref="I39:I61" si="24">I38*(1-$G$4)</f>
        <v>0.30860385037347682</v>
      </c>
      <c r="J39" s="50">
        <f t="shared" si="15"/>
        <v>0</v>
      </c>
      <c r="K39" s="39">
        <f t="shared" si="16"/>
        <v>0</v>
      </c>
      <c r="L39" s="42">
        <f t="shared" si="17"/>
        <v>0</v>
      </c>
      <c r="M39" s="9">
        <f t="shared" si="18"/>
        <v>35032.891285249061</v>
      </c>
      <c r="N39" s="9">
        <f t="shared" si="19"/>
        <v>68937.737794329107</v>
      </c>
      <c r="O39" s="42">
        <f t="shared" si="20"/>
        <v>223385.86414556936</v>
      </c>
      <c r="P39" s="54"/>
      <c r="Q39" s="31">
        <f t="shared" si="21"/>
        <v>83068.764270879401</v>
      </c>
    </row>
    <row r="40" spans="1:17">
      <c r="A40" s="41">
        <f t="shared" si="11"/>
        <v>2053</v>
      </c>
      <c r="B40" s="10">
        <f t="shared" si="12"/>
        <v>56</v>
      </c>
      <c r="C40" s="9">
        <f t="shared" si="14"/>
        <v>279943.08799829404</v>
      </c>
      <c r="D40" s="9">
        <f t="shared" si="22"/>
        <v>30204.385810342254</v>
      </c>
      <c r="E40" s="9">
        <f t="shared" si="13"/>
        <v>579898.34937949583</v>
      </c>
      <c r="F40" s="9">
        <f t="shared" si="23"/>
        <v>73669.233683761588</v>
      </c>
      <c r="G40" s="9">
        <f t="shared" ref="G40:G61" si="25">G39*(1+$G$1)+F40</f>
        <v>6160934.0316505264</v>
      </c>
      <c r="H40" s="10"/>
      <c r="I40" s="9">
        <f t="shared" si="24"/>
        <v>0.29780271561040511</v>
      </c>
      <c r="J40" s="50">
        <f t="shared" si="15"/>
        <v>0</v>
      </c>
      <c r="K40" s="39">
        <f t="shared" si="16"/>
        <v>0</v>
      </c>
      <c r="L40" s="42">
        <f t="shared" si="17"/>
        <v>0</v>
      </c>
      <c r="M40" s="9">
        <f t="shared" si="18"/>
        <v>37965.62034363838</v>
      </c>
      <c r="N40" s="9">
        <f t="shared" si="19"/>
        <v>73389.715412883539</v>
      </c>
      <c r="O40" s="42">
        <f t="shared" si="20"/>
        <v>246437.36126602106</v>
      </c>
      <c r="P40" s="54"/>
      <c r="Q40" s="31">
        <f t="shared" si="21"/>
        <v>83367.811822254575</v>
      </c>
    </row>
    <row r="41" spans="1:17">
      <c r="A41" s="41">
        <f t="shared" si="11"/>
        <v>2054</v>
      </c>
      <c r="B41" s="10">
        <f t="shared" si="12"/>
        <v>57</v>
      </c>
      <c r="C41" s="9">
        <f t="shared" si="14"/>
        <v>291140.81151822582</v>
      </c>
      <c r="D41" s="9">
        <f t="shared" si="22"/>
        <v>31412.561242755943</v>
      </c>
      <c r="E41" s="9">
        <f t="shared" si="13"/>
        <v>614210.40236914926</v>
      </c>
      <c r="F41" s="9">
        <f t="shared" si="23"/>
        <v>76616.00303111205</v>
      </c>
      <c r="G41" s="9">
        <f t="shared" si="25"/>
        <v>6792034.0975301862</v>
      </c>
      <c r="H41" s="22"/>
      <c r="I41" s="9">
        <f t="shared" si="24"/>
        <v>0.28737962056404093</v>
      </c>
      <c r="J41" s="50">
        <f t="shared" si="15"/>
        <v>0</v>
      </c>
      <c r="K41" s="39">
        <f t="shared" si="16"/>
        <v>0</v>
      </c>
      <c r="L41" s="42">
        <f t="shared" si="17"/>
        <v>0</v>
      </c>
      <c r="M41" s="9">
        <f t="shared" si="18"/>
        <v>41115.677985746377</v>
      </c>
      <c r="N41" s="9">
        <f t="shared" si="19"/>
        <v>78075.687272250128</v>
      </c>
      <c r="O41" s="42">
        <f t="shared" si="20"/>
        <v>271681.36390120746</v>
      </c>
      <c r="P41" s="54"/>
      <c r="Q41" s="31">
        <f t="shared" si="21"/>
        <v>83667.935944814686</v>
      </c>
    </row>
    <row r="42" spans="1:17">
      <c r="A42" s="41">
        <f t="shared" si="11"/>
        <v>2055</v>
      </c>
      <c r="B42" s="10">
        <f t="shared" si="12"/>
        <v>58</v>
      </c>
      <c r="C42" s="9">
        <f t="shared" si="14"/>
        <v>302786.44397895486</v>
      </c>
      <c r="D42" s="9">
        <f t="shared" si="22"/>
        <v>32669.063692466185</v>
      </c>
      <c r="E42" s="9">
        <f t="shared" si="13"/>
        <v>649950.51807346113</v>
      </c>
      <c r="F42" s="9">
        <f t="shared" si="23"/>
        <v>79680.643152356541</v>
      </c>
      <c r="G42" s="9">
        <f t="shared" si="25"/>
        <v>7482997.80946026</v>
      </c>
      <c r="H42" s="10"/>
      <c r="I42" s="9">
        <f t="shared" si="24"/>
        <v>0.27732133384429947</v>
      </c>
      <c r="J42" s="50">
        <f t="shared" si="15"/>
        <v>0</v>
      </c>
      <c r="K42" s="39">
        <f t="shared" si="16"/>
        <v>0</v>
      </c>
      <c r="L42" s="42">
        <f t="shared" si="17"/>
        <v>0</v>
      </c>
      <c r="M42" s="9">
        <f t="shared" si="18"/>
        <v>44498.653868475369</v>
      </c>
      <c r="N42" s="9">
        <f t="shared" si="19"/>
        <v>83007.797346939609</v>
      </c>
      <c r="O42" s="42">
        <f t="shared" si="20"/>
        <v>299319.9123784104</v>
      </c>
      <c r="P42" s="54"/>
      <c r="Q42" s="31">
        <f t="shared" si="21"/>
        <v>83969.140514216022</v>
      </c>
    </row>
    <row r="43" spans="1:17">
      <c r="A43" s="41">
        <f t="shared" si="11"/>
        <v>2056</v>
      </c>
      <c r="B43" s="10">
        <f t="shared" si="12"/>
        <v>59</v>
      </c>
      <c r="C43" s="9">
        <f t="shared" si="14"/>
        <v>314897.90173811308</v>
      </c>
      <c r="D43" s="9">
        <f t="shared" si="22"/>
        <v>33975.826240164839</v>
      </c>
      <c r="E43" s="9">
        <f t="shared" ref="E43:E61" si="26">D43+E42*(1+$G$3)</f>
        <v>687176.09690399317</v>
      </c>
      <c r="F43" s="9">
        <f t="shared" si="23"/>
        <v>82867.868878450812</v>
      </c>
      <c r="G43" s="9">
        <f t="shared" si="25"/>
        <v>8239335.4811901348</v>
      </c>
      <c r="H43" s="10" t="s">
        <v>11</v>
      </c>
      <c r="I43" s="9">
        <f t="shared" si="24"/>
        <v>0.26761508715974897</v>
      </c>
      <c r="J43" s="50">
        <f t="shared" si="15"/>
        <v>107206.34656700124</v>
      </c>
      <c r="K43" s="39">
        <f t="shared" si="16"/>
        <v>196451.8709719443</v>
      </c>
      <c r="L43" s="42">
        <f t="shared" si="17"/>
        <v>734083.69108381099</v>
      </c>
      <c r="M43" s="9">
        <f t="shared" si="18"/>
        <v>48131.245295703557</v>
      </c>
      <c r="N43" s="9">
        <f t="shared" si="19"/>
        <v>88198.819317484405</v>
      </c>
      <c r="O43" s="42">
        <f t="shared" si="20"/>
        <v>329573.41924760537</v>
      </c>
      <c r="P43" s="54"/>
      <c r="Q43" s="31">
        <f t="shared" si="21"/>
        <v>84271.429420067201</v>
      </c>
    </row>
    <row r="44" spans="1:17">
      <c r="A44" s="41">
        <f t="shared" si="11"/>
        <v>2057</v>
      </c>
      <c r="B44" s="10">
        <f t="shared" si="12"/>
        <v>60</v>
      </c>
      <c r="C44" s="9">
        <f t="shared" ref="C44:C61" si="27">C43*(1+$G$2)</f>
        <v>327493.81780763762</v>
      </c>
      <c r="D44" s="9">
        <f t="shared" si="22"/>
        <v>35334.859289771426</v>
      </c>
      <c r="E44" s="9">
        <f t="shared" si="26"/>
        <v>725946.83667828445</v>
      </c>
      <c r="F44" s="9">
        <f t="shared" si="23"/>
        <v>86182.583633588845</v>
      </c>
      <c r="G44" s="9">
        <f t="shared" si="25"/>
        <v>9067058.2581308354</v>
      </c>
      <c r="H44" s="10"/>
      <c r="I44" s="9">
        <f t="shared" si="24"/>
        <v>0.25824855910915773</v>
      </c>
      <c r="J44" s="50">
        <f t="shared" si="15"/>
        <v>116450.03456434819</v>
      </c>
      <c r="K44" s="39">
        <f t="shared" si="16"/>
        <v>209623.00943476771</v>
      </c>
      <c r="L44" s="42">
        <f t="shared" si="17"/>
        <v>811710.27694355207</v>
      </c>
      <c r="M44" s="9">
        <f t="shared" si="18"/>
        <v>52031.335689481282</v>
      </c>
      <c r="N44" s="9">
        <f t="shared" si="19"/>
        <v>93662.189220843109</v>
      </c>
      <c r="O44" s="42">
        <f t="shared" si="20"/>
        <v>362682.3303252334</v>
      </c>
      <c r="P44" s="54"/>
      <c r="Q44" s="31">
        <f t="shared" si="21"/>
        <v>84574.806565979437</v>
      </c>
    </row>
    <row r="45" spans="1:17">
      <c r="A45" s="41">
        <f t="shared" si="11"/>
        <v>2058</v>
      </c>
      <c r="B45" s="10">
        <f t="shared" si="12"/>
        <v>61</v>
      </c>
      <c r="C45" s="9">
        <f t="shared" si="27"/>
        <v>340593.57051994314</v>
      </c>
      <c r="D45" s="9">
        <f t="shared" si="22"/>
        <v>36748.253661362287</v>
      </c>
      <c r="E45" s="9">
        <f t="shared" si="26"/>
        <v>766324.82452303811</v>
      </c>
      <c r="F45" s="9">
        <f t="shared" si="23"/>
        <v>89629.886978932409</v>
      </c>
      <c r="G45" s="9">
        <f t="shared" si="25"/>
        <v>9972723.3883415423</v>
      </c>
      <c r="H45" s="10"/>
      <c r="I45" s="9">
        <f t="shared" si="24"/>
        <v>0.2492098595403372</v>
      </c>
      <c r="J45" s="50">
        <f t="shared" si="15"/>
        <v>126471.16202900026</v>
      </c>
      <c r="K45" s="39">
        <f t="shared" si="16"/>
        <v>223642.58085642284</v>
      </c>
      <c r="L45" s="42">
        <f t="shared" si="17"/>
        <v>897406.6325823837</v>
      </c>
      <c r="M45" s="9">
        <f t="shared" si="18"/>
        <v>56218.078615618317</v>
      </c>
      <c r="N45" s="9">
        <f t="shared" si="19"/>
        <v>99412.039793729258</v>
      </c>
      <c r="O45" s="42">
        <f t="shared" si="20"/>
        <v>398908.93553366169</v>
      </c>
      <c r="P45" s="54"/>
      <c r="Q45" s="31">
        <f t="shared" si="21"/>
        <v>84879.275869616962</v>
      </c>
    </row>
    <row r="46" spans="1:17">
      <c r="A46" s="41">
        <f t="shared" si="11"/>
        <v>2059</v>
      </c>
      <c r="B46" s="10">
        <f>B45+1</f>
        <v>62</v>
      </c>
      <c r="C46" s="9">
        <f t="shared" si="27"/>
        <v>354217.31334074086</v>
      </c>
      <c r="D46" s="9">
        <f t="shared" si="22"/>
        <v>38218.183807816778</v>
      </c>
      <c r="E46" s="9">
        <f t="shared" si="26"/>
        <v>808374.63245347003</v>
      </c>
      <c r="F46" s="9">
        <f t="shared" si="23"/>
        <v>93215.082458089702</v>
      </c>
      <c r="G46" s="9">
        <f t="shared" si="25"/>
        <v>10963483.575750371</v>
      </c>
      <c r="H46" s="10" t="s">
        <v>43</v>
      </c>
      <c r="I46" s="9">
        <f t="shared" si="24"/>
        <v>0.24048751445642538</v>
      </c>
      <c r="J46" s="50">
        <f t="shared" si="15"/>
        <v>137343.82869811665</v>
      </c>
      <c r="K46" s="39">
        <f t="shared" si="16"/>
        <v>238580.96623556979</v>
      </c>
      <c r="L46" s="42">
        <f t="shared" si="17"/>
        <v>992072.15299652889</v>
      </c>
      <c r="M46" s="9">
        <f t="shared" si="18"/>
        <v>60711.987756710798</v>
      </c>
      <c r="N46" s="9">
        <f t="shared" si="19"/>
        <v>105463.23659664199</v>
      </c>
      <c r="O46" s="42">
        <f t="shared" si="20"/>
        <v>438539.34303001489</v>
      </c>
      <c r="P46" s="54"/>
      <c r="Q46" s="31">
        <f t="shared" si="21"/>
        <v>85184.841262747577</v>
      </c>
    </row>
    <row r="47" spans="1:17">
      <c r="A47" s="41">
        <f t="shared" si="11"/>
        <v>2060</v>
      </c>
      <c r="B47" s="10">
        <f t="shared" ref="B47:B61" si="28">B46+1</f>
        <v>63</v>
      </c>
      <c r="C47" s="9">
        <f t="shared" si="27"/>
        <v>368386.00587437052</v>
      </c>
      <c r="D47" s="9">
        <f t="shared" si="22"/>
        <v>39746.91116012945</v>
      </c>
      <c r="E47" s="9">
        <f t="shared" si="26"/>
        <v>852163.41677586676</v>
      </c>
      <c r="F47" s="9">
        <f t="shared" si="23"/>
        <v>96943.68575641331</v>
      </c>
      <c r="G47" s="9">
        <f t="shared" si="25"/>
        <v>12047140.78332432</v>
      </c>
      <c r="H47" s="10"/>
      <c r="I47" s="9">
        <f t="shared" si="24"/>
        <v>0.23207045145045049</v>
      </c>
      <c r="J47" s="50">
        <f t="shared" si="15"/>
        <v>149151.03440315012</v>
      </c>
      <c r="K47" s="39">
        <f t="shared" si="16"/>
        <v>254516.86752469427</v>
      </c>
      <c r="L47" s="42">
        <f t="shared" si="17"/>
        <v>1096722.4217213036</v>
      </c>
      <c r="M47" s="9">
        <f t="shared" si="18"/>
        <v>65535.033253466492</v>
      </c>
      <c r="N47" s="9">
        <f t="shared" si="19"/>
        <v>111831.41601092834</v>
      </c>
      <c r="O47" s="42">
        <f t="shared" si="20"/>
        <v>481885.63133297279</v>
      </c>
      <c r="P47" s="54"/>
      <c r="Q47" s="31">
        <f t="shared" si="21"/>
        <v>85491.506691293471</v>
      </c>
    </row>
    <row r="48" spans="1:17">
      <c r="A48" s="41">
        <f t="shared" si="11"/>
        <v>2061</v>
      </c>
      <c r="B48" s="10">
        <f>B47+1</f>
        <v>64</v>
      </c>
      <c r="C48" s="9">
        <f t="shared" si="27"/>
        <v>383121.44610934536</v>
      </c>
      <c r="D48" s="9">
        <f t="shared" si="22"/>
        <v>41336.787606534628</v>
      </c>
      <c r="E48" s="9">
        <f t="shared" si="26"/>
        <v>897761.02146628068</v>
      </c>
      <c r="F48" s="9">
        <f t="shared" si="23"/>
        <v>100821.43318666982</v>
      </c>
      <c r="G48" s="9">
        <f t="shared" si="25"/>
        <v>13232204.887010178</v>
      </c>
      <c r="H48" s="10"/>
      <c r="I48" s="9">
        <f t="shared" si="24"/>
        <v>0.22394798564968471</v>
      </c>
      <c r="J48" s="50">
        <f t="shared" si="15"/>
        <v>161986.08062830116</v>
      </c>
      <c r="K48" s="39">
        <f t="shared" si="16"/>
        <v>271538.64967482846</v>
      </c>
      <c r="L48" s="42">
        <f t="shared" si="17"/>
        <v>1212507.6672919418</v>
      </c>
      <c r="M48" s="9">
        <f t="shared" si="18"/>
        <v>70710.744864967375</v>
      </c>
      <c r="N48" s="9">
        <f t="shared" si="19"/>
        <v>118533.02520599372</v>
      </c>
      <c r="O48" s="42">
        <f t="shared" si="20"/>
        <v>529288.1954804071</v>
      </c>
      <c r="P48" s="54"/>
      <c r="Q48" s="31">
        <f t="shared" si="21"/>
        <v>85799.276115382134</v>
      </c>
    </row>
    <row r="49" spans="1:17">
      <c r="A49" s="41">
        <f t="shared" si="11"/>
        <v>2062</v>
      </c>
      <c r="B49" s="10">
        <f t="shared" si="28"/>
        <v>65</v>
      </c>
      <c r="C49" s="9">
        <f t="shared" si="27"/>
        <v>398446.30395371921</v>
      </c>
      <c r="D49" s="9">
        <f t="shared" si="22"/>
        <v>42990.259110796025</v>
      </c>
      <c r="E49" s="9">
        <f t="shared" si="26"/>
        <v>945240.08568440797</v>
      </c>
      <c r="F49" s="9">
        <f t="shared" si="23"/>
        <v>104854.29051413665</v>
      </c>
      <c r="G49" s="9">
        <f t="shared" si="25"/>
        <v>14527957.617355231</v>
      </c>
      <c r="H49" s="10"/>
      <c r="I49" s="9">
        <f t="shared" si="24"/>
        <v>0.21610980615194575</v>
      </c>
      <c r="J49" s="50">
        <f t="shared" si="15"/>
        <v>175954.25213341569</v>
      </c>
      <c r="K49" s="39">
        <f t="shared" si="16"/>
        <v>289745.95366206742</v>
      </c>
      <c r="L49" s="42">
        <f t="shared" si="17"/>
        <v>1340734.8737259449</v>
      </c>
      <c r="M49" s="9">
        <f t="shared" si="18"/>
        <v>76264.322430393193</v>
      </c>
      <c r="N49" s="9">
        <f t="shared" si="19"/>
        <v>125585.3641788129</v>
      </c>
      <c r="O49" s="42">
        <f t="shared" si="20"/>
        <v>581118.30469420925</v>
      </c>
      <c r="P49" s="54"/>
      <c r="Q49" s="31">
        <f t="shared" si="21"/>
        <v>86108.153509397511</v>
      </c>
    </row>
    <row r="50" spans="1:17">
      <c r="A50" s="41">
        <f t="shared" si="11"/>
        <v>2063</v>
      </c>
      <c r="B50" s="10">
        <f t="shared" si="28"/>
        <v>66</v>
      </c>
      <c r="C50" s="9">
        <f t="shared" si="27"/>
        <v>414384.15611186798</v>
      </c>
      <c r="D50" s="9">
        <f t="shared" si="22"/>
        <v>44709.869475227861</v>
      </c>
      <c r="E50" s="9">
        <f t="shared" si="26"/>
        <v>994676.15558805782</v>
      </c>
      <c r="F50" s="9">
        <f t="shared" si="23"/>
        <v>109048.46213470212</v>
      </c>
      <c r="G50" s="9">
        <f t="shared" si="25"/>
        <v>15944522.265051905</v>
      </c>
      <c r="H50" s="10"/>
      <c r="I50" s="9">
        <f t="shared" si="24"/>
        <v>0.20854596293662764</v>
      </c>
      <c r="J50" s="50">
        <f t="shared" si="15"/>
        <v>191174.84648009829</v>
      </c>
      <c r="K50" s="39">
        <f t="shared" si="16"/>
        <v>309251.64608230779</v>
      </c>
      <c r="L50" s="42">
        <f t="shared" si="17"/>
        <v>1482894.4263777588</v>
      </c>
      <c r="M50" s="9">
        <f t="shared" si="18"/>
        <v>82222.754148872831</v>
      </c>
      <c r="N50" s="9">
        <f t="shared" si="19"/>
        <v>133006.62997318993</v>
      </c>
      <c r="O50" s="42">
        <f t="shared" si="20"/>
        <v>637780.89060207619</v>
      </c>
      <c r="P50" s="54"/>
      <c r="Q50" s="31">
        <f t="shared" si="21"/>
        <v>86418.142862031338</v>
      </c>
    </row>
    <row r="51" spans="1:17">
      <c r="A51" s="41">
        <f t="shared" si="11"/>
        <v>2064</v>
      </c>
      <c r="B51" s="10">
        <f t="shared" si="28"/>
        <v>67</v>
      </c>
      <c r="C51" s="9">
        <f t="shared" si="27"/>
        <v>430959.5223563427</v>
      </c>
      <c r="D51" s="9">
        <f t="shared" si="22"/>
        <v>46498.264254236979</v>
      </c>
      <c r="E51" s="9">
        <f t="shared" si="26"/>
        <v>1046147.8006202349</v>
      </c>
      <c r="F51" s="9">
        <f t="shared" si="23"/>
        <v>113410.40062009019</v>
      </c>
      <c r="G51" s="9">
        <f t="shared" si="25"/>
        <v>17492939.66952667</v>
      </c>
      <c r="H51" s="10"/>
      <c r="I51" s="9">
        <f t="shared" si="24"/>
        <v>0.20124685423384567</v>
      </c>
      <c r="J51" s="50">
        <f t="shared" si="15"/>
        <v>207783.63870344346</v>
      </c>
      <c r="K51" s="39">
        <f t="shared" si="16"/>
        <v>330184.18962759315</v>
      </c>
      <c r="L51" s="42">
        <f t="shared" si="17"/>
        <v>1640692.4266449618</v>
      </c>
      <c r="M51" s="9">
        <f t="shared" si="18"/>
        <v>88614.943230687713</v>
      </c>
      <c r="N51" s="9">
        <f t="shared" si="19"/>
        <v>140815.96319178762</v>
      </c>
      <c r="O51" s="42">
        <f t="shared" si="20"/>
        <v>699717.58678106684</v>
      </c>
      <c r="P51" s="54"/>
      <c r="Q51" s="31">
        <f t="shared" si="21"/>
        <v>86729.248176334659</v>
      </c>
    </row>
    <row r="52" spans="1:17">
      <c r="A52" s="41">
        <f t="shared" si="11"/>
        <v>2065</v>
      </c>
      <c r="B52" s="10">
        <f t="shared" si="28"/>
        <v>68</v>
      </c>
      <c r="C52" s="9">
        <f t="shared" si="27"/>
        <v>448197.90325059643</v>
      </c>
      <c r="D52" s="9">
        <f t="shared" si="22"/>
        <v>48358.194824406455</v>
      </c>
      <c r="E52" s="9">
        <f t="shared" si="26"/>
        <v>1099736.7344477423</v>
      </c>
      <c r="F52" s="9">
        <f t="shared" si="23"/>
        <v>117946.81664489381</v>
      </c>
      <c r="G52" s="9">
        <f t="shared" si="25"/>
        <v>19185251.056428965</v>
      </c>
      <c r="H52" s="10"/>
      <c r="I52" s="9">
        <f t="shared" si="24"/>
        <v>0.19420321433566107</v>
      </c>
      <c r="J52" s="50">
        <f t="shared" si="15"/>
        <v>225935.89424204049</v>
      </c>
      <c r="K52" s="39">
        <f t="shared" si="16"/>
        <v>352690.54372343048</v>
      </c>
      <c r="L52" s="42">
        <f t="shared" si="17"/>
        <v>1816090.1452117045</v>
      </c>
      <c r="M52" s="9">
        <f t="shared" si="18"/>
        <v>95471.843512196036</v>
      </c>
      <c r="N52" s="9">
        <f t="shared" si="19"/>
        <v>149033.49691980571</v>
      </c>
      <c r="O52" s="42">
        <f t="shared" si="20"/>
        <v>767410.04225715867</v>
      </c>
      <c r="P52" s="54"/>
      <c r="Q52" s="31">
        <f t="shared" si="21"/>
        <v>87041.473469769466</v>
      </c>
    </row>
    <row r="53" spans="1:17">
      <c r="A53" s="41">
        <f t="shared" si="11"/>
        <v>2066</v>
      </c>
      <c r="B53" s="10">
        <f t="shared" si="28"/>
        <v>69</v>
      </c>
      <c r="C53" s="9">
        <f t="shared" si="27"/>
        <v>466125.81938062032</v>
      </c>
      <c r="D53" s="9">
        <f t="shared" si="22"/>
        <v>50292.522617382725</v>
      </c>
      <c r="E53" s="9">
        <f t="shared" si="26"/>
        <v>1155527.9407373636</v>
      </c>
      <c r="F53" s="9">
        <f t="shared" si="23"/>
        <v>122664.68931068957</v>
      </c>
      <c r="G53" s="9">
        <f t="shared" si="25"/>
        <v>21034588.340818264</v>
      </c>
      <c r="H53" s="10"/>
      <c r="I53" s="9">
        <f t="shared" si="24"/>
        <v>0.18740610183391293</v>
      </c>
      <c r="J53" s="50">
        <f t="shared" si="15"/>
        <v>245810.07806248846</v>
      </c>
      <c r="K53" s="39">
        <f t="shared" si="16"/>
        <v>376939.73821097898</v>
      </c>
      <c r="L53" s="42">
        <f t="shared" si="17"/>
        <v>2011352.5361358759</v>
      </c>
      <c r="M53" s="9">
        <f t="shared" si="18"/>
        <v>102826.60466876118</v>
      </c>
      <c r="N53" s="9">
        <f t="shared" si="19"/>
        <v>157680.40818535301</v>
      </c>
      <c r="O53" s="42">
        <f t="shared" si="20"/>
        <v>841383.5336327306</v>
      </c>
      <c r="P53" s="54"/>
      <c r="Q53" s="31">
        <f t="shared" si="21"/>
        <v>87354.82277426064</v>
      </c>
    </row>
    <row r="54" spans="1:17">
      <c r="A54" s="41">
        <f t="shared" si="11"/>
        <v>2067</v>
      </c>
      <c r="B54" s="10">
        <f t="shared" si="28"/>
        <v>70</v>
      </c>
      <c r="C54" s="9">
        <f t="shared" si="27"/>
        <v>484770.85215584515</v>
      </c>
      <c r="D54" s="9">
        <f t="shared" si="22"/>
        <v>52304.223522078035</v>
      </c>
      <c r="E54" s="9">
        <f t="shared" si="26"/>
        <v>1213609.8039631282</v>
      </c>
      <c r="F54" s="9">
        <f t="shared" si="23"/>
        <v>127571.27688311716</v>
      </c>
      <c r="G54" s="9">
        <f t="shared" si="25"/>
        <v>23055272.568375029</v>
      </c>
      <c r="H54" s="10"/>
      <c r="I54" s="9">
        <f t="shared" si="24"/>
        <v>0.18084688826972597</v>
      </c>
      <c r="J54" s="50">
        <f t="shared" si="15"/>
        <v>267612.45527240029</v>
      </c>
      <c r="K54" s="39">
        <f t="shared" si="16"/>
        <v>403127.30865645665</v>
      </c>
      <c r="L54" s="42">
        <f t="shared" si="17"/>
        <v>2229108.3496842268</v>
      </c>
      <c r="M54" s="9">
        <f t="shared" si="18"/>
        <v>110714.72770484714</v>
      </c>
      <c r="N54" s="9">
        <f t="shared" si="19"/>
        <v>166778.97208803988</v>
      </c>
      <c r="O54" s="42">
        <f t="shared" si="20"/>
        <v>922210.90273500117</v>
      </c>
      <c r="P54" s="54"/>
      <c r="Q54" s="31">
        <f t="shared" si="21"/>
        <v>87669.30013624797</v>
      </c>
    </row>
    <row r="55" spans="1:17">
      <c r="A55" s="41">
        <f t="shared" si="11"/>
        <v>2068</v>
      </c>
      <c r="B55" s="10">
        <f t="shared" si="28"/>
        <v>71</v>
      </c>
      <c r="C55" s="9">
        <f t="shared" si="27"/>
        <v>504161.68624207895</v>
      </c>
      <c r="D55" s="9">
        <f t="shared" si="22"/>
        <v>54396.392462961157</v>
      </c>
      <c r="E55" s="9">
        <f t="shared" si="26"/>
        <v>1274074.2454459048</v>
      </c>
      <c r="F55" s="9">
        <f t="shared" si="23"/>
        <v>132674.12795844185</v>
      </c>
      <c r="G55" s="9">
        <f t="shared" si="25"/>
        <v>25262921.227487225</v>
      </c>
      <c r="H55" s="10"/>
      <c r="I55" s="9">
        <f t="shared" si="24"/>
        <v>0.17451724718028555</v>
      </c>
      <c r="J55" s="50">
        <f t="shared" si="15"/>
        <v>291582.84362981725</v>
      </c>
      <c r="K55" s="39">
        <f t="shared" si="16"/>
        <v>431480.84470162081</v>
      </c>
      <c r="L55" s="42">
        <f t="shared" si="17"/>
        <v>2472425.2282977984</v>
      </c>
      <c r="M55" s="9">
        <f t="shared" si="18"/>
        <v>119174.23144849986</v>
      </c>
      <c r="N55" s="9">
        <f t="shared" si="19"/>
        <v>176352.61873413884</v>
      </c>
      <c r="O55" s="42">
        <f t="shared" si="20"/>
        <v>1010516.849099489</v>
      </c>
      <c r="P55" s="54"/>
      <c r="Q55" s="31">
        <f t="shared" si="21"/>
        <v>87984.909616738456</v>
      </c>
    </row>
    <row r="56" spans="1:17">
      <c r="A56" s="41">
        <f t="shared" si="11"/>
        <v>2069</v>
      </c>
      <c r="B56" s="10">
        <f t="shared" si="28"/>
        <v>72</v>
      </c>
      <c r="C56" s="9">
        <f t="shared" si="27"/>
        <v>524328.15369176213</v>
      </c>
      <c r="D56" s="9">
        <f t="shared" si="22"/>
        <v>56572.248161479598</v>
      </c>
      <c r="E56" s="9">
        <f t="shared" si="26"/>
        <v>1337016.8648346139</v>
      </c>
      <c r="F56" s="9">
        <f t="shared" si="23"/>
        <v>137981.09307677951</v>
      </c>
      <c r="G56" s="9">
        <f t="shared" si="25"/>
        <v>27674565.231037859</v>
      </c>
      <c r="H56" s="10"/>
      <c r="I56" s="9">
        <f t="shared" si="24"/>
        <v>0.16840914352897554</v>
      </c>
      <c r="J56" s="50">
        <f t="shared" si="15"/>
        <v>318001.86894662655</v>
      </c>
      <c r="K56" s="39">
        <f t="shared" si="16"/>
        <v>462266.99028297822</v>
      </c>
      <c r="L56" s="42">
        <f t="shared" si="17"/>
        <v>2744904.3478060509</v>
      </c>
      <c r="M56" s="9">
        <f t="shared" si="18"/>
        <v>128245.83082888831</v>
      </c>
      <c r="N56" s="9">
        <f t="shared" si="19"/>
        <v>186425.99312383405</v>
      </c>
      <c r="O56" s="42">
        <f t="shared" si="20"/>
        <v>1106982.6092415145</v>
      </c>
      <c r="P56" s="54"/>
      <c r="Q56" s="31">
        <f t="shared" si="21"/>
        <v>88301.655291358722</v>
      </c>
    </row>
    <row r="57" spans="1:17">
      <c r="A57" s="41">
        <f t="shared" si="11"/>
        <v>2070</v>
      </c>
      <c r="B57" s="10">
        <f>B56+1</f>
        <v>73</v>
      </c>
      <c r="C57" s="9">
        <f t="shared" si="27"/>
        <v>545301.27983943268</v>
      </c>
      <c r="D57" s="9">
        <f t="shared" si="22"/>
        <v>58835.138087938787</v>
      </c>
      <c r="E57" s="9">
        <f t="shared" si="26"/>
        <v>1402537.0872467256</v>
      </c>
      <c r="F57" s="9">
        <f t="shared" si="23"/>
        <v>143500.33679985072</v>
      </c>
      <c r="G57" s="9">
        <f t="shared" si="25"/>
        <v>30308776.438631121</v>
      </c>
      <c r="H57" s="10"/>
      <c r="I57" s="9">
        <f t="shared" si="24"/>
        <v>0.1625148235054614</v>
      </c>
      <c r="J57" s="50">
        <f t="shared" si="15"/>
        <v>347200.20202829072</v>
      </c>
      <c r="K57" s="39">
        <f t="shared" si="16"/>
        <v>495800.35771743179</v>
      </c>
      <c r="L57" s="42">
        <f t="shared" si="17"/>
        <v>3050800.8255675836</v>
      </c>
      <c r="M57" s="9">
        <f t="shared" si="18"/>
        <v>137973.12777067631</v>
      </c>
      <c r="N57" s="9">
        <f t="shared" si="19"/>
        <v>197025.01814362494</v>
      </c>
      <c r="O57" s="42">
        <f t="shared" si="20"/>
        <v>1212351.0575452449</v>
      </c>
      <c r="P57" s="54"/>
      <c r="Q57" s="31">
        <f t="shared" si="21"/>
        <v>88619.541250407623</v>
      </c>
    </row>
    <row r="58" spans="1:17">
      <c r="A58" s="41">
        <f t="shared" si="11"/>
        <v>2071</v>
      </c>
      <c r="B58" s="10">
        <f t="shared" si="28"/>
        <v>74</v>
      </c>
      <c r="C58" s="9">
        <f t="shared" si="27"/>
        <v>567113.33103301004</v>
      </c>
      <c r="D58" s="9">
        <f t="shared" si="22"/>
        <v>61188.543611456349</v>
      </c>
      <c r="E58" s="9">
        <f t="shared" si="26"/>
        <v>1470738.3162944154</v>
      </c>
      <c r="F58" s="9">
        <f t="shared" si="23"/>
        <v>149240.35027184477</v>
      </c>
      <c r="G58" s="9">
        <f t="shared" si="25"/>
        <v>33185806.668379769</v>
      </c>
      <c r="H58" s="10"/>
      <c r="I58" s="9">
        <f t="shared" si="24"/>
        <v>0.15682680468277024</v>
      </c>
      <c r="J58" s="50">
        <f t="shared" si="15"/>
        <v>379570.43813664711</v>
      </c>
      <c r="K58" s="39">
        <f t="shared" si="16"/>
        <v>532454.99360544479</v>
      </c>
      <c r="L58" s="42">
        <f t="shared" si="17"/>
        <v>3395178.4880301324</v>
      </c>
      <c r="M58" s="9">
        <f t="shared" si="18"/>
        <v>148402.81559799021</v>
      </c>
      <c r="N58" s="9">
        <f t="shared" si="19"/>
        <v>208176.96082488674</v>
      </c>
      <c r="O58" s="42">
        <f t="shared" si="20"/>
        <v>1327432.2667351908</v>
      </c>
      <c r="P58" s="54"/>
      <c r="Q58" s="31">
        <f t="shared" si="21"/>
        <v>88938.571598909082</v>
      </c>
    </row>
    <row r="59" spans="1:17">
      <c r="A59" s="41">
        <f t="shared" si="11"/>
        <v>2072</v>
      </c>
      <c r="B59" s="10">
        <f t="shared" si="28"/>
        <v>75</v>
      </c>
      <c r="C59" s="9">
        <f t="shared" si="27"/>
        <v>589797.86427433044</v>
      </c>
      <c r="D59" s="9">
        <f t="shared" si="22"/>
        <v>63636.085355914605</v>
      </c>
      <c r="E59" s="9">
        <f t="shared" si="26"/>
        <v>1541728.0932318019</v>
      </c>
      <c r="F59" s="9">
        <f t="shared" si="23"/>
        <v>155209.96428271855</v>
      </c>
      <c r="G59" s="9">
        <f t="shared" si="25"/>
        <v>36327739.232816674</v>
      </c>
      <c r="H59" s="10"/>
      <c r="I59" s="9">
        <f t="shared" si="24"/>
        <v>0.15133786651887329</v>
      </c>
      <c r="J59" s="50">
        <f t="shared" si="15"/>
        <v>415582.54435603571</v>
      </c>
      <c r="K59" s="39">
        <f t="shared" si="16"/>
        <v>572679.28963155369</v>
      </c>
      <c r="L59" s="42">
        <f t="shared" si="17"/>
        <v>3784111.0278909281</v>
      </c>
      <c r="M59" s="9">
        <f t="shared" si="18"/>
        <v>159584.89790391733</v>
      </c>
      <c r="N59" s="9">
        <f t="shared" si="19"/>
        <v>219910.50203793787</v>
      </c>
      <c r="O59" s="42">
        <f t="shared" si="20"/>
        <v>1453109.569312667</v>
      </c>
      <c r="P59" s="54"/>
      <c r="Q59" s="31">
        <f t="shared" si="21"/>
        <v>89258.750456665162</v>
      </c>
    </row>
    <row r="60" spans="1:17">
      <c r="A60" s="41">
        <f t="shared" ref="A60" si="29">A59+1</f>
        <v>2073</v>
      </c>
      <c r="B60" s="10">
        <f t="shared" si="28"/>
        <v>76</v>
      </c>
      <c r="C60" s="9">
        <f t="shared" si="27"/>
        <v>613389.77884530369</v>
      </c>
      <c r="D60" s="9">
        <f t="shared" si="22"/>
        <v>66181.528770151199</v>
      </c>
      <c r="E60" s="9">
        <f t="shared" si="26"/>
        <v>1615618.2624681117</v>
      </c>
      <c r="F60" s="9">
        <f t="shared" si="23"/>
        <v>161418.36285402731</v>
      </c>
      <c r="G60" s="9">
        <f t="shared" si="25"/>
        <v>39758654.126624204</v>
      </c>
      <c r="H60" s="10"/>
      <c r="I60" s="9">
        <f t="shared" si="24"/>
        <v>0.14604104119071273</v>
      </c>
      <c r="J60" s="50">
        <f t="shared" si="15"/>
        <v>455804.18986876321</v>
      </c>
      <c r="K60" s="39">
        <f t="shared" si="16"/>
        <v>617015.60731799435</v>
      </c>
      <c r="L60" s="42">
        <f t="shared" si="17"/>
        <v>4224946.6471020514</v>
      </c>
      <c r="M60" s="9">
        <f t="shared" si="18"/>
        <v>171572.92290910744</v>
      </c>
      <c r="N60" s="9">
        <f t="shared" si="19"/>
        <v>232255.80979974504</v>
      </c>
      <c r="O60" s="42">
        <f t="shared" si="20"/>
        <v>1590346.1650649682</v>
      </c>
      <c r="P60" s="54"/>
      <c r="Q60" s="31">
        <f t="shared" si="21"/>
        <v>89580.081958309165</v>
      </c>
    </row>
    <row r="61" spans="1:17">
      <c r="A61" s="43">
        <f t="shared" ref="A61" si="30">A60+1</f>
        <v>2074</v>
      </c>
      <c r="B61" s="44">
        <f t="shared" si="28"/>
        <v>77</v>
      </c>
      <c r="C61" s="45">
        <f t="shared" si="27"/>
        <v>637925.36999911582</v>
      </c>
      <c r="D61" s="45">
        <f t="shared" si="22"/>
        <v>68828.789920957235</v>
      </c>
      <c r="E61" s="45">
        <f t="shared" si="26"/>
        <v>1692525.1437014095</v>
      </c>
      <c r="F61" s="45">
        <f t="shared" si="23"/>
        <v>167875.09736818838</v>
      </c>
      <c r="G61" s="45">
        <f t="shared" si="25"/>
        <v>43504808.095388576</v>
      </c>
      <c r="H61" s="44" t="s">
        <v>33</v>
      </c>
      <c r="I61" s="45">
        <f t="shared" si="24"/>
        <v>0.14092960474903779</v>
      </c>
      <c r="J61" s="51">
        <f t="shared" si="15"/>
        <v>500927.85857693432</v>
      </c>
      <c r="K61" s="46">
        <f t="shared" si="16"/>
        <v>666126.44974833692</v>
      </c>
      <c r="L61" s="47">
        <f t="shared" si="17"/>
        <v>4726660.8810444772</v>
      </c>
      <c r="M61" s="45">
        <f t="shared" si="18"/>
        <v>184424.23440547573</v>
      </c>
      <c r="N61" s="45">
        <f t="shared" si="19"/>
        <v>245244.61638263409</v>
      </c>
      <c r="O61" s="47">
        <f t="shared" si="20"/>
        <v>1740192.3238155432</v>
      </c>
      <c r="P61" s="55"/>
      <c r="Q61" s="32">
        <f t="shared" si="21"/>
        <v>89902.570253359081</v>
      </c>
    </row>
  </sheetData>
  <mergeCells count="3">
    <mergeCell ref="A1:C2"/>
    <mergeCell ref="J4:L4"/>
    <mergeCell ref="M4:O4"/>
  </mergeCells>
  <conditionalFormatting sqref="A1:Q61">
    <cfRule type="expression" dxfId="2" priority="3">
      <formula>$B1 = 59</formula>
    </cfRule>
    <cfRule type="expression" dxfId="1" priority="2">
      <formula>$B1=$M$1</formula>
    </cfRule>
    <cfRule type="expression" dxfId="0" priority="1">
      <formula>$B1 = $M$2</formula>
    </cfRule>
  </conditionalFormatting>
  <pageMargins left="0.7" right="0.7" top="0.75" bottom="0.75" header="0.3" footer="0.3"/>
  <ignoredErrors>
    <ignoredError sqref="F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Retirement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Jason Argo</cp:lastModifiedBy>
  <cp:revision>1</cp:revision>
  <dcterms:created xsi:type="dcterms:W3CDTF">2018-10-06T00:11:54Z</dcterms:created>
  <dcterms:modified xsi:type="dcterms:W3CDTF">2019-02-28T14:38:34Z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