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defaultThemeVersion="166925"/>
  <mc:AlternateContent xmlns:mc="http://schemas.openxmlformats.org/markup-compatibility/2006">
    <mc:Choice Requires="x15">
      <x15ac:absPath xmlns:x15ac="http://schemas.microsoft.com/office/spreadsheetml/2010/11/ac" url="/Users/jargonaut/Desktop/"/>
    </mc:Choice>
  </mc:AlternateContent>
  <xr:revisionPtr revIDLastSave="0" documentId="13_ncr:1_{E2BE825A-9AFE-E44B-9CF0-CA17D1C6C4BA}" xr6:coauthVersionLast="41" xr6:coauthVersionMax="41" xr10:uidLastSave="{00000000-0000-0000-0000-000000000000}"/>
  <bookViews>
    <workbookView xWindow="0" yWindow="460" windowWidth="25600" windowHeight="15540" tabRatio="500" activeTab="1" xr2:uid="{00000000-000D-0000-FFFF-FFFF00000000}"/>
  </bookViews>
  <sheets>
    <sheet name="Budget" sheetId="1" r:id="rId1"/>
    <sheet name="Retirement Calculator" sheetId="5" r:id="rId2"/>
    <sheet name="Sugguestions" sheetId="2" r:id="rId3"/>
    <sheet name="Tax Table" sheetId="3" r:id="rId4"/>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T6" i="5" l="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M4" i="5" l="1"/>
  <c r="Q6" i="5" l="1"/>
  <c r="F6" i="5" l="1"/>
  <c r="G6" i="5" s="1"/>
  <c r="N6" i="5" l="1"/>
  <c r="O6" i="5"/>
  <c r="B6" i="5"/>
  <c r="D6" i="5"/>
  <c r="E6" i="5" s="1"/>
  <c r="C7" i="5"/>
  <c r="F7" i="5" s="1"/>
  <c r="I7" i="5"/>
  <c r="J6" i="5" l="1"/>
  <c r="L6" i="5"/>
  <c r="K6" i="5"/>
  <c r="M6" i="5"/>
  <c r="Q7" i="5"/>
  <c r="G7" i="5"/>
  <c r="B7" i="5"/>
  <c r="D7" i="5"/>
  <c r="E7" i="5" s="1"/>
  <c r="I8" i="5"/>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L7" i="5" l="1"/>
  <c r="K7" i="5"/>
  <c r="J7" i="5"/>
  <c r="N7" i="5"/>
  <c r="M7" i="5"/>
  <c r="O7" i="5"/>
  <c r="I44" i="5"/>
  <c r="I45" i="5" s="1"/>
  <c r="I46" i="5" s="1"/>
  <c r="I47" i="5" s="1"/>
  <c r="I48" i="5" s="1"/>
  <c r="I49" i="5" s="1"/>
  <c r="I50" i="5" s="1"/>
  <c r="I51" i="5" s="1"/>
  <c r="I52" i="5" s="1"/>
  <c r="I53" i="5" s="1"/>
  <c r="I54" i="5" s="1"/>
  <c r="I55" i="5" s="1"/>
  <c r="I56" i="5" s="1"/>
  <c r="I57" i="5" s="1"/>
  <c r="I58" i="5" s="1"/>
  <c r="I59" i="5" s="1"/>
  <c r="I60" i="5" s="1"/>
  <c r="I61" i="5" s="1"/>
  <c r="B8" i="5"/>
  <c r="C8" i="5"/>
  <c r="Q8" i="5" l="1"/>
  <c r="F8" i="5"/>
  <c r="G8" i="5" s="1"/>
  <c r="L8" i="5"/>
  <c r="K8" i="5"/>
  <c r="J8" i="5"/>
  <c r="B9" i="5"/>
  <c r="D8" i="5"/>
  <c r="E8" i="5" s="1"/>
  <c r="C9" i="5"/>
  <c r="Q9" i="5" l="1"/>
  <c r="F9" i="5"/>
  <c r="G9" i="5" s="1"/>
  <c r="L9" i="5"/>
  <c r="K9" i="5"/>
  <c r="J9" i="5"/>
  <c r="O8" i="5"/>
  <c r="N8" i="5"/>
  <c r="M8" i="5"/>
  <c r="B10" i="5"/>
  <c r="D9" i="5"/>
  <c r="E9" i="5" s="1"/>
  <c r="C10" i="5"/>
  <c r="H19" i="1"/>
  <c r="L3" i="1" s="1"/>
  <c r="Q10" i="5" l="1"/>
  <c r="F10" i="5"/>
  <c r="G10" i="5" s="1"/>
  <c r="J10" i="5"/>
  <c r="L10" i="5"/>
  <c r="K10" i="5"/>
  <c r="O9" i="5"/>
  <c r="N9" i="5"/>
  <c r="M9" i="5"/>
  <c r="C11" i="5"/>
  <c r="B11" i="5"/>
  <c r="D10" i="5"/>
  <c r="E10" i="5" s="1"/>
  <c r="D35" i="1"/>
  <c r="Q11" i="5" l="1"/>
  <c r="F11" i="5"/>
  <c r="G11" i="5" s="1"/>
  <c r="L11" i="5"/>
  <c r="K11" i="5"/>
  <c r="J11" i="5"/>
  <c r="M10" i="5"/>
  <c r="O10" i="5"/>
  <c r="N10" i="5"/>
  <c r="B12" i="5"/>
  <c r="D11" i="5"/>
  <c r="E11" i="5" s="1"/>
  <c r="C12" i="5"/>
  <c r="L265" i="3"/>
  <c r="L266" i="3" s="1"/>
  <c r="L267" i="3" s="1"/>
  <c r="L268" i="3" s="1"/>
  <c r="F265" i="3"/>
  <c r="F266" i="3" s="1"/>
  <c r="F267" i="3" s="1"/>
  <c r="F268" i="3" s="1"/>
  <c r="L258" i="3"/>
  <c r="L259" i="3" s="1"/>
  <c r="L260" i="3" s="1"/>
  <c r="F258" i="3"/>
  <c r="F259" i="3" s="1"/>
  <c r="F260" i="3" s="1"/>
  <c r="L252" i="3"/>
  <c r="L253" i="3" s="1"/>
  <c r="L254" i="3" s="1"/>
  <c r="L255" i="3" s="1"/>
  <c r="F252" i="3"/>
  <c r="F253" i="3" s="1"/>
  <c r="F254" i="3" s="1"/>
  <c r="F255" i="3" s="1"/>
  <c r="L245" i="3"/>
  <c r="L246" i="3" s="1"/>
  <c r="L247" i="3" s="1"/>
  <c r="F245" i="3"/>
  <c r="F246" i="3" s="1"/>
  <c r="F247" i="3" s="1"/>
  <c r="L239" i="3"/>
  <c r="L240" i="3" s="1"/>
  <c r="L241" i="3" s="1"/>
  <c r="L242" i="3" s="1"/>
  <c r="F239" i="3"/>
  <c r="F240" i="3" s="1"/>
  <c r="F241" i="3" s="1"/>
  <c r="F242" i="3" s="1"/>
  <c r="O236" i="3"/>
  <c r="N236" i="3"/>
  <c r="F225" i="3"/>
  <c r="F226" i="3" s="1"/>
  <c r="F227" i="3" s="1"/>
  <c r="F228" i="3" s="1"/>
  <c r="L224" i="3"/>
  <c r="L225" i="3" s="1"/>
  <c r="L226" i="3" s="1"/>
  <c r="L227" i="3" s="1"/>
  <c r="L228" i="3" s="1"/>
  <c r="F224" i="3"/>
  <c r="L220" i="3"/>
  <c r="L221" i="3" s="1"/>
  <c r="F220" i="3"/>
  <c r="F221" i="3" s="1"/>
  <c r="L213" i="3"/>
  <c r="L214" i="3" s="1"/>
  <c r="L215" i="3" s="1"/>
  <c r="F213" i="3"/>
  <c r="F214" i="3" s="1"/>
  <c r="F215" i="3" s="1"/>
  <c r="L205" i="3"/>
  <c r="L206" i="3" s="1"/>
  <c r="L207" i="3" s="1"/>
  <c r="L208" i="3" s="1"/>
  <c r="L209" i="3" s="1"/>
  <c r="L210" i="3" s="1"/>
  <c r="F205" i="3"/>
  <c r="F206" i="3" s="1"/>
  <c r="F207" i="3" s="1"/>
  <c r="F208" i="3" s="1"/>
  <c r="F209" i="3" s="1"/>
  <c r="F210" i="3" s="1"/>
  <c r="F196" i="3"/>
  <c r="F197" i="3" s="1"/>
  <c r="F198" i="3" s="1"/>
  <c r="F199" i="3" s="1"/>
  <c r="F200" i="3" s="1"/>
  <c r="F201" i="3" s="1"/>
  <c r="F202" i="3" s="1"/>
  <c r="L195" i="3"/>
  <c r="L196" i="3" s="1"/>
  <c r="L197" i="3" s="1"/>
  <c r="L198" i="3" s="1"/>
  <c r="L199" i="3" s="1"/>
  <c r="L200" i="3" s="1"/>
  <c r="L201" i="3" s="1"/>
  <c r="L202" i="3" s="1"/>
  <c r="F195" i="3"/>
  <c r="L189" i="3"/>
  <c r="L190" i="3" s="1"/>
  <c r="L191" i="3" s="1"/>
  <c r="L192" i="3" s="1"/>
  <c r="F189" i="3"/>
  <c r="F190" i="3" s="1"/>
  <c r="F191" i="3" s="1"/>
  <c r="F192" i="3" s="1"/>
  <c r="L178" i="3"/>
  <c r="L179" i="3" s="1"/>
  <c r="L180" i="3" s="1"/>
  <c r="L181" i="3" s="1"/>
  <c r="L182" i="3" s="1"/>
  <c r="L183" i="3" s="1"/>
  <c r="L184" i="3" s="1"/>
  <c r="F178" i="3"/>
  <c r="F179" i="3" s="1"/>
  <c r="F180" i="3" s="1"/>
  <c r="F181" i="3" s="1"/>
  <c r="F182" i="3" s="1"/>
  <c r="F183" i="3" s="1"/>
  <c r="F184" i="3" s="1"/>
  <c r="L173" i="3"/>
  <c r="L174" i="3" s="1"/>
  <c r="L175" i="3" s="1"/>
  <c r="F173" i="3"/>
  <c r="F174" i="3" s="1"/>
  <c r="F175" i="3" s="1"/>
  <c r="L165" i="3"/>
  <c r="L166" i="3" s="1"/>
  <c r="L167" i="3" s="1"/>
  <c r="L168" i="3" s="1"/>
  <c r="L169" i="3" s="1"/>
  <c r="F165" i="3"/>
  <c r="F166" i="3" s="1"/>
  <c r="F167" i="3" s="1"/>
  <c r="F168" i="3" s="1"/>
  <c r="F169" i="3" s="1"/>
  <c r="L156" i="3"/>
  <c r="L157" i="3" s="1"/>
  <c r="L158" i="3" s="1"/>
  <c r="F156" i="3"/>
  <c r="F157" i="3" s="1"/>
  <c r="F158" i="3" s="1"/>
  <c r="F149" i="3"/>
  <c r="F150" i="3" s="1"/>
  <c r="F151" i="3" s="1"/>
  <c r="F152" i="3" s="1"/>
  <c r="F153" i="3" s="1"/>
  <c r="L148" i="3"/>
  <c r="L149" i="3" s="1"/>
  <c r="L150" i="3" s="1"/>
  <c r="L151" i="3" s="1"/>
  <c r="L152" i="3" s="1"/>
  <c r="L153" i="3" s="1"/>
  <c r="F148" i="3"/>
  <c r="F138" i="3"/>
  <c r="F139" i="3" s="1"/>
  <c r="F140" i="3" s="1"/>
  <c r="F141" i="3" s="1"/>
  <c r="F142" i="3" s="1"/>
  <c r="F143" i="3" s="1"/>
  <c r="F144" i="3" s="1"/>
  <c r="F145" i="3" s="1"/>
  <c r="L137" i="3"/>
  <c r="L138" i="3" s="1"/>
  <c r="L139" i="3" s="1"/>
  <c r="L140" i="3" s="1"/>
  <c r="L141" i="3" s="1"/>
  <c r="L142" i="3" s="1"/>
  <c r="L143" i="3" s="1"/>
  <c r="L144" i="3" s="1"/>
  <c r="L145" i="3" s="1"/>
  <c r="F137" i="3"/>
  <c r="L133" i="3"/>
  <c r="L134" i="3" s="1"/>
  <c r="F133" i="3"/>
  <c r="F134" i="3" s="1"/>
  <c r="L128" i="3"/>
  <c r="L129" i="3" s="1"/>
  <c r="L130" i="3" s="1"/>
  <c r="F128" i="3"/>
  <c r="F129" i="3" s="1"/>
  <c r="F130" i="3" s="1"/>
  <c r="L114" i="3"/>
  <c r="L115" i="3" s="1"/>
  <c r="L116" i="3" s="1"/>
  <c r="L117" i="3" s="1"/>
  <c r="L118" i="3" s="1"/>
  <c r="L119" i="3" s="1"/>
  <c r="L120" i="3" s="1"/>
  <c r="F114" i="3"/>
  <c r="F115" i="3" s="1"/>
  <c r="F116" i="3" s="1"/>
  <c r="F117" i="3" s="1"/>
  <c r="F118" i="3" s="1"/>
  <c r="F119" i="3" s="1"/>
  <c r="F120" i="3" s="1"/>
  <c r="L111" i="3"/>
  <c r="F111" i="3"/>
  <c r="L108" i="3"/>
  <c r="L107" i="3"/>
  <c r="F107" i="3"/>
  <c r="F108" i="3" s="1"/>
  <c r="L100" i="3"/>
  <c r="L101" i="3" s="1"/>
  <c r="L102" i="3" s="1"/>
  <c r="L103" i="3" s="1"/>
  <c r="L104" i="3" s="1"/>
  <c r="F100" i="3"/>
  <c r="F101" i="3" s="1"/>
  <c r="F102" i="3" s="1"/>
  <c r="F103" i="3" s="1"/>
  <c r="F104" i="3" s="1"/>
  <c r="L97" i="3"/>
  <c r="F97" i="3"/>
  <c r="L87" i="3"/>
  <c r="L88" i="3" s="1"/>
  <c r="L89" i="3" s="1"/>
  <c r="L90" i="3" s="1"/>
  <c r="L91" i="3" s="1"/>
  <c r="L92" i="3" s="1"/>
  <c r="L93" i="3" s="1"/>
  <c r="L94" i="3" s="1"/>
  <c r="F87" i="3"/>
  <c r="F88" i="3" s="1"/>
  <c r="F89" i="3" s="1"/>
  <c r="F90" i="3" s="1"/>
  <c r="F91" i="3" s="1"/>
  <c r="F92" i="3" s="1"/>
  <c r="F93" i="3" s="1"/>
  <c r="F94" i="3" s="1"/>
  <c r="F74" i="3"/>
  <c r="F75" i="3" s="1"/>
  <c r="F76" i="3" s="1"/>
  <c r="F77" i="3" s="1"/>
  <c r="F78" i="3" s="1"/>
  <c r="L73" i="3"/>
  <c r="L74" i="3" s="1"/>
  <c r="L75" i="3" s="1"/>
  <c r="L76" i="3" s="1"/>
  <c r="L77" i="3" s="1"/>
  <c r="L78" i="3" s="1"/>
  <c r="F73" i="3"/>
  <c r="L61" i="3"/>
  <c r="L62" i="3" s="1"/>
  <c r="L63" i="3" s="1"/>
  <c r="L64" i="3" s="1"/>
  <c r="L65" i="3" s="1"/>
  <c r="L66" i="3" s="1"/>
  <c r="L67" i="3" s="1"/>
  <c r="L68" i="3" s="1"/>
  <c r="L69" i="3" s="1"/>
  <c r="L70" i="3" s="1"/>
  <c r="F61" i="3"/>
  <c r="F62" i="3" s="1"/>
  <c r="F63" i="3" s="1"/>
  <c r="F64" i="3" s="1"/>
  <c r="F65" i="3" s="1"/>
  <c r="F66" i="3" s="1"/>
  <c r="F67" i="3" s="1"/>
  <c r="F68" i="3" s="1"/>
  <c r="F69" i="3" s="1"/>
  <c r="F70" i="3" s="1"/>
  <c r="L60" i="3"/>
  <c r="F60" i="3"/>
  <c r="F54" i="3"/>
  <c r="F55" i="3" s="1"/>
  <c r="F56" i="3" s="1"/>
  <c r="F57" i="3" s="1"/>
  <c r="L53" i="3"/>
  <c r="L54" i="3" s="1"/>
  <c r="L55" i="3" s="1"/>
  <c r="L56" i="3" s="1"/>
  <c r="L57" i="3" s="1"/>
  <c r="F53" i="3"/>
  <c r="L44" i="3"/>
  <c r="L45" i="3" s="1"/>
  <c r="L46" i="3" s="1"/>
  <c r="L47" i="3" s="1"/>
  <c r="L48" i="3" s="1"/>
  <c r="F44" i="3"/>
  <c r="F45" i="3" s="1"/>
  <c r="F46" i="3" s="1"/>
  <c r="F47" i="3" s="1"/>
  <c r="F48" i="3" s="1"/>
  <c r="L37" i="3"/>
  <c r="L38" i="3" s="1"/>
  <c r="L39" i="3" s="1"/>
  <c r="L40" i="3" s="1"/>
  <c r="L41" i="3" s="1"/>
  <c r="F37" i="3"/>
  <c r="F38" i="3" s="1"/>
  <c r="F39" i="3" s="1"/>
  <c r="F40" i="3" s="1"/>
  <c r="F41" i="3" s="1"/>
  <c r="L23" i="3"/>
  <c r="L24" i="3" s="1"/>
  <c r="L25" i="3" s="1"/>
  <c r="L26" i="3" s="1"/>
  <c r="L27" i="3" s="1"/>
  <c r="L28" i="3" s="1"/>
  <c r="L29" i="3" s="1"/>
  <c r="L30" i="3" s="1"/>
  <c r="L31" i="3" s="1"/>
  <c r="F23" i="3"/>
  <c r="F24" i="3" s="1"/>
  <c r="F25" i="3" s="1"/>
  <c r="F26" i="3" s="1"/>
  <c r="F27" i="3" s="1"/>
  <c r="F28" i="3" s="1"/>
  <c r="F29" i="3" s="1"/>
  <c r="F30" i="3" s="1"/>
  <c r="F31" i="3" s="1"/>
  <c r="F18" i="3"/>
  <c r="F19" i="3" s="1"/>
  <c r="F20" i="3" s="1"/>
  <c r="L16" i="3"/>
  <c r="L17" i="3" s="1"/>
  <c r="L18" i="3" s="1"/>
  <c r="L19" i="3" s="1"/>
  <c r="L20" i="3" s="1"/>
  <c r="F16" i="3"/>
  <c r="F17" i="3" s="1"/>
  <c r="F11" i="3"/>
  <c r="F12" i="3" s="1"/>
  <c r="F13" i="3" s="1"/>
  <c r="L10" i="3"/>
  <c r="L11" i="3" s="1"/>
  <c r="L12" i="3" s="1"/>
  <c r="L13" i="3" s="1"/>
  <c r="F10" i="3"/>
  <c r="L4" i="3"/>
  <c r="L5" i="3" s="1"/>
  <c r="F4" i="3"/>
  <c r="F5" i="3" s="1"/>
  <c r="T2" i="3"/>
  <c r="E10" i="2"/>
  <c r="E9" i="2"/>
  <c r="E4" i="2"/>
  <c r="C2" i="2"/>
  <c r="D2" i="2" s="1"/>
  <c r="H60" i="1"/>
  <c r="E13" i="2" s="1"/>
  <c r="H58" i="1"/>
  <c r="E11" i="2" s="1"/>
  <c r="H54" i="1"/>
  <c r="E8" i="2" s="1"/>
  <c r="H49" i="1"/>
  <c r="H48" i="1"/>
  <c r="H47" i="1"/>
  <c r="H46" i="1"/>
  <c r="H45" i="1"/>
  <c r="H40" i="1"/>
  <c r="H38" i="1"/>
  <c r="M36" i="1"/>
  <c r="H35" i="1"/>
  <c r="E6" i="2" s="1"/>
  <c r="H33" i="1"/>
  <c r="E5" i="2" s="1"/>
  <c r="K27" i="1"/>
  <c r="H27" i="1"/>
  <c r="K26" i="1"/>
  <c r="K25" i="1"/>
  <c r="K24" i="1"/>
  <c r="K23" i="1"/>
  <c r="K22" i="1"/>
  <c r="H22" i="1"/>
  <c r="E12" i="2" s="1"/>
  <c r="N21" i="1"/>
  <c r="H21" i="1"/>
  <c r="E7" i="2" s="1"/>
  <c r="H20" i="1"/>
  <c r="K18" i="1"/>
  <c r="H18" i="1"/>
  <c r="K17" i="1"/>
  <c r="H17" i="1"/>
  <c r="K16" i="1"/>
  <c r="K15" i="1"/>
  <c r="H15" i="1"/>
  <c r="K14" i="1"/>
  <c r="H14" i="1"/>
  <c r="K13" i="1"/>
  <c r="N12" i="1"/>
  <c r="N13" i="1" s="1"/>
  <c r="N14" i="1" s="1"/>
  <c r="N15" i="1" s="1"/>
  <c r="N16" i="1" s="1"/>
  <c r="N17" i="1" s="1"/>
  <c r="H9" i="1"/>
  <c r="B9" i="1"/>
  <c r="B8" i="1"/>
  <c r="Q12" i="5" l="1"/>
  <c r="F12" i="5"/>
  <c r="G12" i="5" s="1"/>
  <c r="L12" i="5"/>
  <c r="K12" i="5"/>
  <c r="J12" i="5"/>
  <c r="N11" i="5"/>
  <c r="M11" i="5"/>
  <c r="O11" i="5"/>
  <c r="B13" i="5"/>
  <c r="D12" i="5"/>
  <c r="E12" i="5" s="1"/>
  <c r="C13" i="5"/>
  <c r="N22" i="1"/>
  <c r="N23" i="1" s="1"/>
  <c r="N24" i="1" s="1"/>
  <c r="N25" i="1" s="1"/>
  <c r="N26" i="1" s="1"/>
  <c r="T177" i="3"/>
  <c r="E14" i="2"/>
  <c r="E3" i="2" s="1"/>
  <c r="T36" i="3"/>
  <c r="T72" i="3"/>
  <c r="T99" i="3"/>
  <c r="T136" i="3"/>
  <c r="T164" i="3"/>
  <c r="T9" i="3"/>
  <c r="T43" i="3"/>
  <c r="T96" i="3"/>
  <c r="T172" i="3"/>
  <c r="T264" i="3"/>
  <c r="T257" i="3"/>
  <c r="T238" i="3"/>
  <c r="T219" i="3"/>
  <c r="T204" i="3"/>
  <c r="T188" i="3"/>
  <c r="T162" i="3"/>
  <c r="T155" i="3"/>
  <c r="T132" i="3"/>
  <c r="T127" i="3"/>
  <c r="T122" i="3"/>
  <c r="T113" i="3"/>
  <c r="T110" i="3"/>
  <c r="T86" i="3"/>
  <c r="T80" i="3"/>
  <c r="T33" i="3"/>
  <c r="T22" i="3"/>
  <c r="T15" i="3"/>
  <c r="T3" i="3"/>
  <c r="U2" i="3"/>
  <c r="T251" i="3"/>
  <c r="T244" i="3"/>
  <c r="T236" i="3"/>
  <c r="T232" i="3"/>
  <c r="T223" i="3"/>
  <c r="T217" i="3"/>
  <c r="T212" i="3"/>
  <c r="T194" i="3"/>
  <c r="T186" i="3"/>
  <c r="T52" i="3"/>
  <c r="T106" i="3"/>
  <c r="T124" i="3"/>
  <c r="T59" i="3"/>
  <c r="T83" i="3"/>
  <c r="T147" i="3"/>
  <c r="Q13" i="5" l="1"/>
  <c r="F13" i="5"/>
  <c r="G13" i="5" s="1"/>
  <c r="J13" i="5"/>
  <c r="L13" i="5"/>
  <c r="K13" i="5"/>
  <c r="O12" i="5"/>
  <c r="N12" i="5"/>
  <c r="M12" i="5"/>
  <c r="B14" i="5"/>
  <c r="D13" i="5"/>
  <c r="E13" i="5" s="1"/>
  <c r="C14" i="5"/>
  <c r="U264" i="3"/>
  <c r="U257" i="3"/>
  <c r="U238" i="3"/>
  <c r="U219" i="3"/>
  <c r="U204" i="3"/>
  <c r="U188" i="3"/>
  <c r="U162" i="3"/>
  <c r="U155" i="3"/>
  <c r="U132" i="3"/>
  <c r="U127" i="3"/>
  <c r="U122" i="3"/>
  <c r="U113" i="3"/>
  <c r="U110" i="3"/>
  <c r="U86" i="3"/>
  <c r="U80" i="3"/>
  <c r="U33" i="3"/>
  <c r="U22" i="3"/>
  <c r="U15" i="3"/>
  <c r="U3" i="3"/>
  <c r="U251" i="3"/>
  <c r="U244" i="3"/>
  <c r="U236" i="3"/>
  <c r="U232" i="3"/>
  <c r="U223" i="3"/>
  <c r="U217" i="3"/>
  <c r="U212" i="3"/>
  <c r="U194" i="3"/>
  <c r="U186" i="3"/>
  <c r="U177" i="3"/>
  <c r="U172" i="3"/>
  <c r="U164" i="3"/>
  <c r="U147" i="3"/>
  <c r="U136" i="3"/>
  <c r="U124" i="3"/>
  <c r="U106" i="3"/>
  <c r="U99" i="3"/>
  <c r="U96" i="3"/>
  <c r="U83" i="3"/>
  <c r="U72" i="3"/>
  <c r="U59" i="3"/>
  <c r="U52" i="3"/>
  <c r="H16" i="1" s="1"/>
  <c r="U43" i="3"/>
  <c r="U36" i="3"/>
  <c r="U9" i="3"/>
  <c r="Q14" i="5" l="1"/>
  <c r="F14" i="5"/>
  <c r="G14" i="5" s="1"/>
  <c r="J14" i="5"/>
  <c r="L14" i="5"/>
  <c r="K14" i="5"/>
  <c r="O13" i="5"/>
  <c r="N13" i="5"/>
  <c r="M13" i="5"/>
  <c r="B15" i="5"/>
  <c r="D14" i="5"/>
  <c r="E14" i="5" s="1"/>
  <c r="C15" i="5"/>
  <c r="I16" i="1"/>
  <c r="H8" i="1"/>
  <c r="H10" i="1" s="1"/>
  <c r="I13" i="1" s="1"/>
  <c r="Q15" i="5" l="1"/>
  <c r="F15" i="5"/>
  <c r="G15" i="5" s="1"/>
  <c r="L15" i="5"/>
  <c r="K15" i="5"/>
  <c r="J15" i="5"/>
  <c r="M14" i="5"/>
  <c r="O14" i="5"/>
  <c r="N14" i="5"/>
  <c r="B16" i="5"/>
  <c r="D15" i="5"/>
  <c r="E15" i="5" s="1"/>
  <c r="C16" i="5"/>
  <c r="H13" i="1"/>
  <c r="H62" i="1" s="1"/>
  <c r="Q16" i="5" l="1"/>
  <c r="F16" i="5"/>
  <c r="G16" i="5" s="1"/>
  <c r="L16" i="5"/>
  <c r="K16" i="5"/>
  <c r="J16" i="5"/>
  <c r="N15" i="5"/>
  <c r="M15" i="5"/>
  <c r="O15" i="5"/>
  <c r="B17" i="5"/>
  <c r="D16" i="5"/>
  <c r="E16" i="5" s="1"/>
  <c r="C17" i="5"/>
  <c r="C3" i="2"/>
  <c r="C12" i="2" s="1"/>
  <c r="Q17" i="5" l="1"/>
  <c r="F17" i="5"/>
  <c r="G17" i="5" s="1"/>
  <c r="L17" i="5"/>
  <c r="K17" i="5"/>
  <c r="J17" i="5"/>
  <c r="O16" i="5"/>
  <c r="N16" i="5"/>
  <c r="M16" i="5"/>
  <c r="B18" i="5"/>
  <c r="D17" i="5"/>
  <c r="E17" i="5" s="1"/>
  <c r="C18" i="5"/>
  <c r="D3" i="2"/>
  <c r="D11" i="2" s="1"/>
  <c r="F11" i="2" s="1"/>
  <c r="C4" i="2"/>
  <c r="C8" i="2"/>
  <c r="C10" i="2"/>
  <c r="C5" i="2"/>
  <c r="C9" i="2"/>
  <c r="C14" i="2"/>
  <c r="C6" i="2"/>
  <c r="C13" i="2"/>
  <c r="C7" i="2"/>
  <c r="C11" i="2"/>
  <c r="Q18" i="5" l="1"/>
  <c r="F18" i="5"/>
  <c r="G18" i="5" s="1"/>
  <c r="J18" i="5"/>
  <c r="K18" i="5"/>
  <c r="L18" i="5"/>
  <c r="O17" i="5"/>
  <c r="N17" i="5"/>
  <c r="M17" i="5"/>
  <c r="B19" i="5"/>
  <c r="D18" i="5"/>
  <c r="E18" i="5" s="1"/>
  <c r="C19" i="5"/>
  <c r="D4" i="2"/>
  <c r="F4" i="2" s="1"/>
  <c r="D8" i="2"/>
  <c r="F8" i="2" s="1"/>
  <c r="D12" i="2"/>
  <c r="F12" i="2" s="1"/>
  <c r="D5" i="2"/>
  <c r="F5" i="2" s="1"/>
  <c r="D9" i="2"/>
  <c r="F9" i="2" s="1"/>
  <c r="D13" i="2"/>
  <c r="F13" i="2" s="1"/>
  <c r="D6" i="2"/>
  <c r="F6" i="2" s="1"/>
  <c r="D10" i="2"/>
  <c r="F10" i="2" s="1"/>
  <c r="D14" i="2"/>
  <c r="F14" i="2" s="1"/>
  <c r="D7" i="2"/>
  <c r="F7" i="2" s="1"/>
  <c r="Q19" i="5" l="1"/>
  <c r="F19" i="5"/>
  <c r="G19" i="5" s="1"/>
  <c r="L19" i="5"/>
  <c r="K19" i="5"/>
  <c r="J19" i="5"/>
  <c r="M18" i="5"/>
  <c r="O18" i="5"/>
  <c r="N18" i="5"/>
  <c r="B20" i="5"/>
  <c r="D19" i="5"/>
  <c r="E19" i="5" s="1"/>
  <c r="C20" i="5"/>
  <c r="Q20" i="5" l="1"/>
  <c r="F20" i="5"/>
  <c r="G20" i="5" s="1"/>
  <c r="L20" i="5"/>
  <c r="K20" i="5"/>
  <c r="J20" i="5"/>
  <c r="N19" i="5"/>
  <c r="M19" i="5"/>
  <c r="O19" i="5"/>
  <c r="B21" i="5"/>
  <c r="D20" i="5"/>
  <c r="E20" i="5" s="1"/>
  <c r="C21" i="5"/>
  <c r="Q21" i="5" l="1"/>
  <c r="F21" i="5"/>
  <c r="G21" i="5" s="1"/>
  <c r="J21" i="5"/>
  <c r="L21" i="5"/>
  <c r="K21" i="5"/>
  <c r="O20" i="5"/>
  <c r="N20" i="5"/>
  <c r="M20" i="5"/>
  <c r="B22" i="5"/>
  <c r="D21" i="5"/>
  <c r="E21" i="5" s="1"/>
  <c r="C22" i="5"/>
  <c r="Q22" i="5" l="1"/>
  <c r="F22" i="5"/>
  <c r="G22" i="5" s="1"/>
  <c r="J22" i="5"/>
  <c r="L22" i="5"/>
  <c r="K22" i="5"/>
  <c r="O21" i="5"/>
  <c r="N21" i="5"/>
  <c r="M21" i="5"/>
  <c r="B23" i="5"/>
  <c r="D22" i="5"/>
  <c r="E22" i="5" s="1"/>
  <c r="C23" i="5"/>
  <c r="Q23" i="5" l="1"/>
  <c r="F23" i="5"/>
  <c r="G23" i="5" s="1"/>
  <c r="L23" i="5"/>
  <c r="K23" i="5"/>
  <c r="J23" i="5"/>
  <c r="M22" i="5"/>
  <c r="O22" i="5"/>
  <c r="N22" i="5"/>
  <c r="B24" i="5"/>
  <c r="D23" i="5"/>
  <c r="E23" i="5" s="1"/>
  <c r="C24" i="5"/>
  <c r="Q24" i="5" l="1"/>
  <c r="F24" i="5"/>
  <c r="G24" i="5" s="1"/>
  <c r="L24" i="5"/>
  <c r="K24" i="5"/>
  <c r="J24" i="5"/>
  <c r="N23" i="5"/>
  <c r="M23" i="5"/>
  <c r="O23" i="5"/>
  <c r="B25" i="5"/>
  <c r="D24" i="5"/>
  <c r="E24" i="5" s="1"/>
  <c r="C25" i="5"/>
  <c r="Q25" i="5" l="1"/>
  <c r="F25" i="5"/>
  <c r="G25" i="5" s="1"/>
  <c r="J25" i="5"/>
  <c r="L25" i="5"/>
  <c r="K25" i="5"/>
  <c r="O24" i="5"/>
  <c r="N24" i="5"/>
  <c r="M24" i="5"/>
  <c r="B26" i="5"/>
  <c r="D25" i="5"/>
  <c r="E25" i="5" s="1"/>
  <c r="C26" i="5"/>
  <c r="Q26" i="5" l="1"/>
  <c r="F26" i="5"/>
  <c r="G26" i="5" s="1"/>
  <c r="J26" i="5"/>
  <c r="K26" i="5"/>
  <c r="L26" i="5"/>
  <c r="O25" i="5"/>
  <c r="N25" i="5"/>
  <c r="M25" i="5"/>
  <c r="B27" i="5"/>
  <c r="D26" i="5"/>
  <c r="E26" i="5" s="1"/>
  <c r="C27" i="5"/>
  <c r="Q27" i="5" l="1"/>
  <c r="F27" i="5"/>
  <c r="G27" i="5" s="1"/>
  <c r="L27" i="5"/>
  <c r="K27" i="5"/>
  <c r="J27" i="5"/>
  <c r="M26" i="5"/>
  <c r="O26" i="5"/>
  <c r="N26" i="5"/>
  <c r="B28" i="5"/>
  <c r="D27" i="5"/>
  <c r="E27" i="5" s="1"/>
  <c r="C28" i="5"/>
  <c r="Q28" i="5" l="1"/>
  <c r="F28" i="5"/>
  <c r="L28" i="5"/>
  <c r="K28" i="5"/>
  <c r="J28" i="5"/>
  <c r="N27" i="5"/>
  <c r="M27" i="5"/>
  <c r="O27" i="5"/>
  <c r="B29" i="5"/>
  <c r="G28" i="5"/>
  <c r="D28" i="5"/>
  <c r="E28" i="5" s="1"/>
  <c r="C29" i="5"/>
  <c r="Q29" i="5" l="1"/>
  <c r="F29" i="5"/>
  <c r="G29" i="5" s="1"/>
  <c r="L29" i="5"/>
  <c r="K29" i="5"/>
  <c r="J29" i="5"/>
  <c r="O28" i="5"/>
  <c r="N28" i="5"/>
  <c r="M28" i="5"/>
  <c r="B30" i="5"/>
  <c r="D29" i="5"/>
  <c r="E29" i="5" s="1"/>
  <c r="C30" i="5"/>
  <c r="Q30" i="5" l="1"/>
  <c r="F30" i="5"/>
  <c r="G30" i="5" s="1"/>
  <c r="J30" i="5"/>
  <c r="K30" i="5"/>
  <c r="L30" i="5"/>
  <c r="O29" i="5"/>
  <c r="N29" i="5"/>
  <c r="M29" i="5"/>
  <c r="B31" i="5"/>
  <c r="D30" i="5"/>
  <c r="E30" i="5" s="1"/>
  <c r="C31" i="5"/>
  <c r="Q31" i="5" l="1"/>
  <c r="F31" i="5"/>
  <c r="G31" i="5" s="1"/>
  <c r="L31" i="5"/>
  <c r="K31" i="5"/>
  <c r="J31" i="5"/>
  <c r="M30" i="5"/>
  <c r="O30" i="5"/>
  <c r="N30" i="5"/>
  <c r="B32" i="5"/>
  <c r="D31" i="5"/>
  <c r="E31" i="5" s="1"/>
  <c r="C32" i="5"/>
  <c r="Q32" i="5" l="1"/>
  <c r="F32" i="5"/>
  <c r="G32" i="5" s="1"/>
  <c r="L32" i="5"/>
  <c r="K32" i="5"/>
  <c r="J32" i="5"/>
  <c r="N31" i="5"/>
  <c r="M31" i="5"/>
  <c r="O31" i="5"/>
  <c r="B33" i="5"/>
  <c r="D32" i="5"/>
  <c r="E32" i="5" s="1"/>
  <c r="C33" i="5"/>
  <c r="Q33" i="5" l="1"/>
  <c r="F33" i="5"/>
  <c r="G33" i="5" s="1"/>
  <c r="J33" i="5"/>
  <c r="L33" i="5"/>
  <c r="K33" i="5"/>
  <c r="O32" i="5"/>
  <c r="N32" i="5"/>
  <c r="M32" i="5"/>
  <c r="B34" i="5"/>
  <c r="D33" i="5"/>
  <c r="E33" i="5" s="1"/>
  <c r="C34" i="5"/>
  <c r="Q34" i="5" l="1"/>
  <c r="F34" i="5"/>
  <c r="G34" i="5" s="1"/>
  <c r="J34" i="5"/>
  <c r="L34" i="5"/>
  <c r="K34" i="5"/>
  <c r="O33" i="5"/>
  <c r="N33" i="5"/>
  <c r="M33" i="5"/>
  <c r="B35" i="5"/>
  <c r="D34" i="5"/>
  <c r="E34" i="5" s="1"/>
  <c r="C35" i="5"/>
  <c r="Q35" i="5" l="1"/>
  <c r="F35" i="5"/>
  <c r="G35" i="5" s="1"/>
  <c r="L35" i="5"/>
  <c r="K35" i="5"/>
  <c r="J35" i="5"/>
  <c r="M34" i="5"/>
  <c r="O34" i="5"/>
  <c r="N34" i="5"/>
  <c r="B36" i="5"/>
  <c r="D35" i="5"/>
  <c r="E35" i="5" s="1"/>
  <c r="C36" i="5"/>
  <c r="Q36" i="5" l="1"/>
  <c r="F36" i="5"/>
  <c r="G36" i="5" s="1"/>
  <c r="L36" i="5"/>
  <c r="K36" i="5"/>
  <c r="J36" i="5"/>
  <c r="N35" i="5"/>
  <c r="M35" i="5"/>
  <c r="O35" i="5"/>
  <c r="B37" i="5"/>
  <c r="D36" i="5"/>
  <c r="E36" i="5" s="1"/>
  <c r="C37" i="5"/>
  <c r="Q37" i="5" l="1"/>
  <c r="F37" i="5"/>
  <c r="G37" i="5" s="1"/>
  <c r="L37" i="5"/>
  <c r="K37" i="5"/>
  <c r="J37" i="5"/>
  <c r="O36" i="5"/>
  <c r="N36" i="5"/>
  <c r="M36" i="5"/>
  <c r="B38" i="5"/>
  <c r="D37" i="5"/>
  <c r="E37" i="5" s="1"/>
  <c r="C38" i="5"/>
  <c r="Q38" i="5" l="1"/>
  <c r="F38" i="5"/>
  <c r="J38" i="5"/>
  <c r="K38" i="5"/>
  <c r="L38" i="5"/>
  <c r="O37" i="5"/>
  <c r="N37" i="5"/>
  <c r="M37" i="5"/>
  <c r="B39" i="5"/>
  <c r="G38" i="5"/>
  <c r="D38" i="5"/>
  <c r="E38" i="5" s="1"/>
  <c r="C39" i="5"/>
  <c r="Q39" i="5" l="1"/>
  <c r="F39" i="5"/>
  <c r="G39" i="5" s="1"/>
  <c r="L39" i="5"/>
  <c r="K39" i="5"/>
  <c r="J39" i="5"/>
  <c r="M38" i="5"/>
  <c r="O38" i="5"/>
  <c r="N38" i="5"/>
  <c r="B40" i="5"/>
  <c r="D39" i="5"/>
  <c r="E39" i="5" s="1"/>
  <c r="C40" i="5"/>
  <c r="Q40" i="5" l="1"/>
  <c r="F40" i="5"/>
  <c r="G40" i="5" s="1"/>
  <c r="L40" i="5"/>
  <c r="K40" i="5"/>
  <c r="J40" i="5"/>
  <c r="N39" i="5"/>
  <c r="M39" i="5"/>
  <c r="O39" i="5"/>
  <c r="B41" i="5"/>
  <c r="D40" i="5"/>
  <c r="E40" i="5" s="1"/>
  <c r="C41" i="5"/>
  <c r="Q41" i="5" l="1"/>
  <c r="F41" i="5"/>
  <c r="G41" i="5" s="1"/>
  <c r="J41" i="5"/>
  <c r="L41" i="5"/>
  <c r="K41" i="5"/>
  <c r="O40" i="5"/>
  <c r="N40" i="5"/>
  <c r="M40" i="5"/>
  <c r="B42" i="5"/>
  <c r="D41" i="5"/>
  <c r="E41" i="5" s="1"/>
  <c r="C42" i="5"/>
  <c r="Q42" i="5" l="1"/>
  <c r="F42" i="5"/>
  <c r="G42" i="5" s="1"/>
  <c r="J42" i="5"/>
  <c r="L42" i="5"/>
  <c r="K42" i="5"/>
  <c r="O41" i="5"/>
  <c r="N41" i="5"/>
  <c r="M41" i="5"/>
  <c r="B43" i="5"/>
  <c r="D42" i="5"/>
  <c r="E42" i="5" s="1"/>
  <c r="C43" i="5"/>
  <c r="Q43" i="5" l="1"/>
  <c r="F43" i="5"/>
  <c r="G43" i="5" s="1"/>
  <c r="M42" i="5"/>
  <c r="O42" i="5"/>
  <c r="N42" i="5"/>
  <c r="B44" i="5"/>
  <c r="D43" i="5"/>
  <c r="E43" i="5" s="1"/>
  <c r="C44" i="5"/>
  <c r="L43" i="5" l="1"/>
  <c r="J43" i="5"/>
  <c r="Q44" i="5"/>
  <c r="F44" i="5"/>
  <c r="G44" i="5" s="1"/>
  <c r="L44" i="5" s="1"/>
  <c r="K43" i="5"/>
  <c r="N43" i="5"/>
  <c r="M43" i="5"/>
  <c r="O43" i="5"/>
  <c r="C45" i="5"/>
  <c r="B45" i="5"/>
  <c r="D44" i="5"/>
  <c r="E44" i="5" s="1"/>
  <c r="Q45" i="5" l="1"/>
  <c r="F45" i="5"/>
  <c r="G45" i="5" s="1"/>
  <c r="J45" i="5" s="1"/>
  <c r="J44" i="5"/>
  <c r="K44" i="5"/>
  <c r="O44" i="5"/>
  <c r="N44" i="5"/>
  <c r="M44" i="5"/>
  <c r="D45" i="5"/>
  <c r="E45" i="5" s="1"/>
  <c r="C46" i="5"/>
  <c r="B46" i="5"/>
  <c r="Q46" i="5" l="1"/>
  <c r="F46" i="5"/>
  <c r="G46" i="5" s="1"/>
  <c r="J46" i="5" s="1"/>
  <c r="K45" i="5"/>
  <c r="L45" i="5"/>
  <c r="O45" i="5"/>
  <c r="N45" i="5"/>
  <c r="M45" i="5"/>
  <c r="D46" i="5"/>
  <c r="E46" i="5" s="1"/>
  <c r="C47" i="5"/>
  <c r="B47" i="5"/>
  <c r="Q47" i="5" l="1"/>
  <c r="F47" i="5"/>
  <c r="G47" i="5" s="1"/>
  <c r="L47" i="5" s="1"/>
  <c r="L46" i="5"/>
  <c r="K46" i="5"/>
  <c r="M46" i="5"/>
  <c r="O46" i="5"/>
  <c r="N46" i="5"/>
  <c r="C48" i="5"/>
  <c r="C49" i="5" s="1"/>
  <c r="D47" i="5"/>
  <c r="E47" i="5" s="1"/>
  <c r="B48" i="5"/>
  <c r="Q49" i="5" l="1"/>
  <c r="F49" i="5"/>
  <c r="Q48" i="5"/>
  <c r="F48" i="5"/>
  <c r="G48" i="5" s="1"/>
  <c r="L48" i="5" s="1"/>
  <c r="J47" i="5"/>
  <c r="K47" i="5"/>
  <c r="N47" i="5"/>
  <c r="M47" i="5"/>
  <c r="O47" i="5"/>
  <c r="D48" i="5"/>
  <c r="E48" i="5" s="1"/>
  <c r="B49" i="5"/>
  <c r="D49" i="5"/>
  <c r="C50" i="5"/>
  <c r="Q50" i="5" l="1"/>
  <c r="F50" i="5"/>
  <c r="J48" i="5"/>
  <c r="K48" i="5"/>
  <c r="O48" i="5"/>
  <c r="N48" i="5"/>
  <c r="M48" i="5"/>
  <c r="B50" i="5"/>
  <c r="E49" i="5"/>
  <c r="G49" i="5"/>
  <c r="L49" i="5" s="1"/>
  <c r="D50" i="5"/>
  <c r="C51" i="5"/>
  <c r="Q51" i="5" l="1"/>
  <c r="F51" i="5"/>
  <c r="J49" i="5"/>
  <c r="K49" i="5"/>
  <c r="O49" i="5"/>
  <c r="N49" i="5"/>
  <c r="M49" i="5"/>
  <c r="B51" i="5"/>
  <c r="E50" i="5"/>
  <c r="G50" i="5"/>
  <c r="J50" i="5" s="1"/>
  <c r="C52" i="5"/>
  <c r="D51" i="5"/>
  <c r="Q52" i="5" l="1"/>
  <c r="F52" i="5"/>
  <c r="K50" i="5"/>
  <c r="L50" i="5"/>
  <c r="M50" i="5"/>
  <c r="O50" i="5"/>
  <c r="N50" i="5"/>
  <c r="B52" i="5"/>
  <c r="E51" i="5"/>
  <c r="G51" i="5"/>
  <c r="L51" i="5" s="1"/>
  <c r="D52" i="5"/>
  <c r="C53" i="5"/>
  <c r="Q53" i="5" l="1"/>
  <c r="F53" i="5"/>
  <c r="J51" i="5"/>
  <c r="K51" i="5"/>
  <c r="N51" i="5"/>
  <c r="M51" i="5"/>
  <c r="O51" i="5"/>
  <c r="B53" i="5"/>
  <c r="E52" i="5"/>
  <c r="G52" i="5"/>
  <c r="L52" i="5" s="1"/>
  <c r="D53" i="5"/>
  <c r="C54" i="5"/>
  <c r="Q54" i="5" l="1"/>
  <c r="F54" i="5"/>
  <c r="J52" i="5"/>
  <c r="K52" i="5"/>
  <c r="O52" i="5"/>
  <c r="N52" i="5"/>
  <c r="M52" i="5"/>
  <c r="B54" i="5"/>
  <c r="E53" i="5"/>
  <c r="G53" i="5"/>
  <c r="L53" i="5" s="1"/>
  <c r="D54" i="5"/>
  <c r="C55" i="5"/>
  <c r="Q55" i="5" l="1"/>
  <c r="F55" i="5"/>
  <c r="K53" i="5"/>
  <c r="J53" i="5"/>
  <c r="O53" i="5"/>
  <c r="N53" i="5"/>
  <c r="M53" i="5"/>
  <c r="B55" i="5"/>
  <c r="E54" i="5"/>
  <c r="G54" i="5"/>
  <c r="L54" i="5" s="1"/>
  <c r="C56" i="5"/>
  <c r="D55" i="5"/>
  <c r="K54" i="5" l="1"/>
  <c r="Q56" i="5"/>
  <c r="F56" i="5"/>
  <c r="J54" i="5"/>
  <c r="M54" i="5"/>
  <c r="O54" i="5"/>
  <c r="N54" i="5"/>
  <c r="B56" i="5"/>
  <c r="E55" i="5"/>
  <c r="G55" i="5"/>
  <c r="J55" i="5" s="1"/>
  <c r="C57" i="5"/>
  <c r="D56" i="5"/>
  <c r="Q57" i="5" l="1"/>
  <c r="F57" i="5"/>
  <c r="K55" i="5"/>
  <c r="L55" i="5"/>
  <c r="N55" i="5"/>
  <c r="M55" i="5"/>
  <c r="O55" i="5"/>
  <c r="B57" i="5"/>
  <c r="E56" i="5"/>
  <c r="G56" i="5"/>
  <c r="L56" i="5" s="1"/>
  <c r="C58" i="5"/>
  <c r="D57" i="5"/>
  <c r="J56" i="5" l="1"/>
  <c r="Q58" i="5"/>
  <c r="F58" i="5"/>
  <c r="K56" i="5"/>
  <c r="O56" i="5"/>
  <c r="N56" i="5"/>
  <c r="M56" i="5"/>
  <c r="B58" i="5"/>
  <c r="E57" i="5"/>
  <c r="G57" i="5"/>
  <c r="L57" i="5" s="1"/>
  <c r="C59" i="5"/>
  <c r="D58" i="5"/>
  <c r="K57" i="5" l="1"/>
  <c r="Q59" i="5"/>
  <c r="F59" i="5"/>
  <c r="J57" i="5"/>
  <c r="O57" i="5"/>
  <c r="N57" i="5"/>
  <c r="M57" i="5"/>
  <c r="B59" i="5"/>
  <c r="E58" i="5"/>
  <c r="G58" i="5"/>
  <c r="L58" i="5" s="1"/>
  <c r="C60" i="5"/>
  <c r="D59" i="5"/>
  <c r="Q60" i="5" l="1"/>
  <c r="F60" i="5"/>
  <c r="K58" i="5"/>
  <c r="J58" i="5"/>
  <c r="M58" i="5"/>
  <c r="O58" i="5"/>
  <c r="N58" i="5"/>
  <c r="E59" i="5"/>
  <c r="B60" i="5"/>
  <c r="G59" i="5"/>
  <c r="K59" i="5" s="1"/>
  <c r="D60" i="5"/>
  <c r="C61" i="5"/>
  <c r="Q61" i="5" l="1"/>
  <c r="F61" i="5"/>
  <c r="L59" i="5"/>
  <c r="J59" i="5"/>
  <c r="N59" i="5"/>
  <c r="M59" i="5"/>
  <c r="O59" i="5"/>
  <c r="E60" i="5"/>
  <c r="B61" i="5"/>
  <c r="G60" i="5"/>
  <c r="L60" i="5" s="1"/>
  <c r="D61" i="5"/>
  <c r="J60" i="5" l="1"/>
  <c r="K60" i="5"/>
  <c r="O60" i="5"/>
  <c r="N60" i="5"/>
  <c r="M60" i="5"/>
  <c r="E61" i="5"/>
  <c r="G61" i="5"/>
  <c r="K61" i="5" s="1"/>
  <c r="J61" i="5" l="1"/>
  <c r="L61" i="5"/>
  <c r="O61" i="5"/>
  <c r="N61" i="5"/>
  <c r="M61" i="5"/>
</calcChain>
</file>

<file path=xl/sharedStrings.xml><?xml version="1.0" encoding="utf-8"?>
<sst xmlns="http://schemas.openxmlformats.org/spreadsheetml/2006/main" count="802" uniqueCount="288">
  <si>
    <t>BUDGET COMPONENTS             SENIOR SEMINAR      Dr. Tim Diller</t>
  </si>
  <si>
    <t>ANNUAL $</t>
  </si>
  <si>
    <t>GROSS INCOME (include spouse's income below if married)</t>
  </si>
  <si>
    <t>In what state will you live?</t>
  </si>
  <si>
    <t>IN</t>
  </si>
  <si>
    <t>Married?</t>
  </si>
  <si>
    <t>No</t>
  </si>
  <si>
    <t>Spouse's income?</t>
  </si>
  <si>
    <t>2016 Tax Tables</t>
  </si>
  <si>
    <t>Taxable income</t>
  </si>
  <si>
    <t>REVENUES WITHHELD</t>
  </si>
  <si>
    <t>Single</t>
  </si>
  <si>
    <t>Pct Inc</t>
  </si>
  <si>
    <t>FIT (Federal Income Tax)</t>
  </si>
  <si>
    <t>Social Security</t>
  </si>
  <si>
    <t xml:space="preserve">Medicare  </t>
  </si>
  <si>
    <t xml:space="preserve">SIT (State Income Tax)   </t>
  </si>
  <si>
    <t>LIT (Local Income Tax)</t>
  </si>
  <si>
    <t>IRA/SRA (Independent/Supplemental Retirement Account)</t>
  </si>
  <si>
    <t>Corporate Stock Purchase Plan</t>
  </si>
  <si>
    <t>Married filing jointly</t>
  </si>
  <si>
    <t xml:space="preserve">Health Insurance &amp; Dependent Coverage   </t>
  </si>
  <si>
    <t>Medical Reimbursement</t>
  </si>
  <si>
    <t>EXPENDITURES OUT OF REMAINDER</t>
  </si>
  <si>
    <t>Contributions to church, missions, TU?</t>
  </si>
  <si>
    <t>Medical and Dental</t>
  </si>
  <si>
    <t>Taxes (Property, BMV)</t>
  </si>
  <si>
    <t>Standard Deductions</t>
  </si>
  <si>
    <t>Interest Payments</t>
  </si>
  <si>
    <t>Inc below</t>
  </si>
  <si>
    <t>Job Expenses</t>
  </si>
  <si>
    <t>-----</t>
  </si>
  <si>
    <t>Married</t>
  </si>
  <si>
    <t xml:space="preserve">Food </t>
  </si>
  <si>
    <t>per wk =</t>
  </si>
  <si>
    <t>Exemption</t>
  </si>
  <si>
    <t>Automobile</t>
  </si>
  <si>
    <t xml:space="preserve">   Gas</t>
  </si>
  <si>
    <t xml:space="preserve">gal * </t>
  </si>
  <si>
    <t>per gal =</t>
  </si>
  <si>
    <t>Average Health Insurance Cost</t>
  </si>
  <si>
    <t xml:space="preserve">   Upkeep &amp; licensing</t>
  </si>
  <si>
    <t xml:space="preserve">   Insurance </t>
  </si>
  <si>
    <t xml:space="preserve">   Replacement</t>
  </si>
  <si>
    <t>orig cost - resale /</t>
  </si>
  <si>
    <t>years</t>
  </si>
  <si>
    <t>Housing</t>
  </si>
  <si>
    <t xml:space="preserve">   Rent or Home mortgage payment</t>
  </si>
  <si>
    <t>per mon =</t>
  </si>
  <si>
    <t xml:space="preserve">   Renter's or Home Owner's Insurance</t>
  </si>
  <si>
    <t xml:space="preserve">Household Repairs    </t>
  </si>
  <si>
    <t xml:space="preserve">Clothes   </t>
  </si>
  <si>
    <t>Utilities:</t>
  </si>
  <si>
    <t xml:space="preserve">   Water      </t>
  </si>
  <si>
    <t xml:space="preserve">   Natural Gas</t>
  </si>
  <si>
    <t xml:space="preserve">   Electricity</t>
  </si>
  <si>
    <t xml:space="preserve">   Internet/Cable/DSL</t>
  </si>
  <si>
    <t xml:space="preserve">   Telephone (Cell and/or land)</t>
  </si>
  <si>
    <t xml:space="preserve">Gifts     </t>
  </si>
  <si>
    <t>Entertainment (going out)</t>
  </si>
  <si>
    <t>Media (staying in - music/videos/iTunes)</t>
  </si>
  <si>
    <t>Education Expenses</t>
  </si>
  <si>
    <t xml:space="preserve">   Loan repayment</t>
  </si>
  <si>
    <t>years =</t>
  </si>
  <si>
    <t xml:space="preserve">   Grad school tuition, fees, books</t>
  </si>
  <si>
    <t xml:space="preserve">Sports     </t>
  </si>
  <si>
    <t xml:space="preserve">Insurance: (Life, LTD, etc.) </t>
  </si>
  <si>
    <t>Books and Computer Equipment</t>
  </si>
  <si>
    <t>Miscellaneous (Postage, soap, cosmetics…)</t>
  </si>
  <si>
    <t>Disposable remaining</t>
  </si>
  <si>
    <t>Category</t>
  </si>
  <si>
    <t>Suggested Percentage</t>
  </si>
  <si>
    <t>Annual Amount</t>
  </si>
  <si>
    <t>Monthly Amount</t>
  </si>
  <si>
    <t>Monthly Budgeted</t>
  </si>
  <si>
    <t>Monthly Difference</t>
  </si>
  <si>
    <t>Net Income</t>
  </si>
  <si>
    <t>Net Spendable:*</t>
  </si>
  <si>
    <t>Monies remaining after all taxes and charitable giving are paid.</t>
  </si>
  <si>
    <t>Housing:</t>
  </si>
  <si>
    <t>This expense should include mortgage, insurance, gas, electricity, maintenance, and phone.</t>
  </si>
  <si>
    <t>Food:</t>
  </si>
  <si>
    <t>This expense includes your basic grocery list. Do not include eating out in this category.</t>
  </si>
  <si>
    <t>Auto:</t>
  </si>
  <si>
    <t>This expense includes auto payment, insurance, maintenance, and replacement.</t>
  </si>
  <si>
    <t>Insurance:</t>
  </si>
  <si>
    <t>Life, health, and other.</t>
  </si>
  <si>
    <t>Debt:</t>
  </si>
  <si>
    <t>This category, if needed, should not be overlooked. Getting debt eliminated is a very important goal of any budget.</t>
  </si>
  <si>
    <t>Ent/ Rec:</t>
  </si>
  <si>
    <t>Eating-out, vacations, and activities should be included.</t>
  </si>
  <si>
    <t>Clothing:</t>
  </si>
  <si>
    <t>Do not overlook this category. Many persons do not budget for this category. The minimum amount should be at least $10 a month for each family member.</t>
  </si>
  <si>
    <t>Savings:</t>
  </si>
  <si>
    <t>A wise option. Regardless of the amount, a regular savings plan is crucial. Even if it is only $5 or $10 per month.</t>
  </si>
  <si>
    <t>Med/Dental:</t>
  </si>
  <si>
    <t>Dentist, physician.</t>
  </si>
  <si>
    <t>Misc:</t>
  </si>
  <si>
    <t>This category is generally for items that do not fit any other category. This category can be the most dangerous as far as budget busting if not kept under control.</t>
  </si>
  <si>
    <t>Investments:</t>
  </si>
  <si>
    <t>Stocks, bonds, mutual funds, and other.</t>
  </si>
  <si>
    <t>http://www.crownmoneymap.org/MoneyMap/ASP/budgetguide.asp</t>
  </si>
  <si>
    <t>Single Filer</t>
  </si>
  <si>
    <t>Married Filing Jointly</t>
  </si>
  <si>
    <t>Standard Deduction</t>
  </si>
  <si>
    <t>Personal Exemption</t>
  </si>
  <si>
    <t>Couple</t>
  </si>
  <si>
    <t>From http://taxfoundation.org/article/state-individual-income-tax-rates-and-brackets-2015</t>
  </si>
  <si>
    <t>State</t>
  </si>
  <si>
    <t>Rates</t>
  </si>
  <si>
    <t>Brackets</t>
  </si>
  <si>
    <t>Total Tax</t>
  </si>
  <si>
    <t>Dependent</t>
  </si>
  <si>
    <t>AL</t>
  </si>
  <si>
    <t>&gt;</t>
  </si>
  <si>
    <t xml:space="preserve"> (b, f)</t>
  </si>
  <si>
    <t>AK</t>
  </si>
  <si>
    <t>AR</t>
  </si>
  <si>
    <t>AZ</t>
  </si>
  <si>
    <t>none</t>
  </si>
  <si>
    <t>n.a.</t>
  </si>
  <si>
    <t>CA</t>
  </si>
  <si>
    <t>CO</t>
  </si>
  <si>
    <t xml:space="preserve"> (e) </t>
  </si>
  <si>
    <t>CT</t>
  </si>
  <si>
    <t>DC</t>
  </si>
  <si>
    <t>DE</t>
  </si>
  <si>
    <t>FL</t>
  </si>
  <si>
    <t>Ga.</t>
  </si>
  <si>
    <t>HI</t>
  </si>
  <si>
    <t xml:space="preserve"> (d, e)</t>
  </si>
  <si>
    <t>IA</t>
  </si>
  <si>
    <t>ID</t>
  </si>
  <si>
    <t>IL</t>
  </si>
  <si>
    <t>KS</t>
  </si>
  <si>
    <t>KY</t>
  </si>
  <si>
    <t>LA</t>
  </si>
  <si>
    <t xml:space="preserve"> (a, e,  r, s)</t>
  </si>
  <si>
    <t>MA</t>
  </si>
  <si>
    <t>MD</t>
  </si>
  <si>
    <t>ME</t>
  </si>
  <si>
    <t>MI</t>
  </si>
  <si>
    <t>MN</t>
  </si>
  <si>
    <t>MO</t>
  </si>
  <si>
    <t>MS</t>
  </si>
  <si>
    <t>MT</t>
  </si>
  <si>
    <t>NC</t>
  </si>
  <si>
    <t>ND</t>
  </si>
  <si>
    <t>NE</t>
  </si>
  <si>
    <t>4.63% of federal</t>
  </si>
  <si>
    <t>NH</t>
  </si>
  <si>
    <t>taxable income</t>
  </si>
  <si>
    <t>NJ</t>
  </si>
  <si>
    <t>NM</t>
  </si>
  <si>
    <t xml:space="preserve"> (t, u)</t>
  </si>
  <si>
    <t>NV</t>
  </si>
  <si>
    <t>NY</t>
  </si>
  <si>
    <t>OH</t>
  </si>
  <si>
    <t>OK</t>
  </si>
  <si>
    <t>OR</t>
  </si>
  <si>
    <t>PA</t>
  </si>
  <si>
    <t>RI</t>
  </si>
  <si>
    <t xml:space="preserve"> (f, r, v)</t>
  </si>
  <si>
    <t>SC</t>
  </si>
  <si>
    <t>SD</t>
  </si>
  <si>
    <t>TN</t>
  </si>
  <si>
    <t>TX</t>
  </si>
  <si>
    <t>UT</t>
  </si>
  <si>
    <t>VA</t>
  </si>
  <si>
    <t>VT</t>
  </si>
  <si>
    <t>WA</t>
  </si>
  <si>
    <t>WI</t>
  </si>
  <si>
    <t>WV</t>
  </si>
  <si>
    <t>WY</t>
  </si>
  <si>
    <t xml:space="preserve"> (w)</t>
  </si>
  <si>
    <t xml:space="preserve"> (e, p)</t>
  </si>
  <si>
    <t>3.75% of federal</t>
  </si>
  <si>
    <t>3.3% of federal</t>
  </si>
  <si>
    <t xml:space="preserve"> (x)</t>
  </si>
  <si>
    <t xml:space="preserve"> (a, e,  f, r)</t>
  </si>
  <si>
    <t xml:space="preserve"> (r)</t>
  </si>
  <si>
    <t xml:space="preserve"> (f, n)</t>
  </si>
  <si>
    <t xml:space="preserve"> (o, y)</t>
  </si>
  <si>
    <t>4.25% of federal AGI</t>
  </si>
  <si>
    <t>with modification</t>
  </si>
  <si>
    <t xml:space="preserve"> (p)</t>
  </si>
  <si>
    <t xml:space="preserve"> (a, e,  f, q)</t>
  </si>
  <si>
    <t xml:space="preserve"> (e, r) </t>
  </si>
  <si>
    <t xml:space="preserve"> (i)</t>
  </si>
  <si>
    <t xml:space="preserve"> (e)</t>
  </si>
  <si>
    <t xml:space="preserve"> (e, p, z)</t>
  </si>
  <si>
    <t xml:space="preserve"> (a, e, g)</t>
  </si>
  <si>
    <t xml:space="preserve"> (h)</t>
  </si>
  <si>
    <t xml:space="preserve"> (e, f)</t>
  </si>
  <si>
    <t xml:space="preserve"> (e, k)</t>
  </si>
  <si>
    <t xml:space="preserve"> (a, e, p)</t>
  </si>
  <si>
    <t xml:space="preserve"> (e, m)</t>
  </si>
  <si>
    <t xml:space="preserve"> (j)</t>
  </si>
  <si>
    <t>(a) 2014 tax information.</t>
  </si>
  <si>
    <t>(b) For single taxpayers with AGI below $20,000, the standard deduction is $2,500. This standard deduction amount is reduced by $25 for every additional $500 of AGI, not to fall below $2,000. For Married Filing Joint taxpayers with AGI below $20,000, the standard deduction is $7,500. This standard deduction amount is reduced by $175 for every additional $500, not to fall below $4,000. For all taxpayers claiming a dependent with AGI below $20,000, the dependent exemption is $1,000. This amount is reduced to $500 per dependent for taxpayers with AGI above $20,000 and below $100,000. For taxpayers with over $100,000 AGI, the dependent exemption is $300 per dependent.</t>
  </si>
  <si>
    <t>(c) Applies to interest and dividend income only.</t>
  </si>
  <si>
    <t>(d) Rates apply to regular tax table. A special tax table is available for low income taxpayers that reduces their tax payments.</t>
  </si>
  <si>
    <t>(e) Bracket levels adjusted for inflation each year. Release dates for tax bracket inflation adjustments vary by state and may fall after the end of the applicable tax year.</t>
  </si>
  <si>
    <t>(f) These states allow some or all of federal income tax paid to be deducted from state taxable income.</t>
  </si>
  <si>
    <t>(g) Ohio's personal and dependent exemptions are $2,200 for an AGI of $40,000 or less, $1,950 if AGI is between $40,001 and $79,999, and $1,700 if AGI is $80,000 or above.</t>
  </si>
  <si>
    <t>(h) The top rate is scheduled to be reduced to 5.0% in tax year 2016 and 4.85% in subsequent tax years, contingent upon certain revenue growth.</t>
  </si>
  <si>
    <t>(i) Tied to federal tax system, plus an additional $2,500 if federal AGI is equal to or less than $36,667 (single) or $55,000 (married filing jointly).</t>
  </si>
  <si>
    <t>(j) Deduction and exemption amounts for 2015 subject to funding. Rate reductions for income between $40,001 and $100,000 scheduled for 2016 and subsequent tax years, subject to funding.</t>
  </si>
  <si>
    <t>(k) The phase-out range for the personal exemption and deduction is $192,700 - $214,700. The exemptions and deductions are completely phased out at a modified federal AGI of $214,700.</t>
  </si>
  <si>
    <t xml:space="preserve">(l) The standard deduction is taken in the form of a nonrefundable credit of 6% of the federal standard or itemized deduction amount, excluding the deduction for state or local income tax.  This credit phases out (in 2014) at 1.3 cents per dollar above $13,590 of AGI ($27,180 for married couples).
</t>
  </si>
  <si>
    <t>(m) The standard deduction phases out by 12% at $14,779 for single filers and 19.778% at $20,739 for married filing jointly. The standard deduction phases out to zero at $101,197 for single filers, $114,076 for joint filers.</t>
  </si>
  <si>
    <t>(n) Standard deductions and personal exemptions are combined: $4,500 for single and married filing separately; $9,000 married filing jointly and head of household.</t>
  </si>
  <si>
    <t>(o) The standard deduction is 15 percent of income with a minimum of $1,500 and a cap of $2,000 for single filers, married filing separately filers, and dependent filers earning more than $13,333. The standard deduction is a minimum of $3,000 and capped at $4,000 for married filing jointly filers, head of households filers, and qualifying widowers earning more than $26,667.</t>
  </si>
  <si>
    <t>(p) Deduction or exemption tied to federal tax system. Federal deductions and exemptions are indexed for inflation.</t>
  </si>
  <si>
    <t>(q) Montana filers' standard deduction is 20% of AGI. For single taxpayers, the deduction must be between $1,940 and $4,370. For married taxpayers, the deduction must be between $3,880 and $8,740.</t>
  </si>
  <si>
    <t>(r) Tax Credit.</t>
  </si>
  <si>
    <t>(s) Exemption credits phase out for single taxpayers by $6 for each $2,500 of AGI above $169,730 and for joint filers by $12 for each $2,500 of AGI above $339,464. The credit cannot be reduced to below zero.</t>
  </si>
  <si>
    <t>(t) Connecticut has a complex set of phase-out provisions. For each single taxpayer whose Connecticut AGI exceeds $56,500, the amount of the taxpayer's Connecticut taxable income to which the 3% tax rate applies shall be reduced by $1,000 for each $5,000, or fraction thereof, by which the taxpayer's Connecticut AGI exceeds said amount. Any such amount will have a tax rate of 5% instead of 3%. Additionally, each single taxpayer whose Connecticut AGI exceeds $200,000 shall pay an amount equal to $75 for each $5,000, or fraction thereof, by which the taxpayer's Connecticut AGI exceeds $200,000, up to a maximum payment of $2,250. For joint filers whose Connecticut AGI exceeds $100,500, the amount of the taxpayer's Connecticut taxable income to which the 3% tax rate applies shall be reduced by $2,000 for each $5,000, or fraction thereof, by which the taxpayer's Connecticut AGI exceeds said amount. Any such amount of Connecticut taxable income to which, as provided in the preceding sentence, the 3% tax rate does not apply shall be an amount to which the 5% tax rate shall apply. For joint filers whose Connecticut AGI exceeds $400,000 dollars shall pay, in addition to the amount above, an amount equal to $150 for each $10,000, or fraction thereof, by which the taxpayer's Connecticut AGI exceeds $400,000, up to a maximum payment of $4,500. Conn. Gen. Stat. § 12-700 (2015).</t>
  </si>
  <si>
    <t>(u) Connecticut taxpayers are also given a personal tax credit based upon certain income constraints, which begins at $15,000 and completely phases out by $1,000 for every $1,000 of AGI over $30,000.</t>
  </si>
  <si>
    <t>(v) In addition to the personal income tax rates, Delaware imposes a tax on lump-sum distributions.</t>
  </si>
  <si>
    <t>(w) Additionally, Hawaii allows any taxpayer, other than a corporation, acting as a business entity in more than one state and required to file a return to elect to report and pay a tax of 0.5 percent of its annual gross sales if (1) the taxpayer’s only activities in the state consist of sales, (2) the taxpayer does not own or rent real estate or tangible personal property, and (3) the taxpayer’s annual gross sales in the state are not in excess of $100,000. Haw. Rev. Stat. § 235-51 (2015).</t>
  </si>
  <si>
    <t>(x) $1,000 is a base exemption. If dependents meet certain conditions, filers can take an additional $1,500 exemption for each.</t>
  </si>
  <si>
    <t>(y) The exemption amount has the following phase out schedule: if AGI is above $100,000 but below $125,000, exemption is $1,600; if AGI is above $125,000 but below $150,000, exemption is $800; if AGI is above $150,000, no exemption.</t>
  </si>
  <si>
    <t>(z) Federal taxable income is the starting point for North Dakota, so the federal standard deduction and exemptions are built-in.</t>
  </si>
  <si>
    <t>miles/28mpg=</t>
  </si>
  <si>
    <t>Return Com:</t>
  </si>
  <si>
    <t>Monthly Cont</t>
  </si>
  <si>
    <t>Retirement Plan (e.g., 401K or 403B, IRA)</t>
  </si>
  <si>
    <t>Salary</t>
  </si>
  <si>
    <t>Retirement Contribution:</t>
  </si>
  <si>
    <t>Savings Total:</t>
  </si>
  <si>
    <t>Age</t>
  </si>
  <si>
    <t>Year</t>
  </si>
  <si>
    <t>Starting Year</t>
  </si>
  <si>
    <t>(covered in savings)</t>
  </si>
  <si>
    <t>Savings/Short Term Investments</t>
  </si>
  <si>
    <t>Kid(s) Start College</t>
  </si>
  <si>
    <t>Kid(s) Finished with College</t>
  </si>
  <si>
    <t>Future Value of Dollar</t>
  </si>
  <si>
    <t>Retirement Total:</t>
  </si>
  <si>
    <t>IRA &amp; 401K Withdrawl Allowed</t>
  </si>
  <si>
    <t>Planned Inheritence After Death:</t>
  </si>
  <si>
    <t>Savings Contribution:</t>
  </si>
  <si>
    <t>Starting Age</t>
  </si>
  <si>
    <t>Retirement Calculator</t>
  </si>
  <si>
    <t>Notes and Adjustments</t>
  </si>
  <si>
    <t>(In Current Years Dollars)</t>
  </si>
  <si>
    <t>401K Match:</t>
  </si>
  <si>
    <t>Starting Savings:</t>
  </si>
  <si>
    <t>Starting Retire:</t>
  </si>
  <si>
    <t>Retirement Investment Rate:</t>
  </si>
  <si>
    <t>Savings Investment Rate</t>
  </si>
  <si>
    <t>Avg. Salary Increase:</t>
  </si>
  <si>
    <t>Avg. Inflation Rate:</t>
  </si>
  <si>
    <t>Avg. Savings Return</t>
  </si>
  <si>
    <t>Age 40 $1,000,000 Investment Goal</t>
  </si>
  <si>
    <t>Expected Age of Death:</t>
  </si>
  <si>
    <t>Starting Base Income:</t>
  </si>
  <si>
    <t>55 Yrs of Working</t>
  </si>
  <si>
    <t>Expected Retirement Age</t>
  </si>
  <si>
    <t>Start Career</t>
  </si>
  <si>
    <t>MBA Yr 1 ($15,000)</t>
  </si>
  <si>
    <t>MBA Yr 2 ($15,000)</t>
  </si>
  <si>
    <t>Finish MBA (10% Salary Increase)</t>
  </si>
  <si>
    <t>(In Current Year's Dollars)</t>
  </si>
  <si>
    <t>(Adj. for Avg. Lifetime Inflation)</t>
  </si>
  <si>
    <t>Other Item(s):</t>
  </si>
  <si>
    <t>40 Years Worked</t>
  </si>
  <si>
    <t>(Adj. for Current Purchasing Power)</t>
  </si>
  <si>
    <t>Salary Adjusted for Current Purchasing Power</t>
  </si>
  <si>
    <t>"_%" Rule Avg. Withdrawl Rate</t>
  </si>
  <si>
    <t>Annual Retirement Lifetime Withdrawl Rate</t>
  </si>
  <si>
    <t>Avergage Retirement (Conservative) Return:</t>
  </si>
  <si>
    <t>How much would the withdrawls be per year for rest of life</t>
  </si>
  <si>
    <t>(Retirement Years Calculator)</t>
  </si>
  <si>
    <t>Dynamically Updating Amount of cells geneated</t>
  </si>
  <si>
    <t>TODO:</t>
  </si>
  <si>
    <t>Random Generatation valuesfor Year values for inflation, raise, market return (option for user)</t>
  </si>
  <si>
    <t>Specify Extra Expenses and factor them into the equation</t>
  </si>
  <si>
    <t>Bring in past Inflation rates and returns to base for current periods</t>
  </si>
  <si>
    <t>Spendible Income due to taxes and tax rates for given year</t>
  </si>
  <si>
    <t>Inheritence Allocation Plan (calculator)</t>
  </si>
  <si>
    <t>Promotion Schedule in Work?</t>
  </si>
  <si>
    <t>Avg. Investments Return:</t>
  </si>
  <si>
    <t>Bonus Profit Sharing / Variable Income:</t>
  </si>
  <si>
    <t>Profit Sharing / Variable Income Savings Rate:</t>
  </si>
  <si>
    <t>Profti Sharing / Variable Income Investment Rate:</t>
  </si>
  <si>
    <t>Retirement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</si>
</sst>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
    <numFmt numFmtId="165" formatCode="0.0%"/>
    <numFmt numFmtId="166" formatCode="\$#,##0_);[Red]&quot;($&quot;#,##0\)"/>
    <numFmt numFmtId="167" formatCode="\$#,##0.00_);[Red]&quot;($&quot;#,##0.00\)"/>
    <numFmt numFmtId="168" formatCode="\$#,##0.00"/>
    <numFmt numFmtId="169" formatCode="\$#,##0.00_);[Red]&quot;-$&quot;#,##0.00"/>
    <numFmt numFmtId="170" formatCode="0.000%"/>
    <numFmt numFmtId="171" formatCode="_([$$-409]* #,##0.00_);_([$$-409]* \(#,##0.00\);_([$$-409]* &quot;-&quot;??_);_(@_)"/>
    <numFmt numFmtId="172" formatCode="_(* #,##0_);_(* \(#,##0\);_(* &quot;-&quot;??_);_(@_)"/>
    <numFmt numFmtId="173" formatCode="_(* #,##0.0_);_(* \(#,##0.0\);_(* &quot;-&quot;??_);_(@_)"/>
    <numFmt numFmtId="174" formatCode="_(* #,##0.0_);_(* \(#,##0.0\);_(* &quot;-&quot;?_);_(@_)"/>
  </numFmts>
  <fonts count="26">
    <font>
      <sz val="12"/>
      <name val="Arial"/>
      <family val="2"/>
      <charset val="1"/>
    </font>
    <font>
      <sz val="12"/>
      <color rgb="FFBFBFBF"/>
      <name val="Arial"/>
      <family val="2"/>
      <charset val="1"/>
    </font>
    <font>
      <sz val="10"/>
      <name val="Arial"/>
      <family val="2"/>
      <charset val="1"/>
    </font>
    <font>
      <sz val="12"/>
      <color rgb="FFFFFFFF"/>
      <name val="Arial"/>
      <family val="2"/>
      <charset val="1"/>
    </font>
    <font>
      <b/>
      <sz val="8"/>
      <color rgb="FF333333"/>
      <name val="Verdana"/>
      <family val="2"/>
      <charset val="1"/>
    </font>
    <font>
      <u/>
      <sz val="11"/>
      <color rgb="FF0000FF"/>
      <name val="Calibri"/>
      <family val="2"/>
      <charset val="1"/>
    </font>
    <font>
      <b/>
      <u/>
      <sz val="8"/>
      <color rgb="FF333333"/>
      <name val="Verdana"/>
      <family val="2"/>
      <charset val="1"/>
    </font>
    <font>
      <sz val="8"/>
      <color rgb="FF333333"/>
      <name val="Verdana"/>
      <family val="2"/>
      <charset val="1"/>
    </font>
    <font>
      <sz val="8"/>
      <color rgb="FFFFFFFF"/>
      <name val="Verdana"/>
      <family val="2"/>
      <charset val="1"/>
    </font>
    <font>
      <sz val="8"/>
      <name val="Verdana"/>
      <family val="2"/>
      <charset val="1"/>
    </font>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b/>
      <i/>
      <sz val="11"/>
      <color rgb="FF000000"/>
      <name val="Calibri"/>
      <family val="2"/>
      <charset val="1"/>
    </font>
    <font>
      <b/>
      <i/>
      <sz val="11"/>
      <color rgb="FFFF0000"/>
      <name val="Calibri"/>
      <family val="2"/>
      <charset val="1"/>
    </font>
    <font>
      <i/>
      <sz val="11"/>
      <color rgb="FF000000"/>
      <name val="Calibri"/>
      <family val="2"/>
      <charset val="1"/>
    </font>
    <font>
      <sz val="12"/>
      <name val="Arial"/>
      <family val="2"/>
      <charset val="1"/>
    </font>
    <font>
      <b/>
      <sz val="12"/>
      <name val="Times"/>
      <family val="1"/>
    </font>
    <font>
      <sz val="12"/>
      <name val="Times"/>
      <family val="1"/>
    </font>
    <font>
      <b/>
      <sz val="12"/>
      <name val="Times Roman"/>
    </font>
    <font>
      <sz val="12"/>
      <name val="Times Roman"/>
    </font>
    <font>
      <b/>
      <i/>
      <sz val="12"/>
      <name val="Times"/>
      <family val="1"/>
    </font>
    <font>
      <b/>
      <sz val="14"/>
      <name val="Times"/>
      <family val="1"/>
    </font>
    <font>
      <b/>
      <sz val="18"/>
      <name val="Times"/>
      <family val="1"/>
    </font>
    <font>
      <b/>
      <sz val="20"/>
      <name val="Times Roman"/>
    </font>
  </fonts>
  <fills count="19">
    <fill>
      <patternFill patternType="none"/>
    </fill>
    <fill>
      <patternFill patternType="gray125"/>
    </fill>
    <fill>
      <patternFill patternType="solid">
        <fgColor rgb="FFD9D9D9"/>
        <bgColor rgb="FFBFBFBF"/>
      </patternFill>
    </fill>
    <fill>
      <patternFill patternType="solid">
        <fgColor rgb="FFFFFF99"/>
        <bgColor rgb="FFF3F3F3"/>
      </patternFill>
    </fill>
    <fill>
      <patternFill patternType="solid">
        <fgColor rgb="FFF3F3F3"/>
        <bgColor rgb="FFFFFFFF"/>
      </patternFill>
    </fill>
    <fill>
      <patternFill patternType="solid">
        <fgColor rgb="FFC00000"/>
        <bgColor rgb="FFFF0000"/>
      </patternFill>
    </fill>
    <fill>
      <patternFill patternType="solid">
        <fgColor rgb="FFFF0000"/>
        <bgColor rgb="FFC00000"/>
      </patternFill>
    </fill>
    <fill>
      <patternFill patternType="solid">
        <fgColor rgb="FFFFC000"/>
        <bgColor rgb="FFFF9900"/>
      </patternFill>
    </fill>
    <fill>
      <patternFill patternType="solid">
        <fgColor rgb="FFFFFF00"/>
        <bgColor rgb="FFFFFF00"/>
      </patternFill>
    </fill>
    <fill>
      <patternFill patternType="solid">
        <fgColor rgb="FF92D050"/>
        <bgColor rgb="FFBFBFBF"/>
      </patternFill>
    </fill>
    <fill>
      <patternFill patternType="solid">
        <fgColor rgb="FF00B050"/>
        <bgColor rgb="FF008080"/>
      </patternFill>
    </fill>
    <fill>
      <patternFill patternType="solid">
        <fgColor rgb="FF00B0F0"/>
        <bgColor rgb="FF33CCCC"/>
      </patternFill>
    </fill>
    <fill>
      <patternFill patternType="solid">
        <fgColor rgb="FF0070C0"/>
        <bgColor rgb="FF008080"/>
      </patternFill>
    </fill>
    <fill>
      <patternFill patternType="solid">
        <fgColor rgb="FF002060"/>
        <bgColor rgb="FF000080"/>
      </patternFill>
    </fill>
    <fill>
      <patternFill patternType="solid">
        <fgColor rgb="FF7030A0"/>
        <bgColor rgb="FF993366"/>
      </patternFill>
    </fill>
    <fill>
      <patternFill patternType="solid">
        <fgColor rgb="FF000000"/>
        <bgColor rgb="FF00330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3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ck">
        <color auto="1"/>
      </left>
      <right style="thick">
        <color auto="1"/>
      </right>
      <top style="thick">
        <color auto="1"/>
      </top>
      <bottom style="thick">
        <color auto="1"/>
      </bottom>
      <diagonal/>
    </border>
    <border>
      <left style="thick">
        <color rgb="FFFFFF00"/>
      </left>
      <right style="thick">
        <color rgb="FFFFFF00"/>
      </right>
      <top style="thick">
        <color auto="1"/>
      </top>
      <bottom/>
      <diagonal/>
    </border>
    <border>
      <left style="thick">
        <color rgb="FF002060"/>
      </left>
      <right style="thick">
        <color rgb="FF002060"/>
      </right>
      <top style="thick">
        <color rgb="FF002060"/>
      </top>
      <bottom style="thick">
        <color rgb="FF002060"/>
      </bottom>
      <diagonal/>
    </border>
    <border>
      <left style="thick">
        <color rgb="FF7030A0"/>
      </left>
      <right style="thick">
        <color rgb="FF7030A0"/>
      </right>
      <top style="thick">
        <color rgb="FF7030A0"/>
      </top>
      <bottom style="thick">
        <color rgb="FF7030A0"/>
      </bottom>
      <diagonal/>
    </border>
    <border>
      <left style="thick">
        <color rgb="FFFF0000"/>
      </left>
      <right style="thick">
        <color rgb="FFFF0000"/>
      </right>
      <top style="thick">
        <color rgb="FFFF0000"/>
      </top>
      <bottom style="thick">
        <color rgb="FFFF0000"/>
      </bottom>
      <diagonal/>
    </border>
    <border>
      <left style="thick">
        <color rgb="FFFFC000"/>
      </left>
      <right style="thick">
        <color rgb="FFFFC000"/>
      </right>
      <top style="thick">
        <color rgb="FFFFC000"/>
      </top>
      <bottom style="thick">
        <color rgb="FFFFC000"/>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rgb="FFC00000"/>
      </left>
      <right style="thick">
        <color rgb="FFC00000"/>
      </right>
      <top style="thick">
        <color rgb="FFC00000"/>
      </top>
      <bottom/>
      <diagonal/>
    </border>
    <border>
      <left style="thick">
        <color rgb="FF00B0F0"/>
      </left>
      <right style="thick">
        <color rgb="FF00B0F0"/>
      </right>
      <top style="thick">
        <color rgb="FF00B0F0"/>
      </top>
      <bottom style="thick">
        <color rgb="FF00B0F0"/>
      </bottom>
      <diagonal/>
    </border>
    <border>
      <left style="thick">
        <color rgb="FF00B050"/>
      </left>
      <right style="thick">
        <color rgb="FF00B050"/>
      </right>
      <top/>
      <bottom style="thick">
        <color rgb="FF00B050"/>
      </bottom>
      <diagonal/>
    </border>
    <border>
      <left style="thick">
        <color rgb="FF92D050"/>
      </left>
      <right style="thick">
        <color rgb="FF92D050"/>
      </right>
      <top style="thick">
        <color rgb="FF92D050"/>
      </top>
      <bottom/>
      <diagonal/>
    </border>
    <border>
      <left style="thick">
        <color rgb="FF00B050"/>
      </left>
      <right style="thick">
        <color rgb="FF00B050"/>
      </right>
      <top style="thick">
        <color rgb="FF7030A0"/>
      </top>
      <bottom style="thick">
        <color rgb="FF00B050"/>
      </bottom>
      <diagonal/>
    </border>
    <border>
      <left style="thick">
        <color rgb="FFFFFF00"/>
      </left>
      <right style="thick">
        <color rgb="FFFFFF00"/>
      </right>
      <top/>
      <bottom/>
      <diagonal/>
    </border>
    <border>
      <left style="thick">
        <color rgb="FF0070C0"/>
      </left>
      <right style="thick">
        <color rgb="FF0070C0"/>
      </right>
      <top style="thick">
        <color rgb="FF0070C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6">
    <xf numFmtId="0" fontId="0" fillId="0" borderId="0"/>
    <xf numFmtId="9" fontId="2" fillId="0" borderId="0" applyBorder="0" applyProtection="0"/>
    <xf numFmtId="0" fontId="5" fillId="0" borderId="0" applyBorder="0" applyProtection="0"/>
    <xf numFmtId="0" fontId="10" fillId="0" borderId="0"/>
    <xf numFmtId="44" fontId="17" fillId="0" borderId="0" applyFont="0" applyFill="0" applyBorder="0" applyAlignment="0" applyProtection="0"/>
    <xf numFmtId="43" fontId="17" fillId="0" borderId="0" applyFont="0" applyFill="0" applyBorder="0" applyAlignment="0" applyProtection="0"/>
  </cellStyleXfs>
  <cellXfs count="180">
    <xf numFmtId="0" fontId="0" fillId="0" borderId="0" xfId="0"/>
    <xf numFmtId="0" fontId="0" fillId="0" borderId="0" xfId="0" applyFont="1" applyAlignment="1"/>
    <xf numFmtId="0" fontId="0" fillId="2" borderId="0" xfId="0" applyFont="1" applyFill="1" applyAlignment="1"/>
    <xf numFmtId="3" fontId="0" fillId="3" borderId="0" xfId="0" applyNumberFormat="1" applyFill="1"/>
    <xf numFmtId="3" fontId="0" fillId="2" borderId="0" xfId="0" applyNumberFormat="1" applyFill="1"/>
    <xf numFmtId="3" fontId="0" fillId="3" borderId="0" xfId="0" applyNumberFormat="1" applyFont="1" applyFill="1" applyAlignment="1">
      <alignment horizontal="right"/>
    </xf>
    <xf numFmtId="3" fontId="0" fillId="2" borderId="0" xfId="0" applyNumberFormat="1" applyFont="1" applyFill="1" applyAlignment="1"/>
    <xf numFmtId="3" fontId="0" fillId="3" borderId="0" xfId="0" applyNumberFormat="1" applyFill="1" applyAlignment="1">
      <alignment horizontal="right"/>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0" xfId="0" applyFont="1" applyBorder="1" applyAlignment="1"/>
    <xf numFmtId="0" fontId="1" fillId="0" borderId="5" xfId="0" applyFont="1" applyBorder="1" applyAlignment="1"/>
    <xf numFmtId="164" fontId="1" fillId="0" borderId="4" xfId="0" applyNumberFormat="1" applyFont="1" applyBorder="1" applyAlignment="1"/>
    <xf numFmtId="164" fontId="1" fillId="0" borderId="0" xfId="0" applyNumberFormat="1" applyFont="1" applyBorder="1" applyAlignment="1"/>
    <xf numFmtId="165" fontId="1" fillId="0" borderId="0" xfId="1" applyNumberFormat="1" applyFont="1" applyBorder="1" applyAlignment="1" applyProtection="1"/>
    <xf numFmtId="164" fontId="1" fillId="0" borderId="5" xfId="0" applyNumberFormat="1" applyFont="1" applyBorder="1" applyAlignment="1"/>
    <xf numFmtId="165" fontId="0" fillId="2" borderId="0" xfId="0" applyNumberFormat="1" applyFill="1"/>
    <xf numFmtId="165" fontId="0" fillId="2" borderId="0" xfId="0" applyNumberFormat="1" applyFont="1" applyFill="1" applyAlignment="1"/>
    <xf numFmtId="3" fontId="0" fillId="2" borderId="6" xfId="0" applyNumberFormat="1" applyFill="1" applyBorder="1"/>
    <xf numFmtId="165" fontId="0" fillId="3" borderId="0" xfId="0" applyNumberFormat="1" applyFont="1" applyFill="1" applyAlignment="1"/>
    <xf numFmtId="9" fontId="0" fillId="2" borderId="0" xfId="0" applyNumberFormat="1" applyFont="1" applyFill="1" applyAlignment="1"/>
    <xf numFmtId="0" fontId="1" fillId="0" borderId="0" xfId="0" applyFont="1" applyBorder="1"/>
    <xf numFmtId="3" fontId="0" fillId="2" borderId="7" xfId="0" applyNumberFormat="1" applyFill="1" applyBorder="1"/>
    <xf numFmtId="0" fontId="3" fillId="2" borderId="0" xfId="0" applyFont="1" applyFill="1" applyAlignment="1"/>
    <xf numFmtId="3" fontId="0" fillId="2" borderId="8" xfId="0" applyNumberFormat="1" applyFill="1" applyBorder="1"/>
    <xf numFmtId="165" fontId="0" fillId="3" borderId="0" xfId="0" applyNumberFormat="1" applyFill="1"/>
    <xf numFmtId="3" fontId="0" fillId="3" borderId="8" xfId="0" applyNumberFormat="1" applyFont="1" applyFill="1" applyBorder="1" applyAlignment="1"/>
    <xf numFmtId="3" fontId="0" fillId="3" borderId="0" xfId="0" applyNumberFormat="1" applyFont="1" applyFill="1" applyAlignment="1"/>
    <xf numFmtId="3" fontId="0" fillId="3" borderId="9" xfId="0" applyNumberFormat="1" applyFont="1" applyFill="1" applyBorder="1" applyAlignment="1"/>
    <xf numFmtId="0" fontId="0" fillId="3" borderId="0" xfId="0" applyFont="1" applyFill="1" applyAlignment="1"/>
    <xf numFmtId="3" fontId="0" fillId="2" borderId="10" xfId="0" applyNumberFormat="1" applyFont="1" applyFill="1" applyBorder="1" applyAlignment="1"/>
    <xf numFmtId="0" fontId="0" fillId="0" borderId="4" xfId="0" applyFont="1" applyBorder="1" applyAlignment="1"/>
    <xf numFmtId="0" fontId="0" fillId="0" borderId="0" xfId="0" applyFont="1" applyBorder="1" applyAlignment="1"/>
    <xf numFmtId="0" fontId="0" fillId="0" borderId="5" xfId="0" applyFont="1" applyBorder="1" applyAlignment="1"/>
    <xf numFmtId="2" fontId="0" fillId="3" borderId="0" xfId="0" applyNumberFormat="1" applyFont="1" applyFill="1" applyAlignment="1"/>
    <xf numFmtId="3" fontId="0" fillId="2" borderId="11" xfId="0" applyNumberFormat="1" applyFont="1" applyFill="1" applyBorder="1" applyAlignment="1"/>
    <xf numFmtId="3" fontId="0" fillId="3" borderId="11" xfId="0" applyNumberFormat="1" applyFill="1" applyBorder="1" applyAlignment="1"/>
    <xf numFmtId="164" fontId="1" fillId="0" borderId="12" xfId="0" applyNumberFormat="1" applyFont="1" applyBorder="1" applyAlignment="1"/>
    <xf numFmtId="164" fontId="1" fillId="0" borderId="13" xfId="0" applyNumberFormat="1" applyFont="1" applyBorder="1" applyAlignment="1"/>
    <xf numFmtId="165" fontId="1" fillId="0" borderId="13" xfId="1" applyNumberFormat="1" applyFont="1" applyBorder="1" applyAlignment="1" applyProtection="1"/>
    <xf numFmtId="0" fontId="0" fillId="0" borderId="14" xfId="0" applyFont="1" applyBorder="1" applyAlignment="1"/>
    <xf numFmtId="3" fontId="0" fillId="3" borderId="11" xfId="0" applyNumberFormat="1" applyFont="1" applyFill="1" applyBorder="1" applyAlignment="1"/>
    <xf numFmtId="164" fontId="0" fillId="3" borderId="0" xfId="0" applyNumberFormat="1" applyFont="1" applyFill="1" applyAlignment="1"/>
    <xf numFmtId="3" fontId="0" fillId="2" borderId="11" xfId="0" applyNumberFormat="1" applyFont="1" applyFill="1" applyBorder="1" applyAlignment="1">
      <alignment horizontal="right"/>
    </xf>
    <xf numFmtId="0" fontId="0" fillId="2" borderId="0" xfId="0" applyFill="1"/>
    <xf numFmtId="3" fontId="0" fillId="2" borderId="15" xfId="0" applyNumberFormat="1" applyFont="1" applyFill="1" applyBorder="1" applyAlignment="1"/>
    <xf numFmtId="0" fontId="0" fillId="3" borderId="15" xfId="0" applyFont="1" applyFill="1" applyBorder="1" applyAlignment="1"/>
    <xf numFmtId="3" fontId="0" fillId="3" borderId="15" xfId="0" applyNumberFormat="1" applyFont="1" applyFill="1" applyBorder="1" applyAlignment="1"/>
    <xf numFmtId="3" fontId="0" fillId="3" borderId="16" xfId="0" applyNumberFormat="1" applyFont="1" applyFill="1" applyBorder="1" applyAlignment="1"/>
    <xf numFmtId="3" fontId="0" fillId="3" borderId="17" xfId="0" applyNumberFormat="1" applyFont="1" applyFill="1" applyBorder="1" applyAlignment="1"/>
    <xf numFmtId="166" fontId="0" fillId="3" borderId="0" xfId="0" applyNumberFormat="1" applyFont="1" applyFill="1" applyAlignment="1"/>
    <xf numFmtId="9" fontId="0" fillId="3" borderId="0" xfId="0" applyNumberFormat="1" applyFont="1" applyFill="1" applyAlignment="1"/>
    <xf numFmtId="3" fontId="0" fillId="3" borderId="18" xfId="0" applyNumberFormat="1" applyFont="1" applyFill="1" applyBorder="1" applyAlignment="1"/>
    <xf numFmtId="3" fontId="0" fillId="3" borderId="19" xfId="0" applyNumberFormat="1" applyFont="1" applyFill="1" applyBorder="1" applyAlignment="1"/>
    <xf numFmtId="3" fontId="0" fillId="3" borderId="20" xfId="0" applyNumberFormat="1" applyFont="1" applyFill="1" applyBorder="1" applyAlignment="1"/>
    <xf numFmtId="3" fontId="0" fillId="2" borderId="21" xfId="0" applyNumberFormat="1" applyFill="1" applyBorder="1"/>
    <xf numFmtId="3" fontId="0" fillId="2" borderId="9" xfId="0" applyNumberFormat="1" applyFont="1" applyFill="1" applyBorder="1" applyAlignment="1"/>
    <xf numFmtId="3" fontId="0" fillId="0" borderId="0" xfId="0" applyNumberFormat="1"/>
    <xf numFmtId="0" fontId="4" fillId="4" borderId="0" xfId="0" applyFont="1" applyFill="1" applyAlignment="1">
      <alignment horizontal="left" vertical="top" wrapText="1"/>
    </xf>
    <xf numFmtId="0" fontId="4" fillId="4" borderId="0" xfId="0" applyFont="1" applyFill="1" applyAlignment="1">
      <alignment horizontal="right" vertical="top" wrapText="1"/>
    </xf>
    <xf numFmtId="0" fontId="5" fillId="4" borderId="0" xfId="2" applyFont="1" applyFill="1" applyBorder="1" applyAlignment="1" applyProtection="1">
      <alignment horizontal="left" vertical="top" wrapText="1"/>
    </xf>
    <xf numFmtId="166" fontId="6" fillId="4" borderId="0" xfId="0" applyNumberFormat="1" applyFont="1" applyFill="1" applyAlignment="1">
      <alignment horizontal="right" vertical="center" wrapText="1"/>
    </xf>
    <xf numFmtId="167" fontId="6" fillId="4" borderId="0" xfId="0" applyNumberFormat="1" applyFont="1" applyFill="1" applyAlignment="1">
      <alignment horizontal="right" vertical="center" wrapText="1"/>
    </xf>
    <xf numFmtId="0" fontId="7" fillId="4" borderId="0" xfId="0" applyFont="1" applyFill="1" applyAlignment="1">
      <alignment horizontal="right" vertical="top" wrapText="1"/>
    </xf>
    <xf numFmtId="9" fontId="7" fillId="4" borderId="0" xfId="0" applyNumberFormat="1" applyFont="1" applyFill="1" applyAlignment="1">
      <alignment horizontal="right" vertical="top" wrapText="1"/>
    </xf>
    <xf numFmtId="166" fontId="7" fillId="4" borderId="0" xfId="0" applyNumberFormat="1" applyFont="1" applyFill="1" applyAlignment="1">
      <alignment horizontal="right" vertical="top" wrapText="1"/>
    </xf>
    <xf numFmtId="168" fontId="7" fillId="4" borderId="0" xfId="0" applyNumberFormat="1" applyFont="1" applyFill="1" applyAlignment="1">
      <alignment horizontal="right" vertical="top" wrapText="1"/>
    </xf>
    <xf numFmtId="168" fontId="8" fillId="5" borderId="0" xfId="0" applyNumberFormat="1" applyFont="1" applyFill="1" applyAlignment="1">
      <alignment horizontal="right" vertical="top" wrapText="1"/>
    </xf>
    <xf numFmtId="169" fontId="9" fillId="0" borderId="0" xfId="0" applyNumberFormat="1" applyFont="1" applyAlignment="1">
      <alignment horizontal="right" vertical="top" wrapText="1"/>
    </xf>
    <xf numFmtId="168" fontId="8" fillId="6" borderId="0" xfId="0" applyNumberFormat="1" applyFont="1" applyFill="1" applyAlignment="1">
      <alignment horizontal="right" vertical="top" wrapText="1"/>
    </xf>
    <xf numFmtId="168" fontId="7" fillId="7" borderId="0" xfId="0" applyNumberFormat="1" applyFont="1" applyFill="1" applyAlignment="1">
      <alignment horizontal="right" vertical="top" wrapText="1"/>
    </xf>
    <xf numFmtId="168" fontId="7" fillId="8" borderId="0" xfId="0" applyNumberFormat="1" applyFont="1" applyFill="1" applyAlignment="1">
      <alignment horizontal="right" vertical="top" wrapText="1"/>
    </xf>
    <xf numFmtId="168" fontId="7" fillId="9" borderId="0" xfId="0" applyNumberFormat="1" applyFont="1" applyFill="1" applyAlignment="1">
      <alignment horizontal="right" vertical="top" wrapText="1"/>
    </xf>
    <xf numFmtId="168" fontId="7" fillId="10" borderId="0" xfId="0" applyNumberFormat="1" applyFont="1" applyFill="1" applyAlignment="1">
      <alignment horizontal="right" vertical="top" wrapText="1"/>
    </xf>
    <xf numFmtId="168" fontId="7" fillId="11" borderId="0" xfId="0" applyNumberFormat="1" applyFont="1" applyFill="1" applyAlignment="1">
      <alignment horizontal="right" vertical="top" wrapText="1"/>
    </xf>
    <xf numFmtId="168" fontId="8" fillId="12" borderId="0" xfId="0" applyNumberFormat="1" applyFont="1" applyFill="1" applyAlignment="1">
      <alignment horizontal="right" vertical="top" wrapText="1"/>
    </xf>
    <xf numFmtId="168" fontId="8" fillId="13" borderId="0" xfId="0" applyNumberFormat="1" applyFont="1" applyFill="1" applyAlignment="1">
      <alignment horizontal="right" vertical="top" wrapText="1"/>
    </xf>
    <xf numFmtId="168" fontId="8" fillId="14" borderId="0" xfId="0" applyNumberFormat="1" applyFont="1" applyFill="1" applyAlignment="1">
      <alignment horizontal="right" vertical="top" wrapText="1"/>
    </xf>
    <xf numFmtId="168" fontId="8" fillId="15" borderId="0" xfId="0" applyNumberFormat="1" applyFont="1" applyFill="1" applyAlignment="1">
      <alignment horizontal="right" vertical="top" wrapText="1"/>
    </xf>
    <xf numFmtId="0" fontId="5" fillId="0" borderId="0" xfId="2" applyFont="1" applyBorder="1" applyAlignment="1" applyProtection="1"/>
    <xf numFmtId="0" fontId="10" fillId="0" borderId="0" xfId="3"/>
    <xf numFmtId="0" fontId="11" fillId="0" borderId="0" xfId="3" applyFont="1" applyAlignment="1">
      <alignment horizontal="center"/>
    </xf>
    <xf numFmtId="0" fontId="12" fillId="0" borderId="0" xfId="3" applyFont="1" applyAlignment="1">
      <alignment horizontal="center"/>
    </xf>
    <xf numFmtId="0" fontId="13" fillId="0" borderId="0" xfId="3" applyFont="1"/>
    <xf numFmtId="1" fontId="5" fillId="0" borderId="0" xfId="2" applyNumberFormat="1" applyFont="1" applyBorder="1" applyAlignment="1" applyProtection="1">
      <alignment horizontal="left"/>
    </xf>
    <xf numFmtId="0" fontId="10" fillId="0" borderId="0" xfId="3" applyAlignment="1">
      <alignment horizontal="left"/>
    </xf>
    <xf numFmtId="0" fontId="11" fillId="0" borderId="0" xfId="3" applyFont="1"/>
    <xf numFmtId="10" fontId="14" fillId="0" borderId="0" xfId="3" applyNumberFormat="1" applyFont="1" applyAlignment="1">
      <alignment horizontal="center"/>
    </xf>
    <xf numFmtId="0" fontId="14" fillId="0" borderId="0" xfId="3" applyFont="1" applyAlignment="1">
      <alignment horizontal="center"/>
    </xf>
    <xf numFmtId="164" fontId="14" fillId="0" borderId="0" xfId="3" applyNumberFormat="1" applyFont="1" applyAlignment="1">
      <alignment horizontal="center"/>
    </xf>
    <xf numFmtId="164" fontId="15" fillId="0" borderId="0" xfId="3" applyNumberFormat="1" applyFont="1" applyAlignment="1">
      <alignment horizontal="center"/>
    </xf>
    <xf numFmtId="0" fontId="14" fillId="0" borderId="0" xfId="3" applyFont="1" applyAlignment="1">
      <alignment horizontal="left"/>
    </xf>
    <xf numFmtId="168" fontId="13" fillId="0" borderId="0" xfId="3" applyNumberFormat="1" applyFont="1"/>
    <xf numFmtId="1" fontId="13" fillId="0" borderId="0" xfId="3" applyNumberFormat="1" applyFont="1" applyAlignment="1">
      <alignment horizontal="left"/>
    </xf>
    <xf numFmtId="0" fontId="13" fillId="0" borderId="0" xfId="3" applyFont="1" applyAlignment="1">
      <alignment horizontal="left"/>
    </xf>
    <xf numFmtId="10" fontId="10" fillId="0" borderId="0" xfId="3" applyNumberFormat="1" applyAlignment="1">
      <alignment horizontal="center"/>
    </xf>
    <xf numFmtId="0" fontId="10" fillId="0" borderId="0" xfId="3" applyFont="1" applyAlignment="1">
      <alignment horizontal="center"/>
    </xf>
    <xf numFmtId="164" fontId="10" fillId="0" borderId="0" xfId="3" applyNumberFormat="1" applyAlignment="1">
      <alignment horizontal="center"/>
    </xf>
    <xf numFmtId="164" fontId="13" fillId="0" borderId="0" xfId="3" applyNumberFormat="1" applyFont="1" applyAlignment="1">
      <alignment horizontal="center"/>
    </xf>
    <xf numFmtId="166" fontId="10" fillId="0" borderId="0" xfId="3" applyNumberFormat="1" applyAlignment="1">
      <alignment horizontal="left"/>
    </xf>
    <xf numFmtId="166" fontId="10" fillId="0" borderId="0" xfId="3" applyNumberFormat="1" applyAlignment="1">
      <alignment horizontal="center"/>
    </xf>
    <xf numFmtId="1" fontId="13" fillId="0" borderId="0" xfId="3" applyNumberFormat="1" applyFont="1" applyAlignment="1">
      <alignment horizontal="center"/>
    </xf>
    <xf numFmtId="0" fontId="16" fillId="0" borderId="0" xfId="3" applyFont="1" applyAlignment="1">
      <alignment horizontal="left"/>
    </xf>
    <xf numFmtId="0" fontId="13" fillId="0" borderId="0" xfId="3" applyFont="1" applyAlignment="1">
      <alignment horizontal="center"/>
    </xf>
    <xf numFmtId="0" fontId="16" fillId="0" borderId="0" xfId="3" applyFont="1"/>
    <xf numFmtId="10" fontId="13" fillId="0" borderId="0" xfId="3" applyNumberFormat="1" applyFont="1" applyAlignment="1">
      <alignment horizontal="center"/>
    </xf>
    <xf numFmtId="170" fontId="10" fillId="0" borderId="0" xfId="3" applyNumberFormat="1" applyAlignment="1">
      <alignment horizontal="center"/>
    </xf>
    <xf numFmtId="164" fontId="16" fillId="0" borderId="0" xfId="3" applyNumberFormat="1" applyFont="1" applyAlignment="1">
      <alignment horizontal="center"/>
    </xf>
    <xf numFmtId="0" fontId="22" fillId="0" borderId="28" xfId="0" applyFont="1" applyBorder="1" applyAlignment="1">
      <alignment horizontal="center" vertical="center"/>
    </xf>
    <xf numFmtId="0" fontId="18" fillId="0" borderId="29" xfId="0" applyFont="1" applyBorder="1" applyAlignment="1"/>
    <xf numFmtId="0" fontId="18" fillId="0" borderId="27" xfId="0" applyFont="1" applyBorder="1" applyAlignment="1"/>
    <xf numFmtId="0" fontId="18" fillId="0" borderId="28" xfId="0" applyFont="1" applyBorder="1" applyAlignment="1"/>
    <xf numFmtId="0" fontId="18" fillId="0" borderId="26" xfId="0" applyFont="1" applyBorder="1" applyAlignment="1"/>
    <xf numFmtId="0" fontId="18" fillId="0" borderId="22" xfId="0" applyFont="1" applyBorder="1" applyAlignment="1"/>
    <xf numFmtId="0" fontId="18" fillId="0" borderId="24" xfId="0" applyFont="1" applyBorder="1" applyAlignment="1"/>
    <xf numFmtId="171" fontId="19" fillId="0" borderId="0" xfId="4" applyNumberFormat="1" applyFont="1" applyFill="1" applyBorder="1" applyAlignment="1">
      <alignment horizontal="left"/>
    </xf>
    <xf numFmtId="0" fontId="21" fillId="0" borderId="0" xfId="0" applyFont="1" applyFill="1" applyBorder="1"/>
    <xf numFmtId="0" fontId="18" fillId="0" borderId="30" xfId="0" applyFont="1" applyBorder="1" applyAlignment="1"/>
    <xf numFmtId="0" fontId="18" fillId="0" borderId="0" xfId="0" applyFont="1" applyBorder="1" applyAlignment="1"/>
    <xf numFmtId="0" fontId="20" fillId="0" borderId="0" xfId="0" applyFont="1" applyBorder="1"/>
    <xf numFmtId="0" fontId="22" fillId="0" borderId="25" xfId="0" applyFont="1" applyBorder="1" applyAlignment="1">
      <alignment horizontal="center" vertical="center"/>
    </xf>
    <xf numFmtId="171" fontId="19" fillId="16" borderId="29" xfId="4" applyNumberFormat="1" applyFont="1" applyFill="1" applyBorder="1" applyAlignment="1"/>
    <xf numFmtId="10" fontId="21" fillId="16" borderId="0" xfId="1" applyNumberFormat="1" applyFont="1" applyFill="1" applyBorder="1"/>
    <xf numFmtId="10" fontId="21" fillId="16" borderId="27" xfId="1" applyNumberFormat="1" applyFont="1" applyFill="1" applyBorder="1"/>
    <xf numFmtId="10" fontId="21" fillId="16" borderId="29" xfId="1" applyNumberFormat="1" applyFont="1" applyFill="1" applyBorder="1"/>
    <xf numFmtId="171" fontId="19" fillId="16" borderId="27" xfId="4" applyNumberFormat="1" applyFont="1" applyFill="1" applyBorder="1" applyAlignment="1"/>
    <xf numFmtId="172" fontId="21" fillId="16" borderId="29" xfId="5" applyNumberFormat="1" applyFont="1" applyFill="1" applyBorder="1"/>
    <xf numFmtId="171" fontId="19" fillId="16" borderId="31" xfId="4" applyNumberFormat="1" applyFont="1" applyFill="1" applyBorder="1" applyAlignment="1"/>
    <xf numFmtId="0" fontId="0" fillId="0" borderId="0" xfId="0" applyFill="1" applyBorder="1"/>
    <xf numFmtId="0" fontId="21" fillId="16" borderId="0" xfId="0" applyFont="1" applyFill="1" applyBorder="1"/>
    <xf numFmtId="172" fontId="21" fillId="16" borderId="31" xfId="5" applyNumberFormat="1" applyFont="1" applyFill="1" applyBorder="1"/>
    <xf numFmtId="0" fontId="21" fillId="17" borderId="0" xfId="0" applyFont="1" applyFill="1" applyBorder="1"/>
    <xf numFmtId="0" fontId="21" fillId="18" borderId="0" xfId="0" applyFont="1" applyFill="1" applyBorder="1"/>
    <xf numFmtId="0" fontId="23" fillId="0" borderId="0" xfId="0" applyFont="1" applyBorder="1" applyAlignment="1">
      <alignment vertical="center"/>
    </xf>
    <xf numFmtId="172" fontId="21" fillId="16" borderId="23" xfId="5" applyNumberFormat="1" applyFont="1" applyFill="1" applyBorder="1"/>
    <xf numFmtId="0" fontId="0" fillId="0" borderId="0" xfId="0" applyBorder="1"/>
    <xf numFmtId="0" fontId="22" fillId="0" borderId="26" xfId="0" applyFont="1" applyBorder="1" applyAlignment="1">
      <alignment horizontal="center" vertical="center"/>
    </xf>
    <xf numFmtId="171" fontId="19" fillId="0" borderId="35" xfId="4" applyNumberFormat="1" applyFont="1" applyBorder="1" applyAlignment="1">
      <alignment horizontal="left"/>
    </xf>
    <xf numFmtId="171" fontId="19" fillId="0" borderId="28" xfId="4" applyNumberFormat="1" applyFont="1" applyBorder="1" applyAlignment="1">
      <alignment horizontal="left"/>
    </xf>
    <xf numFmtId="0" fontId="21" fillId="0" borderId="22" xfId="0" applyFont="1" applyBorder="1"/>
    <xf numFmtId="171" fontId="19" fillId="0" borderId="29" xfId="4" applyNumberFormat="1" applyFont="1" applyBorder="1" applyAlignment="1">
      <alignment horizontal="left"/>
    </xf>
    <xf numFmtId="0" fontId="21" fillId="0" borderId="29" xfId="0" applyFont="1" applyBorder="1"/>
    <xf numFmtId="0" fontId="21" fillId="0" borderId="30" xfId="0" applyFont="1" applyBorder="1"/>
    <xf numFmtId="0" fontId="21" fillId="0" borderId="0" xfId="0" applyFont="1" applyBorder="1"/>
    <xf numFmtId="171" fontId="19" fillId="0" borderId="0" xfId="4" applyNumberFormat="1" applyFont="1" applyBorder="1" applyAlignment="1">
      <alignment horizontal="left"/>
    </xf>
    <xf numFmtId="171" fontId="19" fillId="0" borderId="31" xfId="4" applyNumberFormat="1" applyFont="1" applyBorder="1" applyAlignment="1">
      <alignment horizontal="left"/>
    </xf>
    <xf numFmtId="0" fontId="21" fillId="0" borderId="30" xfId="0" applyFont="1" applyFill="1" applyBorder="1"/>
    <xf numFmtId="0" fontId="21" fillId="0" borderId="24" xfId="0" applyFont="1" applyFill="1" applyBorder="1"/>
    <xf numFmtId="0" fontId="21" fillId="0" borderId="27" xfId="0" applyFont="1" applyFill="1" applyBorder="1"/>
    <xf numFmtId="171" fontId="19" fillId="0" borderId="27" xfId="4" applyNumberFormat="1" applyFont="1" applyFill="1" applyBorder="1" applyAlignment="1">
      <alignment horizontal="left"/>
    </xf>
    <xf numFmtId="171" fontId="19" fillId="0" borderId="27" xfId="4" applyNumberFormat="1" applyFont="1" applyBorder="1" applyAlignment="1">
      <alignment horizontal="left"/>
    </xf>
    <xf numFmtId="171" fontId="19" fillId="0" borderId="30" xfId="4" applyNumberFormat="1" applyFont="1" applyFill="1" applyBorder="1" applyAlignment="1">
      <alignment horizontal="left"/>
    </xf>
    <xf numFmtId="171" fontId="19" fillId="0" borderId="24" xfId="4" applyNumberFormat="1" applyFont="1" applyFill="1" applyBorder="1" applyAlignment="1">
      <alignment horizontal="left"/>
    </xf>
    <xf numFmtId="0" fontId="24" fillId="0" borderId="26" xfId="0" applyFont="1" applyBorder="1" applyAlignment="1">
      <alignment horizontal="center" vertical="center"/>
    </xf>
    <xf numFmtId="0" fontId="0" fillId="0" borderId="36" xfId="0" applyBorder="1"/>
    <xf numFmtId="0" fontId="0" fillId="0" borderId="35" xfId="0" applyBorder="1"/>
    <xf numFmtId="173" fontId="0" fillId="0" borderId="0" xfId="0" applyNumberFormat="1"/>
    <xf numFmtId="174" fontId="0" fillId="0" borderId="0" xfId="0" applyNumberFormat="1"/>
    <xf numFmtId="43" fontId="0" fillId="0" borderId="0" xfId="0" applyNumberFormat="1"/>
    <xf numFmtId="171" fontId="19" fillId="0" borderId="30" xfId="4" applyNumberFormat="1" applyFont="1" applyBorder="1" applyAlignment="1">
      <alignment horizontal="left"/>
    </xf>
    <xf numFmtId="171" fontId="19" fillId="0" borderId="24" xfId="4" applyNumberFormat="1" applyFont="1" applyBorder="1" applyAlignment="1">
      <alignment horizontal="left"/>
    </xf>
    <xf numFmtId="0" fontId="20" fillId="0" borderId="27" xfId="0" applyFont="1" applyBorder="1"/>
    <xf numFmtId="10" fontId="21" fillId="16" borderId="25" xfId="1" applyNumberFormat="1" applyFont="1" applyFill="1" applyBorder="1"/>
    <xf numFmtId="0" fontId="0" fillId="0" borderId="31" xfId="0" applyBorder="1"/>
    <xf numFmtId="0" fontId="0" fillId="0" borderId="25" xfId="0" applyBorder="1"/>
    <xf numFmtId="171" fontId="19" fillId="0" borderId="25" xfId="4" applyNumberFormat="1" applyFont="1" applyBorder="1" applyAlignment="1">
      <alignment horizontal="left"/>
    </xf>
    <xf numFmtId="171" fontId="19" fillId="0" borderId="25" xfId="4" applyNumberFormat="1" applyFont="1" applyFill="1" applyBorder="1" applyAlignment="1">
      <alignment horizontal="left"/>
    </xf>
    <xf numFmtId="172" fontId="0" fillId="0" borderId="0" xfId="0" applyNumberFormat="1"/>
    <xf numFmtId="0" fontId="25" fillId="0" borderId="26" xfId="0" applyFont="1" applyBorder="1" applyAlignment="1">
      <alignment horizontal="center" vertical="center"/>
    </xf>
    <xf numFmtId="0" fontId="25" fillId="0" borderId="32" xfId="0" applyFont="1" applyBorder="1" applyAlignment="1">
      <alignment horizontal="center" vertical="center"/>
    </xf>
    <xf numFmtId="0" fontId="25" fillId="0" borderId="22" xfId="0" applyFont="1" applyBorder="1" applyAlignment="1">
      <alignment horizontal="center" vertical="center"/>
    </xf>
    <xf numFmtId="0" fontId="24" fillId="0" borderId="32" xfId="0" applyFont="1" applyBorder="1" applyAlignment="1">
      <alignment horizontal="center" vertical="center"/>
    </xf>
    <xf numFmtId="0" fontId="24" fillId="0" borderId="27" xfId="0" applyFont="1" applyBorder="1" applyAlignment="1">
      <alignment horizontal="center" vertical="center"/>
    </xf>
    <xf numFmtId="0" fontId="24" fillId="0" borderId="34" xfId="0" applyFont="1" applyBorder="1" applyAlignment="1">
      <alignment horizontal="center" vertical="center"/>
    </xf>
    <xf numFmtId="0" fontId="24" fillId="0" borderId="33" xfId="0" applyFont="1" applyBorder="1" applyAlignment="1">
      <alignment horizontal="center" vertical="center"/>
    </xf>
    <xf numFmtId="0" fontId="11" fillId="0" borderId="0" xfId="3" applyFont="1" applyBorder="1" applyAlignment="1">
      <alignment horizontal="center"/>
    </xf>
    <xf numFmtId="10" fontId="10" fillId="0" borderId="0" xfId="3" applyNumberFormat="1" applyFont="1" applyBorder="1" applyAlignment="1">
      <alignment horizontal="center"/>
    </xf>
    <xf numFmtId="0" fontId="10" fillId="0" borderId="0" xfId="3" applyFont="1" applyBorder="1" applyAlignment="1">
      <alignment wrapText="1"/>
    </xf>
  </cellXfs>
  <cellStyles count="6">
    <cellStyle name="Comma" xfId="5" builtinId="3"/>
    <cellStyle name="Currency" xfId="4" builtinId="4"/>
    <cellStyle name="Excel Built-in Explanatory Text" xfId="3" xr:uid="{00000000-0005-0000-0000-000007000000}"/>
    <cellStyle name="Hyperlink" xfId="2" builtinId="8"/>
    <cellStyle name="Normal" xfId="0" builtinId="0"/>
    <cellStyle name="Percent" xfId="1" builtinId="5"/>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808080"/>
      <rgbColor rgb="FF9999FF"/>
      <rgbColor rgb="FF7030A0"/>
      <rgbColor rgb="FFF3F3F3"/>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400" b="0" i="0" u="none" strike="noStrike" kern="1200" spc="0" baseline="0">
                <a:solidFill>
                  <a:schemeClr val="tx1">
                    <a:lumMod val="65000"/>
                    <a:lumOff val="35000"/>
                  </a:schemeClr>
                </a:solidFill>
                <a:latin typeface="+mn-lt"/>
                <a:ea typeface="+mn-ea"/>
                <a:cs typeface="+mn-cs"/>
              </a:defRPr>
            </a:pPr>
            <a:r>
              <a:rPr lang="en-US" sz="3600"/>
              <a:t>Annual</a:t>
            </a:r>
            <a:r>
              <a:rPr lang="en-US" sz="3600" baseline="0"/>
              <a:t> Income vs 4% Rule Withdrawl </a:t>
            </a:r>
          </a:p>
        </c:rich>
      </c:tx>
      <c:overlay val="0"/>
      <c:spPr>
        <a:noFill/>
        <a:ln>
          <a:noFill/>
        </a:ln>
        <a:effectLst/>
      </c:spPr>
      <c:txPr>
        <a:bodyPr rot="0" spcFirstLastPara="1" vertOverflow="ellipsis" vert="horz" wrap="square" anchor="ctr" anchorCtr="1"/>
        <a:lstStyle/>
        <a:p>
          <a:pPr>
            <a:defRPr sz="4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'Retirement Calculator'!$C$5</c:f>
              <c:strCache>
                <c:ptCount val="1"/>
                <c:pt idx="0">
                  <c:v>Salary</c:v>
                </c:pt>
              </c:strCache>
            </c:strRef>
          </c:tx>
          <c:spPr>
            <a:ln w="28575" cap="rnd">
              <a:solidFill>
                <a:schemeClr val="accent1"/>
              </a:solidFill>
              <a:round/>
            </a:ln>
            <a:effectLst/>
          </c:spPr>
          <c:marker>
            <c:symbol val="none"/>
          </c:marker>
          <c:cat>
            <c:numRef>
              <c:f>'Retirement Calculator'!$B$6:$B$61</c:f>
              <c:numCache>
                <c:formatCode>General</c:formatCode>
                <c:ptCount val="56"/>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pt idx="20">
                  <c:v>42</c:v>
                </c:pt>
                <c:pt idx="21">
                  <c:v>43</c:v>
                </c:pt>
                <c:pt idx="22">
                  <c:v>44</c:v>
                </c:pt>
                <c:pt idx="23">
                  <c:v>45</c:v>
                </c:pt>
                <c:pt idx="24">
                  <c:v>46</c:v>
                </c:pt>
                <c:pt idx="25">
                  <c:v>47</c:v>
                </c:pt>
                <c:pt idx="26">
                  <c:v>48</c:v>
                </c:pt>
                <c:pt idx="27">
                  <c:v>49</c:v>
                </c:pt>
                <c:pt idx="28">
                  <c:v>50</c:v>
                </c:pt>
                <c:pt idx="29">
                  <c:v>51</c:v>
                </c:pt>
                <c:pt idx="30">
                  <c:v>52</c:v>
                </c:pt>
                <c:pt idx="31">
                  <c:v>53</c:v>
                </c:pt>
                <c:pt idx="32">
                  <c:v>54</c:v>
                </c:pt>
                <c:pt idx="33">
                  <c:v>55</c:v>
                </c:pt>
                <c:pt idx="34">
                  <c:v>56</c:v>
                </c:pt>
                <c:pt idx="35">
                  <c:v>57</c:v>
                </c:pt>
                <c:pt idx="36">
                  <c:v>58</c:v>
                </c:pt>
                <c:pt idx="37">
                  <c:v>59</c:v>
                </c:pt>
                <c:pt idx="38">
                  <c:v>60</c:v>
                </c:pt>
                <c:pt idx="39">
                  <c:v>61</c:v>
                </c:pt>
                <c:pt idx="40">
                  <c:v>62</c:v>
                </c:pt>
                <c:pt idx="41">
                  <c:v>63</c:v>
                </c:pt>
                <c:pt idx="42">
                  <c:v>64</c:v>
                </c:pt>
                <c:pt idx="43">
                  <c:v>65</c:v>
                </c:pt>
                <c:pt idx="44">
                  <c:v>66</c:v>
                </c:pt>
                <c:pt idx="45">
                  <c:v>67</c:v>
                </c:pt>
                <c:pt idx="46">
                  <c:v>68</c:v>
                </c:pt>
                <c:pt idx="47">
                  <c:v>69</c:v>
                </c:pt>
                <c:pt idx="48">
                  <c:v>70</c:v>
                </c:pt>
                <c:pt idx="49">
                  <c:v>71</c:v>
                </c:pt>
                <c:pt idx="50">
                  <c:v>72</c:v>
                </c:pt>
                <c:pt idx="51">
                  <c:v>73</c:v>
                </c:pt>
                <c:pt idx="52">
                  <c:v>74</c:v>
                </c:pt>
                <c:pt idx="53">
                  <c:v>75</c:v>
                </c:pt>
                <c:pt idx="54">
                  <c:v>76</c:v>
                </c:pt>
                <c:pt idx="55">
                  <c:v>77</c:v>
                </c:pt>
              </c:numCache>
            </c:numRef>
          </c:cat>
          <c:val>
            <c:numRef>
              <c:f>'Retirement Calculator'!$C$6:$C$61</c:f>
              <c:numCache>
                <c:formatCode>_([$$-409]* #,##0.00_);_([$$-409]* \(#,##0.00\);_([$$-409]* "-"??_);_(@_)</c:formatCode>
                <c:ptCount val="56"/>
                <c:pt idx="0">
                  <c:v>0</c:v>
                </c:pt>
                <c:pt idx="1">
                  <c:v>50000</c:v>
                </c:pt>
                <c:pt idx="2">
                  <c:v>52000</c:v>
                </c:pt>
                <c:pt idx="3">
                  <c:v>54080</c:v>
                </c:pt>
                <c:pt idx="4">
                  <c:v>56243.200000000004</c:v>
                </c:pt>
                <c:pt idx="5">
                  <c:v>64117.248000000014</c:v>
                </c:pt>
                <c:pt idx="6">
                  <c:v>66681.937920000011</c:v>
                </c:pt>
                <c:pt idx="7">
                  <c:v>69349.215436800019</c:v>
                </c:pt>
                <c:pt idx="8">
                  <c:v>72123.184054272017</c:v>
                </c:pt>
                <c:pt idx="9">
                  <c:v>75008.111416442902</c:v>
                </c:pt>
                <c:pt idx="10">
                  <c:v>78008.435873100621</c:v>
                </c:pt>
                <c:pt idx="11">
                  <c:v>81128.773308024654</c:v>
                </c:pt>
                <c:pt idx="12">
                  <c:v>84373.924240345645</c:v>
                </c:pt>
                <c:pt idx="13">
                  <c:v>87748.88120995948</c:v>
                </c:pt>
                <c:pt idx="14">
                  <c:v>91258.836458357866</c:v>
                </c:pt>
                <c:pt idx="15">
                  <c:v>94909.189916692179</c:v>
                </c:pt>
                <c:pt idx="16">
                  <c:v>98705.557513359876</c:v>
                </c:pt>
                <c:pt idx="17">
                  <c:v>102653.77981389427</c:v>
                </c:pt>
                <c:pt idx="18">
                  <c:v>106759.93100645005</c:v>
                </c:pt>
                <c:pt idx="19">
                  <c:v>111030.32824670806</c:v>
                </c:pt>
                <c:pt idx="20">
                  <c:v>115471.54137657638</c:v>
                </c:pt>
                <c:pt idx="21">
                  <c:v>120090.40303163943</c:v>
                </c:pt>
                <c:pt idx="22">
                  <c:v>124894.01915290502</c:v>
                </c:pt>
                <c:pt idx="23">
                  <c:v>129889.77991902122</c:v>
                </c:pt>
                <c:pt idx="24">
                  <c:v>135085.37111578207</c:v>
                </c:pt>
                <c:pt idx="25">
                  <c:v>140488.78596041334</c:v>
                </c:pt>
                <c:pt idx="26">
                  <c:v>146108.33739882987</c:v>
                </c:pt>
                <c:pt idx="27">
                  <c:v>151952.67089478308</c:v>
                </c:pt>
                <c:pt idx="28">
                  <c:v>158030.77773057439</c:v>
                </c:pt>
                <c:pt idx="29">
                  <c:v>164352.00883979737</c:v>
                </c:pt>
                <c:pt idx="30">
                  <c:v>170926.08919338929</c:v>
                </c:pt>
                <c:pt idx="31">
                  <c:v>177763.13276112487</c:v>
                </c:pt>
                <c:pt idx="32">
                  <c:v>184873.65807156987</c:v>
                </c:pt>
                <c:pt idx="33">
                  <c:v>192268.60439443268</c:v>
                </c:pt>
                <c:pt idx="34">
                  <c:v>199959.34857020999</c:v>
                </c:pt>
                <c:pt idx="35">
                  <c:v>207957.72251301838</c:v>
                </c:pt>
                <c:pt idx="36">
                  <c:v>216276.03141353911</c:v>
                </c:pt>
                <c:pt idx="37">
                  <c:v>224927.07267008067</c:v>
                </c:pt>
                <c:pt idx="38">
                  <c:v>233924.1555768839</c:v>
                </c:pt>
                <c:pt idx="39">
                  <c:v>243281.12179995928</c:v>
                </c:pt>
                <c:pt idx="40">
                  <c:v>253012.36667195766</c:v>
                </c:pt>
                <c:pt idx="41">
                  <c:v>263132.86133883597</c:v>
                </c:pt>
                <c:pt idx="42">
                  <c:v>273658.17579238943</c:v>
                </c:pt>
                <c:pt idx="43">
                  <c:v>284604.50282408501</c:v>
                </c:pt>
                <c:pt idx="44">
                  <c:v>295988.68293704843</c:v>
                </c:pt>
                <c:pt idx="45">
                  <c:v>307828.23025453038</c:v>
                </c:pt>
                <c:pt idx="46">
                  <c:v>320141.35946471163</c:v>
                </c:pt>
                <c:pt idx="47">
                  <c:v>332947.01384330011</c:v>
                </c:pt>
                <c:pt idx="48">
                  <c:v>346264.89439703216</c:v>
                </c:pt>
                <c:pt idx="49">
                  <c:v>360115.49017291347</c:v>
                </c:pt>
                <c:pt idx="50">
                  <c:v>374520.10977983003</c:v>
                </c:pt>
                <c:pt idx="51">
                  <c:v>389500.91417102324</c:v>
                </c:pt>
                <c:pt idx="52">
                  <c:v>405080.95073786419</c:v>
                </c:pt>
                <c:pt idx="53">
                  <c:v>421284.18876737874</c:v>
                </c:pt>
                <c:pt idx="54">
                  <c:v>438135.55631807388</c:v>
                </c:pt>
                <c:pt idx="55">
                  <c:v>455660.97857079684</c:v>
                </c:pt>
              </c:numCache>
            </c:numRef>
          </c:val>
          <c:smooth val="0"/>
          <c:extLst>
            <c:ext xmlns:c16="http://schemas.microsoft.com/office/drawing/2014/chart" uri="{C3380CC4-5D6E-409C-BE32-E72D297353CC}">
              <c16:uniqueId val="{00000000-B209-6543-939F-2955055F9AF0}"/>
            </c:ext>
          </c:extLst>
        </c:ser>
        <c:ser>
          <c:idx val="2"/>
          <c:order val="1"/>
          <c:tx>
            <c:strRef>
              <c:f>'Retirement Calculator'!$M$4:$O$4</c:f>
              <c:strCache>
                <c:ptCount val="1"/>
                <c:pt idx="0">
                  <c:v>5% Rule Withdrawl Rate</c:v>
                </c:pt>
              </c:strCache>
            </c:strRef>
          </c:tx>
          <c:spPr>
            <a:ln w="28575" cap="rnd">
              <a:solidFill>
                <a:schemeClr val="accent3"/>
              </a:solidFill>
              <a:round/>
            </a:ln>
            <a:effectLst/>
          </c:spPr>
          <c:marker>
            <c:symbol val="none"/>
          </c:marker>
          <c:cat>
            <c:numRef>
              <c:f>'Retirement Calculator'!$B$6:$B$61</c:f>
              <c:numCache>
                <c:formatCode>General</c:formatCode>
                <c:ptCount val="56"/>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pt idx="20">
                  <c:v>42</c:v>
                </c:pt>
                <c:pt idx="21">
                  <c:v>43</c:v>
                </c:pt>
                <c:pt idx="22">
                  <c:v>44</c:v>
                </c:pt>
                <c:pt idx="23">
                  <c:v>45</c:v>
                </c:pt>
                <c:pt idx="24">
                  <c:v>46</c:v>
                </c:pt>
                <c:pt idx="25">
                  <c:v>47</c:v>
                </c:pt>
                <c:pt idx="26">
                  <c:v>48</c:v>
                </c:pt>
                <c:pt idx="27">
                  <c:v>49</c:v>
                </c:pt>
                <c:pt idx="28">
                  <c:v>50</c:v>
                </c:pt>
                <c:pt idx="29">
                  <c:v>51</c:v>
                </c:pt>
                <c:pt idx="30">
                  <c:v>52</c:v>
                </c:pt>
                <c:pt idx="31">
                  <c:v>53</c:v>
                </c:pt>
                <c:pt idx="32">
                  <c:v>54</c:v>
                </c:pt>
                <c:pt idx="33">
                  <c:v>55</c:v>
                </c:pt>
                <c:pt idx="34">
                  <c:v>56</c:v>
                </c:pt>
                <c:pt idx="35">
                  <c:v>57</c:v>
                </c:pt>
                <c:pt idx="36">
                  <c:v>58</c:v>
                </c:pt>
                <c:pt idx="37">
                  <c:v>59</c:v>
                </c:pt>
                <c:pt idx="38">
                  <c:v>60</c:v>
                </c:pt>
                <c:pt idx="39">
                  <c:v>61</c:v>
                </c:pt>
                <c:pt idx="40">
                  <c:v>62</c:v>
                </c:pt>
                <c:pt idx="41">
                  <c:v>63</c:v>
                </c:pt>
                <c:pt idx="42">
                  <c:v>64</c:v>
                </c:pt>
                <c:pt idx="43">
                  <c:v>65</c:v>
                </c:pt>
                <c:pt idx="44">
                  <c:v>66</c:v>
                </c:pt>
                <c:pt idx="45">
                  <c:v>67</c:v>
                </c:pt>
                <c:pt idx="46">
                  <c:v>68</c:v>
                </c:pt>
                <c:pt idx="47">
                  <c:v>69</c:v>
                </c:pt>
                <c:pt idx="48">
                  <c:v>70</c:v>
                </c:pt>
                <c:pt idx="49">
                  <c:v>71</c:v>
                </c:pt>
                <c:pt idx="50">
                  <c:v>72</c:v>
                </c:pt>
                <c:pt idx="51">
                  <c:v>73</c:v>
                </c:pt>
                <c:pt idx="52">
                  <c:v>74</c:v>
                </c:pt>
                <c:pt idx="53">
                  <c:v>75</c:v>
                </c:pt>
                <c:pt idx="54">
                  <c:v>76</c:v>
                </c:pt>
                <c:pt idx="55">
                  <c:v>77</c:v>
                </c:pt>
              </c:numCache>
            </c:numRef>
          </c:cat>
          <c:val>
            <c:numRef>
              <c:f>'Retirement Calculator'!$O$6:$O$61</c:f>
              <c:numCache>
                <c:formatCode>_([$$-409]* #,##0.00_);_([$$-409]* \(#,##0.00\);_([$$-409]* "-"??_);_(@_)</c:formatCode>
                <c:ptCount val="56"/>
                <c:pt idx="0">
                  <c:v>650</c:v>
                </c:pt>
                <c:pt idx="1">
                  <c:v>1375.166666666667</c:v>
                </c:pt>
                <c:pt idx="2">
                  <c:v>2192.2650000000003</c:v>
                </c:pt>
                <c:pt idx="3">
                  <c:v>3110.6355166666672</c:v>
                </c:pt>
                <c:pt idx="4">
                  <c:v>4140.5020465000007</c:v>
                </c:pt>
                <c:pt idx="5">
                  <c:v>5368.0438706850018</c:v>
                </c:pt>
                <c:pt idx="6">
                  <c:v>6740.2603246466524</c:v>
                </c:pt>
                <c:pt idx="7">
                  <c:v>8271.539959688851</c:v>
                </c:pt>
                <c:pt idx="8">
                  <c:v>9977.6210101178094</c:v>
                </c:pt>
                <c:pt idx="9">
                  <c:v>11875.715053247652</c:v>
                </c:pt>
                <c:pt idx="10">
                  <c:v>13984.641886347948</c:v>
                </c:pt>
                <c:pt idx="11">
                  <c:v>16324.976633559596</c:v>
                </c:pt>
                <c:pt idx="12">
                  <c:v>18919.2101871179</c:v>
                </c:pt>
                <c:pt idx="13">
                  <c:v>21791.924186757977</c:v>
                </c:pt>
                <c:pt idx="14">
                  <c:v>24969.981849677635</c:v>
                </c:pt>
                <c:pt idx="15">
                  <c:v>28482.736081704523</c:v>
                </c:pt>
                <c:pt idx="16">
                  <c:v>32362.256429236062</c:v>
                </c:pt>
                <c:pt idx="17">
                  <c:v>36643.576572052567</c:v>
                </c:pt>
                <c:pt idx="18">
                  <c:v>41364.964210289967</c:v>
                </c:pt>
                <c:pt idx="19">
                  <c:v>46568.215365838842</c:v>
                </c:pt>
                <c:pt idx="20">
                  <c:v>52298.975300452032</c:v>
                </c:pt>
                <c:pt idx="21">
                  <c:v>58607.08845124791</c:v>
                </c:pt>
                <c:pt idx="22">
                  <c:v>65546.980000565629</c:v>
                </c:pt>
                <c:pt idx="23">
                  <c:v>73178.071932870167</c:v>
                </c:pt>
                <c:pt idx="24">
                  <c:v>81565.236688372257</c:v>
                </c:pt>
                <c:pt idx="25">
                  <c:v>90779.291803131273</c:v>
                </c:pt>
                <c:pt idx="26">
                  <c:v>100897.53923073082</c:v>
                </c:pt>
                <c:pt idx="27">
                  <c:v>112004.35337342705</c:v>
                </c:pt>
                <c:pt idx="28">
                  <c:v>124191.82221344314</c:v>
                </c:pt>
                <c:pt idx="29">
                  <c:v>137560.44633051701</c:v>
                </c:pt>
                <c:pt idx="30">
                  <c:v>152219.90102284207</c:v>
                </c:pt>
                <c:pt idx="31">
                  <c:v>168289.86721837954</c:v>
                </c:pt>
                <c:pt idx="32">
                  <c:v>185900.93737565467</c:v>
                </c:pt>
                <c:pt idx="33">
                  <c:v>205195.60313138936</c:v>
                </c:pt>
                <c:pt idx="34">
                  <c:v>226329.33206081722</c:v>
                </c:pt>
                <c:pt idx="35">
                  <c:v>249471.7415797977</c:v>
                </c:pt>
                <c:pt idx="36">
                  <c:v>274807.87874082668</c:v>
                </c:pt>
                <c:pt idx="37">
                  <c:v>302539.61546310218</c:v>
                </c:pt>
                <c:pt idx="38">
                  <c:v>332887.16959580645</c:v>
                </c:pt>
                <c:pt idx="39">
                  <c:v>366090.76315009524</c:v>
                </c:pt>
                <c:pt idx="40">
                  <c:v>402412.43005589658</c:v>
                </c:pt>
                <c:pt idx="41">
                  <c:v>442137.98691211175</c:v>
                </c:pt>
                <c:pt idx="42">
                  <c:v>485579.18141143373</c:v>
                </c:pt>
                <c:pt idx="43">
                  <c:v>533076.03444278392</c:v>
                </c:pt>
                <c:pt idx="44">
                  <c:v>584999.39331512852</c:v>
                </c:pt>
                <c:pt idx="45">
                  <c:v>641753.71511688398</c:v>
                </c:pt>
                <c:pt idx="46">
                  <c:v>703780.10093693307</c:v>
                </c:pt>
                <c:pt idx="47">
                  <c:v>771559.6035391679</c:v>
                </c:pt>
                <c:pt idx="48">
                  <c:v>845616.83311631996</c:v>
                </c:pt>
                <c:pt idx="49">
                  <c:v>926523.88796576113</c:v>
                </c:pt>
                <c:pt idx="50">
                  <c:v>1014904.6393464108</c:v>
                </c:pt>
                <c:pt idx="51">
                  <c:v>1111439.4024098681</c:v>
                </c:pt>
                <c:pt idx="52">
                  <c:v>1216870.0279699278</c:v>
                </c:pt>
                <c:pt idx="53">
                  <c:v>1332005.4530041199</c:v>
                </c:pt>
                <c:pt idx="54">
                  <c:v>1457727.751192065</c:v>
                </c:pt>
                <c:pt idx="55">
                  <c:v>1594998.7285136282</c:v>
                </c:pt>
              </c:numCache>
            </c:numRef>
          </c:val>
          <c:smooth val="0"/>
          <c:extLst>
            <c:ext xmlns:c16="http://schemas.microsoft.com/office/drawing/2014/chart" uri="{C3380CC4-5D6E-409C-BE32-E72D297353CC}">
              <c16:uniqueId val="{00000002-B209-6543-939F-2955055F9AF0}"/>
            </c:ext>
          </c:extLst>
        </c:ser>
        <c:dLbls>
          <c:showLegendKey val="0"/>
          <c:showVal val="0"/>
          <c:showCatName val="0"/>
          <c:showSerName val="0"/>
          <c:showPercent val="0"/>
          <c:showBubbleSize val="0"/>
        </c:dLbls>
        <c:smooth val="0"/>
        <c:axId val="1360432352"/>
        <c:axId val="1291090208"/>
      </c:lineChart>
      <c:catAx>
        <c:axId val="136043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91090208"/>
        <c:crosses val="autoZero"/>
        <c:auto val="1"/>
        <c:lblAlgn val="ctr"/>
        <c:lblOffset val="100"/>
        <c:noMultiLvlLbl val="0"/>
      </c:catAx>
      <c:valAx>
        <c:axId val="129109020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6043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t>Value Of Investments At</a:t>
            </a:r>
            <a:r>
              <a:rPr lang="en-US" sz="2800" baseline="0"/>
              <a:t> the End of</a:t>
            </a:r>
          </a:p>
          <a:p>
            <a:pPr>
              <a:defRPr/>
            </a:pPr>
            <a:r>
              <a:rPr lang="en-US" sz="2800"/>
              <a:t> Each</a:t>
            </a:r>
            <a:r>
              <a:rPr lang="en-US" sz="2800" baseline="0"/>
              <a:t> Year Worked</a:t>
            </a:r>
            <a:endParaRPr lang="en-US" sz="2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'Retirement Calculator'!$G$5</c:f>
              <c:strCache>
                <c:ptCount val="1"/>
                <c:pt idx="0">
                  <c:v>Retirement Total:</c:v>
                </c:pt>
              </c:strCache>
            </c:strRef>
          </c:tx>
          <c:spPr>
            <a:solidFill>
              <a:schemeClr val="accent1"/>
            </a:solidFill>
            <a:ln>
              <a:noFill/>
            </a:ln>
            <a:effectLst/>
          </c:spPr>
          <c:invertIfNegative val="0"/>
          <c:cat>
            <c:numRef>
              <c:f>'Retirement Calculator'!$B$6:$B$61</c:f>
              <c:numCache>
                <c:formatCode>General</c:formatCode>
                <c:ptCount val="56"/>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pt idx="20">
                  <c:v>42</c:v>
                </c:pt>
                <c:pt idx="21">
                  <c:v>43</c:v>
                </c:pt>
                <c:pt idx="22">
                  <c:v>44</c:v>
                </c:pt>
                <c:pt idx="23">
                  <c:v>45</c:v>
                </c:pt>
                <c:pt idx="24">
                  <c:v>46</c:v>
                </c:pt>
                <c:pt idx="25">
                  <c:v>47</c:v>
                </c:pt>
                <c:pt idx="26">
                  <c:v>48</c:v>
                </c:pt>
                <c:pt idx="27">
                  <c:v>49</c:v>
                </c:pt>
                <c:pt idx="28">
                  <c:v>50</c:v>
                </c:pt>
                <c:pt idx="29">
                  <c:v>51</c:v>
                </c:pt>
                <c:pt idx="30">
                  <c:v>52</c:v>
                </c:pt>
                <c:pt idx="31">
                  <c:v>53</c:v>
                </c:pt>
                <c:pt idx="32">
                  <c:v>54</c:v>
                </c:pt>
                <c:pt idx="33">
                  <c:v>55</c:v>
                </c:pt>
                <c:pt idx="34">
                  <c:v>56</c:v>
                </c:pt>
                <c:pt idx="35">
                  <c:v>57</c:v>
                </c:pt>
                <c:pt idx="36">
                  <c:v>58</c:v>
                </c:pt>
                <c:pt idx="37">
                  <c:v>59</c:v>
                </c:pt>
                <c:pt idx="38">
                  <c:v>60</c:v>
                </c:pt>
                <c:pt idx="39">
                  <c:v>61</c:v>
                </c:pt>
                <c:pt idx="40">
                  <c:v>62</c:v>
                </c:pt>
                <c:pt idx="41">
                  <c:v>63</c:v>
                </c:pt>
                <c:pt idx="42">
                  <c:v>64</c:v>
                </c:pt>
                <c:pt idx="43">
                  <c:v>65</c:v>
                </c:pt>
                <c:pt idx="44">
                  <c:v>66</c:v>
                </c:pt>
                <c:pt idx="45">
                  <c:v>67</c:v>
                </c:pt>
                <c:pt idx="46">
                  <c:v>68</c:v>
                </c:pt>
                <c:pt idx="47">
                  <c:v>69</c:v>
                </c:pt>
                <c:pt idx="48">
                  <c:v>70</c:v>
                </c:pt>
                <c:pt idx="49">
                  <c:v>71</c:v>
                </c:pt>
                <c:pt idx="50">
                  <c:v>72</c:v>
                </c:pt>
                <c:pt idx="51">
                  <c:v>73</c:v>
                </c:pt>
                <c:pt idx="52">
                  <c:v>74</c:v>
                </c:pt>
                <c:pt idx="53">
                  <c:v>75</c:v>
                </c:pt>
                <c:pt idx="54">
                  <c:v>76</c:v>
                </c:pt>
                <c:pt idx="55">
                  <c:v>77</c:v>
                </c:pt>
              </c:numCache>
            </c:numRef>
          </c:cat>
          <c:val>
            <c:numRef>
              <c:f>'Retirement Calculator'!$G$6:$G$61</c:f>
              <c:numCache>
                <c:formatCode>_([$$-409]* #,##0.00_);_([$$-409]* \(#,##0.00\);_([$$-409]* "-"??_);_(@_)</c:formatCode>
                <c:ptCount val="56"/>
                <c:pt idx="0">
                  <c:v>13000</c:v>
                </c:pt>
                <c:pt idx="1">
                  <c:v>27503.333333333336</c:v>
                </c:pt>
                <c:pt idx="2">
                  <c:v>43845.3</c:v>
                </c:pt>
                <c:pt idx="3">
                  <c:v>62212.710333333343</c:v>
                </c:pt>
                <c:pt idx="4">
                  <c:v>82810.040930000017</c:v>
                </c:pt>
                <c:pt idx="5">
                  <c:v>107360.87741370003</c:v>
                </c:pt>
                <c:pt idx="6">
                  <c:v>134805.20649293304</c:v>
                </c:pt>
                <c:pt idx="7">
                  <c:v>165430.79919377703</c:v>
                </c:pt>
                <c:pt idx="8">
                  <c:v>199552.42020235618</c:v>
                </c:pt>
                <c:pt idx="9">
                  <c:v>237514.30106495303</c:v>
                </c:pt>
                <c:pt idx="10">
                  <c:v>279692.83772695897</c:v>
                </c:pt>
                <c:pt idx="11">
                  <c:v>326499.5326711919</c:v>
                </c:pt>
                <c:pt idx="12">
                  <c:v>378384.20374235802</c:v>
                </c:pt>
                <c:pt idx="13">
                  <c:v>435838.48373515951</c:v>
                </c:pt>
                <c:pt idx="14">
                  <c:v>499399.63699355267</c:v>
                </c:pt>
                <c:pt idx="15">
                  <c:v>569654.72163409041</c:v>
                </c:pt>
                <c:pt idx="16">
                  <c:v>647245.12858472124</c:v>
                </c:pt>
                <c:pt idx="17">
                  <c:v>732871.53144105128</c:v>
                </c:pt>
                <c:pt idx="18">
                  <c:v>827299.28420579934</c:v>
                </c:pt>
                <c:pt idx="19">
                  <c:v>931364.30731677683</c:v>
                </c:pt>
                <c:pt idx="20">
                  <c:v>1045979.5060090405</c:v>
                </c:pt>
                <c:pt idx="21">
                  <c:v>1172141.7690249581</c:v>
                </c:pt>
                <c:pt idx="22">
                  <c:v>1310939.6000113126</c:v>
                </c:pt>
                <c:pt idx="23">
                  <c:v>1463561.4386574032</c:v>
                </c:pt>
                <c:pt idx="24">
                  <c:v>1631304.733767445</c:v>
                </c:pt>
                <c:pt idx="25">
                  <c:v>1815585.8360626253</c:v>
                </c:pt>
                <c:pt idx="26">
                  <c:v>2017950.7846146163</c:v>
                </c:pt>
                <c:pt idx="27">
                  <c:v>2240087.0674685407</c:v>
                </c:pt>
                <c:pt idx="28">
                  <c:v>2483836.4442688627</c:v>
                </c:pt>
                <c:pt idx="29">
                  <c:v>2751208.9266103399</c:v>
                </c:pt>
                <c:pt idx="30">
                  <c:v>3044398.0204568412</c:v>
                </c:pt>
                <c:pt idx="31">
                  <c:v>3365797.3443675907</c:v>
                </c:pt>
                <c:pt idx="32">
                  <c:v>3718018.7475130931</c:v>
                </c:pt>
                <c:pt idx="33">
                  <c:v>4103912.0626277868</c:v>
                </c:pt>
                <c:pt idx="34">
                  <c:v>4526586.6412163442</c:v>
                </c:pt>
                <c:pt idx="35">
                  <c:v>4989434.8315959536</c:v>
                </c:pt>
                <c:pt idx="36">
                  <c:v>5496157.5748165334</c:v>
                </c:pt>
                <c:pt idx="37">
                  <c:v>6050792.3092620429</c:v>
                </c:pt>
                <c:pt idx="38">
                  <c:v>6657743.3919161288</c:v>
                </c:pt>
                <c:pt idx="39">
                  <c:v>7321815.2630019039</c:v>
                </c:pt>
                <c:pt idx="40">
                  <c:v>8048248.6011179313</c:v>
                </c:pt>
                <c:pt idx="41">
                  <c:v>8842759.738242235</c:v>
                </c:pt>
                <c:pt idx="42">
                  <c:v>9711583.6282286737</c:v>
                </c:pt>
                <c:pt idx="43">
                  <c:v>10661520.688855678</c:v>
                </c:pt>
                <c:pt idx="44">
                  <c:v>11699987.86630257</c:v>
                </c:pt>
                <c:pt idx="45">
                  <c:v>12835074.302337678</c:v>
                </c:pt>
                <c:pt idx="46">
                  <c:v>14075602.018738661</c:v>
                </c:pt>
                <c:pt idx="47">
                  <c:v>15431192.070783356</c:v>
                </c:pt>
                <c:pt idx="48">
                  <c:v>16912336.662326399</c:v>
                </c:pt>
                <c:pt idx="49">
                  <c:v>18530477.759315223</c:v>
                </c:pt>
                <c:pt idx="50">
                  <c:v>20298092.786928214</c:v>
                </c:pt>
                <c:pt idx="51">
                  <c:v>22228788.048197359</c:v>
                </c:pt>
                <c:pt idx="52">
                  <c:v>24337400.559398554</c:v>
                </c:pt>
                <c:pt idx="53">
                  <c:v>26640109.060082395</c:v>
                </c:pt>
                <c:pt idx="54">
                  <c:v>29154555.023841299</c:v>
                </c:pt>
                <c:pt idx="55">
                  <c:v>31899974.570272561</c:v>
                </c:pt>
              </c:numCache>
            </c:numRef>
          </c:val>
          <c:extLst>
            <c:ext xmlns:c16="http://schemas.microsoft.com/office/drawing/2014/chart" uri="{C3380CC4-5D6E-409C-BE32-E72D297353CC}">
              <c16:uniqueId val="{00000000-1618-1F41-8813-DDB052A94638}"/>
            </c:ext>
          </c:extLst>
        </c:ser>
        <c:dLbls>
          <c:showLegendKey val="0"/>
          <c:showVal val="0"/>
          <c:showCatName val="0"/>
          <c:showSerName val="0"/>
          <c:showPercent val="0"/>
          <c:showBubbleSize val="0"/>
        </c:dLbls>
        <c:gapWidth val="150"/>
        <c:axId val="1360509136"/>
        <c:axId val="1360510816"/>
      </c:barChart>
      <c:catAx>
        <c:axId val="136050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60510816"/>
        <c:crosses val="autoZero"/>
        <c:auto val="1"/>
        <c:lblAlgn val="ctr"/>
        <c:lblOffset val="100"/>
        <c:noMultiLvlLbl val="0"/>
      </c:catAx>
      <c:valAx>
        <c:axId val="13605108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6050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a:t>Annunity</a:t>
            </a:r>
            <a:r>
              <a:rPr lang="en-US" sz="3200" baseline="0"/>
              <a:t> Value for the Rest of Retirement at Given Ages</a:t>
            </a:r>
            <a:endParaRPr lang="en-US" sz="3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'Retirement Calculator'!$L$5</c:f>
              <c:strCache>
                <c:ptCount val="1"/>
                <c:pt idx="0">
                  <c:v>(In Current Year's Dollars)</c:v>
                </c:pt>
              </c:strCache>
            </c:strRef>
          </c:tx>
          <c:spPr>
            <a:solidFill>
              <a:schemeClr val="accent1"/>
            </a:solidFill>
            <a:ln>
              <a:noFill/>
            </a:ln>
            <a:effectLst/>
          </c:spPr>
          <c:invertIfNegative val="0"/>
          <c:cat>
            <c:numRef>
              <c:f>'Retirement Calculator'!$B$6:$B$61</c:f>
              <c:numCache>
                <c:formatCode>General</c:formatCode>
                <c:ptCount val="56"/>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pt idx="20">
                  <c:v>42</c:v>
                </c:pt>
                <c:pt idx="21">
                  <c:v>43</c:v>
                </c:pt>
                <c:pt idx="22">
                  <c:v>44</c:v>
                </c:pt>
                <c:pt idx="23">
                  <c:v>45</c:v>
                </c:pt>
                <c:pt idx="24">
                  <c:v>46</c:v>
                </c:pt>
                <c:pt idx="25">
                  <c:v>47</c:v>
                </c:pt>
                <c:pt idx="26">
                  <c:v>48</c:v>
                </c:pt>
                <c:pt idx="27">
                  <c:v>49</c:v>
                </c:pt>
                <c:pt idx="28">
                  <c:v>50</c:v>
                </c:pt>
                <c:pt idx="29">
                  <c:v>51</c:v>
                </c:pt>
                <c:pt idx="30">
                  <c:v>52</c:v>
                </c:pt>
                <c:pt idx="31">
                  <c:v>53</c:v>
                </c:pt>
                <c:pt idx="32">
                  <c:v>54</c:v>
                </c:pt>
                <c:pt idx="33">
                  <c:v>55</c:v>
                </c:pt>
                <c:pt idx="34">
                  <c:v>56</c:v>
                </c:pt>
                <c:pt idx="35">
                  <c:v>57</c:v>
                </c:pt>
                <c:pt idx="36">
                  <c:v>58</c:v>
                </c:pt>
                <c:pt idx="37">
                  <c:v>59</c:v>
                </c:pt>
                <c:pt idx="38">
                  <c:v>60</c:v>
                </c:pt>
                <c:pt idx="39">
                  <c:v>61</c:v>
                </c:pt>
                <c:pt idx="40">
                  <c:v>62</c:v>
                </c:pt>
                <c:pt idx="41">
                  <c:v>63</c:v>
                </c:pt>
                <c:pt idx="42">
                  <c:v>64</c:v>
                </c:pt>
                <c:pt idx="43">
                  <c:v>65</c:v>
                </c:pt>
                <c:pt idx="44">
                  <c:v>66</c:v>
                </c:pt>
                <c:pt idx="45">
                  <c:v>67</c:v>
                </c:pt>
                <c:pt idx="46">
                  <c:v>68</c:v>
                </c:pt>
                <c:pt idx="47">
                  <c:v>69</c:v>
                </c:pt>
                <c:pt idx="48">
                  <c:v>70</c:v>
                </c:pt>
                <c:pt idx="49">
                  <c:v>71</c:v>
                </c:pt>
                <c:pt idx="50">
                  <c:v>72</c:v>
                </c:pt>
                <c:pt idx="51">
                  <c:v>73</c:v>
                </c:pt>
                <c:pt idx="52">
                  <c:v>74</c:v>
                </c:pt>
                <c:pt idx="53">
                  <c:v>75</c:v>
                </c:pt>
                <c:pt idx="54">
                  <c:v>76</c:v>
                </c:pt>
                <c:pt idx="55">
                  <c:v>77</c:v>
                </c:pt>
              </c:numCache>
            </c:numRef>
          </c:cat>
          <c:val>
            <c:numRef>
              <c:f>'Retirement Calculator'!$L$6:$L$61</c:f>
              <c:numCache>
                <c:formatCode>_([$$-409]* #,##0.00_);_([$$-409]* \(#,##0.00\);_([$$-409]* "-"??_);_(@_)</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313504.06275662215</c:v>
                </c:pt>
                <c:pt idx="38">
                  <c:v>351241.21909497771</c:v>
                </c:pt>
                <c:pt idx="39">
                  <c:v>393384.73580234725</c:v>
                </c:pt>
                <c:pt idx="40">
                  <c:v>440485.18842227239</c:v>
                </c:pt>
                <c:pt idx="41">
                  <c:v>493171.44613435422</c:v>
                </c:pt>
                <c:pt idx="42">
                  <c:v>552163.8483765861</c:v>
                </c:pt>
                <c:pt idx="43">
                  <c:v>618290.04554673785</c:v>
                </c:pt>
                <c:pt idx="44">
                  <c:v>692504.14818254521</c:v>
                </c:pt>
                <c:pt idx="45">
                  <c:v>775910.01319199766</c:v>
                </c:pt>
                <c:pt idx="46">
                  <c:v>869789.74126958335</c:v>
                </c:pt>
                <c:pt idx="47">
                  <c:v>975638.79020476621</c:v>
                </c:pt>
                <c:pt idx="48">
                  <c:v>1095209.5583677613</c:v>
                </c:pt>
                <c:pt idx="49">
                  <c:v>1230565.9108317725</c:v>
                </c:pt>
                <c:pt idx="50">
                  <c:v>1384151.980662809</c:v>
                </c:pt>
                <c:pt idx="51">
                  <c:v>1558879.7898317294</c:v>
                </c:pt>
                <c:pt idx="52">
                  <c:v>1758241.9655268562</c:v>
                </c:pt>
                <c:pt idx="53">
                  <c:v>1986458.3380697307</c:v>
                </c:pt>
                <c:pt idx="54">
                  <c:v>2248668.906214451</c:v>
                </c:pt>
                <c:pt idx="55">
                  <c:v>2551191.204983782</c:v>
                </c:pt>
              </c:numCache>
            </c:numRef>
          </c:val>
          <c:extLst>
            <c:ext xmlns:c16="http://schemas.microsoft.com/office/drawing/2014/chart" uri="{C3380CC4-5D6E-409C-BE32-E72D297353CC}">
              <c16:uniqueId val="{00000000-776F-8042-A657-A1DFB551A45F}"/>
            </c:ext>
          </c:extLst>
        </c:ser>
        <c:ser>
          <c:idx val="1"/>
          <c:order val="1"/>
          <c:tx>
            <c:v>Adjusted For Inflation</c:v>
          </c:tx>
          <c:spPr>
            <a:solidFill>
              <a:schemeClr val="accent2"/>
            </a:solidFill>
            <a:ln>
              <a:noFill/>
            </a:ln>
            <a:effectLst/>
          </c:spPr>
          <c:invertIfNegative val="0"/>
          <c:val>
            <c:numRef>
              <c:f>'Retirement Calculator'!$J$6:$J$61</c:f>
              <c:numCache>
                <c:formatCode>_([$$-409]* #,##0.00_);_([$$-409]* \(#,##0.00\);_([$$-409]* "-"??_);_(@_)</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44182.00365150829</c:v>
                </c:pt>
                <c:pt idx="38">
                  <c:v>48626.315819255804</c:v>
                </c:pt>
                <c:pt idx="39">
                  <c:v>53499.170894346898</c:v>
                </c:pt>
                <c:pt idx="40">
                  <c:v>58847.025195893242</c:v>
                </c:pt>
                <c:pt idx="41">
                  <c:v>64722.425498617187</c:v>
                </c:pt>
                <c:pt idx="42">
                  <c:v>71184.999462910753</c:v>
                </c:pt>
                <c:pt idx="43">
                  <c:v>78302.644268631964</c:v>
                </c:pt>
                <c:pt idx="44">
                  <c:v>86152.961293508313</c:v>
                </c:pt>
                <c:pt idx="45">
                  <c:v>94824.998345942353</c:v>
                </c:pt>
                <c:pt idx="46">
                  <c:v>104421.3791872757</c:v>
                </c:pt>
                <c:pt idx="47">
                  <c:v>115060.92461259884</c:v>
                </c:pt>
                <c:pt idx="48">
                  <c:v>126881.90272551028</c:v>
                </c:pt>
                <c:pt idx="49">
                  <c:v>140046.09192094053</c:v>
                </c:pt>
                <c:pt idx="50">
                  <c:v>154743.90392144455</c:v>
                </c:pt>
                <c:pt idx="51">
                  <c:v>171200.90415649017</c:v>
                </c:pt>
                <c:pt idx="52">
                  <c:v>189686.19526590503</c:v>
                </c:pt>
                <c:pt idx="53">
                  <c:v>210523.31582156557</c:v>
                </c:pt>
                <c:pt idx="54">
                  <c:v>234104.58092784992</c:v>
                </c:pt>
                <c:pt idx="55">
                  <c:v>260910.20321108177</c:v>
                </c:pt>
              </c:numCache>
            </c:numRef>
          </c:val>
          <c:extLst>
            <c:ext xmlns:c16="http://schemas.microsoft.com/office/drawing/2014/chart" uri="{C3380CC4-5D6E-409C-BE32-E72D297353CC}">
              <c16:uniqueId val="{00000002-776F-8042-A657-A1DFB551A45F}"/>
            </c:ext>
          </c:extLst>
        </c:ser>
        <c:dLbls>
          <c:showLegendKey val="0"/>
          <c:showVal val="0"/>
          <c:showCatName val="0"/>
          <c:showSerName val="0"/>
          <c:showPercent val="0"/>
          <c:showBubbleSize val="0"/>
        </c:dLbls>
        <c:gapWidth val="219"/>
        <c:overlap val="-27"/>
        <c:axId val="1365740800"/>
        <c:axId val="1310631600"/>
      </c:barChart>
      <c:catAx>
        <c:axId val="136574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10631600"/>
        <c:crosses val="autoZero"/>
        <c:auto val="1"/>
        <c:lblAlgn val="ctr"/>
        <c:lblOffset val="100"/>
        <c:noMultiLvlLbl val="0"/>
      </c:catAx>
      <c:valAx>
        <c:axId val="131063160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65740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baseline="0"/>
              <a:t>Purchasing Power Adjusted for Average Lifetime Inflation to Base Year Per Working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v>Salary</c:v>
          </c:tx>
          <c:spPr>
            <a:ln w="28575" cap="rnd">
              <a:solidFill>
                <a:schemeClr val="accent3"/>
              </a:solidFill>
              <a:round/>
            </a:ln>
            <a:effectLst/>
          </c:spPr>
          <c:marker>
            <c:symbol val="none"/>
          </c:marker>
          <c:cat>
            <c:numRef>
              <c:f>'Retirement Calculator'!$B$6:$B$61</c:f>
              <c:numCache>
                <c:formatCode>General</c:formatCode>
                <c:ptCount val="56"/>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pt idx="20">
                  <c:v>42</c:v>
                </c:pt>
                <c:pt idx="21">
                  <c:v>43</c:v>
                </c:pt>
                <c:pt idx="22">
                  <c:v>44</c:v>
                </c:pt>
                <c:pt idx="23">
                  <c:v>45</c:v>
                </c:pt>
                <c:pt idx="24">
                  <c:v>46</c:v>
                </c:pt>
                <c:pt idx="25">
                  <c:v>47</c:v>
                </c:pt>
                <c:pt idx="26">
                  <c:v>48</c:v>
                </c:pt>
                <c:pt idx="27">
                  <c:v>49</c:v>
                </c:pt>
                <c:pt idx="28">
                  <c:v>50</c:v>
                </c:pt>
                <c:pt idx="29">
                  <c:v>51</c:v>
                </c:pt>
                <c:pt idx="30">
                  <c:v>52</c:v>
                </c:pt>
                <c:pt idx="31">
                  <c:v>53</c:v>
                </c:pt>
                <c:pt idx="32">
                  <c:v>54</c:v>
                </c:pt>
                <c:pt idx="33">
                  <c:v>55</c:v>
                </c:pt>
                <c:pt idx="34">
                  <c:v>56</c:v>
                </c:pt>
                <c:pt idx="35">
                  <c:v>57</c:v>
                </c:pt>
                <c:pt idx="36">
                  <c:v>58</c:v>
                </c:pt>
                <c:pt idx="37">
                  <c:v>59</c:v>
                </c:pt>
                <c:pt idx="38">
                  <c:v>60</c:v>
                </c:pt>
                <c:pt idx="39">
                  <c:v>61</c:v>
                </c:pt>
                <c:pt idx="40">
                  <c:v>62</c:v>
                </c:pt>
                <c:pt idx="41">
                  <c:v>63</c:v>
                </c:pt>
                <c:pt idx="42">
                  <c:v>64</c:v>
                </c:pt>
                <c:pt idx="43">
                  <c:v>65</c:v>
                </c:pt>
                <c:pt idx="44">
                  <c:v>66</c:v>
                </c:pt>
                <c:pt idx="45">
                  <c:v>67</c:v>
                </c:pt>
                <c:pt idx="46">
                  <c:v>68</c:v>
                </c:pt>
                <c:pt idx="47">
                  <c:v>69</c:v>
                </c:pt>
                <c:pt idx="48">
                  <c:v>70</c:v>
                </c:pt>
                <c:pt idx="49">
                  <c:v>71</c:v>
                </c:pt>
                <c:pt idx="50">
                  <c:v>72</c:v>
                </c:pt>
                <c:pt idx="51">
                  <c:v>73</c:v>
                </c:pt>
                <c:pt idx="52">
                  <c:v>74</c:v>
                </c:pt>
                <c:pt idx="53">
                  <c:v>75</c:v>
                </c:pt>
                <c:pt idx="54">
                  <c:v>76</c:v>
                </c:pt>
                <c:pt idx="55">
                  <c:v>77</c:v>
                </c:pt>
              </c:numCache>
            </c:numRef>
          </c:cat>
          <c:val>
            <c:numRef>
              <c:f>'Retirement Calculator'!$Q$6:$Q$61</c:f>
              <c:numCache>
                <c:formatCode>_([$$-409]* #,##0.00_);_([$$-409]* \(#,##0.00\);_([$$-409]* "-"??_);_(@_)</c:formatCode>
                <c:ptCount val="56"/>
                <c:pt idx="0">
                  <c:v>0</c:v>
                </c:pt>
                <c:pt idx="1">
                  <c:v>48250</c:v>
                </c:pt>
                <c:pt idx="2">
                  <c:v>48423.7</c:v>
                </c:pt>
                <c:pt idx="3">
                  <c:v>48598.025319999993</c:v>
                </c:pt>
                <c:pt idx="4">
                  <c:v>48772.978211151996</c:v>
                </c:pt>
                <c:pt idx="5">
                  <c:v>53655.153330088317</c:v>
                </c:pt>
                <c:pt idx="6">
                  <c:v>53848.311882076632</c:v>
                </c:pt>
                <c:pt idx="7">
                  <c:v>54042.165804852113</c:v>
                </c:pt>
                <c:pt idx="8">
                  <c:v>54236.717601749573</c:v>
                </c:pt>
                <c:pt idx="9">
                  <c:v>54431.969785115871</c:v>
                </c:pt>
                <c:pt idx="10">
                  <c:v>54627.924876342295</c:v>
                </c:pt>
                <c:pt idx="11">
                  <c:v>54824.585405897131</c:v>
                </c:pt>
                <c:pt idx="12">
                  <c:v>55021.953913358368</c:v>
                </c:pt>
                <c:pt idx="13">
                  <c:v>55220.032947446467</c:v>
                </c:pt>
                <c:pt idx="14">
                  <c:v>55418.825066057267</c:v>
                </c:pt>
                <c:pt idx="15">
                  <c:v>55618.332836295071</c:v>
                </c:pt>
                <c:pt idx="16">
                  <c:v>55818.55883450574</c:v>
                </c:pt>
                <c:pt idx="17">
                  <c:v>56019.505646309954</c:v>
                </c:pt>
                <c:pt idx="18">
                  <c:v>56221.175866636666</c:v>
                </c:pt>
                <c:pt idx="19">
                  <c:v>56423.572099756559</c:v>
                </c:pt>
                <c:pt idx="20">
                  <c:v>56626.696959315683</c:v>
                </c:pt>
                <c:pt idx="21">
                  <c:v>56830.553068369212</c:v>
                </c:pt>
                <c:pt idx="22">
                  <c:v>57035.143059415343</c:v>
                </c:pt>
                <c:pt idx="23">
                  <c:v>57240.46957442924</c:v>
                </c:pt>
                <c:pt idx="24">
                  <c:v>57446.535264897175</c:v>
                </c:pt>
                <c:pt idx="25">
                  <c:v>57653.342791850802</c:v>
                </c:pt>
                <c:pt idx="26">
                  <c:v>57860.894825901458</c:v>
                </c:pt>
                <c:pt idx="27">
                  <c:v>58069.194047274708</c:v>
                </c:pt>
                <c:pt idx="28">
                  <c:v>58278.243145844899</c:v>
                </c:pt>
                <c:pt idx="29">
                  <c:v>58488.044821169933</c:v>
                </c:pt>
                <c:pt idx="30">
                  <c:v>58698.601782526152</c:v>
                </c:pt>
                <c:pt idx="31">
                  <c:v>58909.916748943251</c:v>
                </c:pt>
                <c:pt idx="32">
                  <c:v>59121.992449239442</c:v>
                </c:pt>
                <c:pt idx="33">
                  <c:v>59334.831622056714</c:v>
                </c:pt>
                <c:pt idx="34">
                  <c:v>59548.43701589611</c:v>
                </c:pt>
                <c:pt idx="35">
                  <c:v>59762.811389153336</c:v>
                </c:pt>
                <c:pt idx="36">
                  <c:v>59977.95751015428</c:v>
                </c:pt>
                <c:pt idx="37">
                  <c:v>60193.878157190826</c:v>
                </c:pt>
                <c:pt idx="38">
                  <c:v>60410.57611855671</c:v>
                </c:pt>
                <c:pt idx="39">
                  <c:v>60628.05419258352</c:v>
                </c:pt>
                <c:pt idx="40">
                  <c:v>60846.315187676817</c:v>
                </c:pt>
                <c:pt idx="41">
                  <c:v>61065.361922352451</c:v>
                </c:pt>
                <c:pt idx="42">
                  <c:v>61285.197225272925</c:v>
                </c:pt>
                <c:pt idx="43">
                  <c:v>61505.823935283908</c:v>
                </c:pt>
                <c:pt idx="44">
                  <c:v>61727.244901450933</c:v>
                </c:pt>
                <c:pt idx="45">
                  <c:v>61949.462983096157</c:v>
                </c:pt>
                <c:pt idx="46">
                  <c:v>62172.481049835311</c:v>
                </c:pt>
                <c:pt idx="47">
                  <c:v>62396.301981614721</c:v>
                </c:pt>
                <c:pt idx="48">
                  <c:v>62620.928668748536</c:v>
                </c:pt>
                <c:pt idx="49">
                  <c:v>62846.36401195603</c:v>
                </c:pt>
                <c:pt idx="50">
                  <c:v>63072.610922399072</c:v>
                </c:pt>
                <c:pt idx="51">
                  <c:v>63299.672321719707</c:v>
                </c:pt>
                <c:pt idx="52">
                  <c:v>63527.5511420779</c:v>
                </c:pt>
                <c:pt idx="53">
                  <c:v>63756.250326189387</c:v>
                </c:pt>
                <c:pt idx="54">
                  <c:v>63985.772827363668</c:v>
                </c:pt>
                <c:pt idx="55">
                  <c:v>64216.121609542177</c:v>
                </c:pt>
              </c:numCache>
            </c:numRef>
          </c:val>
          <c:smooth val="0"/>
          <c:extLst>
            <c:ext xmlns:c16="http://schemas.microsoft.com/office/drawing/2014/chart" uri="{C3380CC4-5D6E-409C-BE32-E72D297353CC}">
              <c16:uniqueId val="{00000002-A8C9-6745-BC99-BB1BD56E4C8C}"/>
            </c:ext>
          </c:extLst>
        </c:ser>
        <c:ser>
          <c:idx val="1"/>
          <c:order val="1"/>
          <c:tx>
            <c:v>4% Rule</c:v>
          </c:tx>
          <c:spPr>
            <a:ln w="28575" cap="rnd">
              <a:solidFill>
                <a:schemeClr val="accent2"/>
              </a:solidFill>
              <a:round/>
            </a:ln>
            <a:effectLst/>
          </c:spPr>
          <c:marker>
            <c:symbol val="none"/>
          </c:marker>
          <c:cat>
            <c:numRef>
              <c:f>'Retirement Calculator'!$B$6:$B$61</c:f>
              <c:numCache>
                <c:formatCode>General</c:formatCode>
                <c:ptCount val="56"/>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pt idx="20">
                  <c:v>42</c:v>
                </c:pt>
                <c:pt idx="21">
                  <c:v>43</c:v>
                </c:pt>
                <c:pt idx="22">
                  <c:v>44</c:v>
                </c:pt>
                <c:pt idx="23">
                  <c:v>45</c:v>
                </c:pt>
                <c:pt idx="24">
                  <c:v>46</c:v>
                </c:pt>
                <c:pt idx="25">
                  <c:v>47</c:v>
                </c:pt>
                <c:pt idx="26">
                  <c:v>48</c:v>
                </c:pt>
                <c:pt idx="27">
                  <c:v>49</c:v>
                </c:pt>
                <c:pt idx="28">
                  <c:v>50</c:v>
                </c:pt>
                <c:pt idx="29">
                  <c:v>51</c:v>
                </c:pt>
                <c:pt idx="30">
                  <c:v>52</c:v>
                </c:pt>
                <c:pt idx="31">
                  <c:v>53</c:v>
                </c:pt>
                <c:pt idx="32">
                  <c:v>54</c:v>
                </c:pt>
                <c:pt idx="33">
                  <c:v>55</c:v>
                </c:pt>
                <c:pt idx="34">
                  <c:v>56</c:v>
                </c:pt>
                <c:pt idx="35">
                  <c:v>57</c:v>
                </c:pt>
                <c:pt idx="36">
                  <c:v>58</c:v>
                </c:pt>
                <c:pt idx="37">
                  <c:v>59</c:v>
                </c:pt>
                <c:pt idx="38">
                  <c:v>60</c:v>
                </c:pt>
                <c:pt idx="39">
                  <c:v>61</c:v>
                </c:pt>
                <c:pt idx="40">
                  <c:v>62</c:v>
                </c:pt>
                <c:pt idx="41">
                  <c:v>63</c:v>
                </c:pt>
                <c:pt idx="42">
                  <c:v>64</c:v>
                </c:pt>
                <c:pt idx="43">
                  <c:v>65</c:v>
                </c:pt>
                <c:pt idx="44">
                  <c:v>66</c:v>
                </c:pt>
                <c:pt idx="45">
                  <c:v>67</c:v>
                </c:pt>
                <c:pt idx="46">
                  <c:v>68</c:v>
                </c:pt>
                <c:pt idx="47">
                  <c:v>69</c:v>
                </c:pt>
                <c:pt idx="48">
                  <c:v>70</c:v>
                </c:pt>
                <c:pt idx="49">
                  <c:v>71</c:v>
                </c:pt>
                <c:pt idx="50">
                  <c:v>72</c:v>
                </c:pt>
                <c:pt idx="51">
                  <c:v>73</c:v>
                </c:pt>
                <c:pt idx="52">
                  <c:v>74</c:v>
                </c:pt>
                <c:pt idx="53">
                  <c:v>75</c:v>
                </c:pt>
                <c:pt idx="54">
                  <c:v>76</c:v>
                </c:pt>
                <c:pt idx="55">
                  <c:v>77</c:v>
                </c:pt>
              </c:numCache>
            </c:numRef>
          </c:cat>
          <c:val>
            <c:numRef>
              <c:f>'Retirement Calculator'!$M$6:$M$61</c:f>
              <c:numCache>
                <c:formatCode>_([$$-409]* #,##0.00_);_([$$-409]* \(#,##0.00\);_([$$-409]* "-"??_);_(@_)</c:formatCode>
                <c:ptCount val="56"/>
                <c:pt idx="0">
                  <c:v>177.07624081756433</c:v>
                </c:pt>
                <c:pt idx="1">
                  <c:v>368.01534735918153</c:v>
                </c:pt>
                <c:pt idx="2">
                  <c:v>576.32478999732393</c:v>
                </c:pt>
                <c:pt idx="3">
                  <c:v>803.31714009293739</c:v>
                </c:pt>
                <c:pt idx="4">
                  <c:v>1050.3996475779441</c:v>
                </c:pt>
                <c:pt idx="5">
                  <c:v>1337.7694590197775</c:v>
                </c:pt>
                <c:pt idx="6">
                  <c:v>1650.0820783151146</c:v>
                </c:pt>
                <c:pt idx="7">
                  <c:v>1989.202085632573</c:v>
                </c:pt>
                <c:pt idx="8">
                  <c:v>2357.1281480723933</c:v>
                </c:pt>
                <c:pt idx="9">
                  <c:v>2756.0025537040938</c:v>
                </c:pt>
                <c:pt idx="10">
                  <c:v>3188.1214211965312</c:v>
                </c:pt>
                <c:pt idx="11">
                  <c:v>3655.9456328638425</c:v>
                </c:pt>
                <c:pt idx="12">
                  <c:v>4162.1125423349695</c:v>
                </c:pt>
                <c:pt idx="13">
                  <c:v>4709.4485116781652</c:v>
                </c:pt>
                <c:pt idx="14">
                  <c:v>5300.9823366919891</c:v>
                </c:pt>
                <c:pt idx="15">
                  <c:v>5939.9596232288986</c:v>
                </c:pt>
                <c:pt idx="16">
                  <c:v>6629.858181866226</c:v>
                </c:pt>
                <c:pt idx="17">
                  <c:v>7374.4045130026261</c:v>
                </c:pt>
                <c:pt idx="18">
                  <c:v>8177.5914595586446</c:v>
                </c:pt>
                <c:pt idx="19">
                  <c:v>9043.6971099212242</c:v>
                </c:pt>
                <c:pt idx="20">
                  <c:v>9977.3050396198887</c:v>
                </c:pt>
                <c:pt idx="21">
                  <c:v>10983.325986483707</c:v>
                </c:pt>
                <c:pt idx="22">
                  <c:v>12067.021060732905</c:v>
                </c:pt>
                <c:pt idx="23">
                  <c:v>13234.02659863774</c:v>
                </c:pt>
                <c:pt idx="24">
                  <c:v>14490.380776064394</c:v>
                </c:pt>
                <c:pt idx="25">
                  <c:v>15842.552106458328</c:v>
                </c:pt>
                <c:pt idx="26">
                  <c:v>17297.469956628891</c:v>
                </c:pt>
                <c:pt idx="27">
                  <c:v>18862.557223135573</c:v>
                </c:pt>
                <c:pt idx="28">
                  <c:v>20545.765322181214</c:v>
                </c:pt>
                <c:pt idx="29">
                  <c:v>22355.611656736466</c:v>
                </c:pt>
                <c:pt idx="30">
                  <c:v>24301.219736205356</c:v>
                </c:pt>
                <c:pt idx="31">
                  <c:v>26392.362136346146</c:v>
                </c:pt>
                <c:pt idx="32">
                  <c:v>28639.506500444495</c:v>
                </c:pt>
                <c:pt idx="33">
                  <c:v>31053.864796957903</c:v>
                </c:pt>
                <c:pt idx="34">
                  <c:v>33647.446064079377</c:v>
                </c:pt>
                <c:pt idx="35">
                  <c:v>36433.112887974079</c:v>
                </c:pt>
                <c:pt idx="36">
                  <c:v>39424.641878902701</c:v>
                </c:pt>
                <c:pt idx="37">
                  <c:v>42636.788428140862</c:v>
                </c:pt>
                <c:pt idx="38">
                  <c:v>46085.35604862131</c:v>
                </c:pt>
                <c:pt idx="39">
                  <c:v>49787.27062366093</c:v>
                </c:pt>
                <c:pt idx="40">
                  <c:v>53760.659911084986</c:v>
                </c:pt>
                <c:pt idx="41">
                  <c:v>58024.938674636564</c:v>
                </c:pt>
                <c:pt idx="42">
                  <c:v>62600.899840872822</c:v>
                </c:pt>
                <c:pt idx="43">
                  <c:v>67510.812107925158</c:v>
                </c:pt>
                <c:pt idx="44">
                  <c:v>72778.524462670423</c:v>
                </c:pt>
                <c:pt idx="45">
                  <c:v>78429.57809516319</c:v>
                </c:pt>
                <c:pt idx="46">
                  <c:v>84491.326233769869</c:v>
                </c:pt>
                <c:pt idx="47">
                  <c:v>90993.062461481823</c:v>
                </c:pt>
                <c:pt idx="48">
                  <c:v>97966.158113542333</c:v>
                </c:pt>
                <c:pt idx="49">
                  <c:v>105444.20939898667</c:v>
                </c:pt>
                <c:pt idx="50">
                  <c:v>113463.19493416099</c:v>
                </c:pt>
                <c:pt idx="51">
                  <c:v>122061.64442497386</c:v>
                </c:pt>
                <c:pt idx="52">
                  <c:v>131280.81928676119</c:v>
                </c:pt>
                <c:pt idx="53">
                  <c:v>141164.90604646667</c:v>
                </c:pt>
                <c:pt idx="54">
                  <c:v>151761.22343160558</c:v>
                </c:pt>
                <c:pt idx="55">
                  <c:v>163120.44411447918</c:v>
                </c:pt>
              </c:numCache>
            </c:numRef>
          </c:val>
          <c:smooth val="0"/>
          <c:extLst>
            <c:ext xmlns:c16="http://schemas.microsoft.com/office/drawing/2014/chart" uri="{C3380CC4-5D6E-409C-BE32-E72D297353CC}">
              <c16:uniqueId val="{00000001-A8C9-6745-BC99-BB1BD56E4C8C}"/>
            </c:ext>
          </c:extLst>
        </c:ser>
        <c:ser>
          <c:idx val="0"/>
          <c:order val="2"/>
          <c:tx>
            <c:v>Retirement Annunity</c:v>
          </c:tx>
          <c:spPr>
            <a:ln w="28575" cap="rnd">
              <a:solidFill>
                <a:schemeClr val="accent1"/>
              </a:solidFill>
              <a:round/>
            </a:ln>
            <a:effectLst/>
          </c:spPr>
          <c:marker>
            <c:symbol val="none"/>
          </c:marker>
          <c:cat>
            <c:numRef>
              <c:f>'Retirement Calculator'!$B$6:$B$61</c:f>
              <c:numCache>
                <c:formatCode>General</c:formatCode>
                <c:ptCount val="56"/>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pt idx="20">
                  <c:v>42</c:v>
                </c:pt>
                <c:pt idx="21">
                  <c:v>43</c:v>
                </c:pt>
                <c:pt idx="22">
                  <c:v>44</c:v>
                </c:pt>
                <c:pt idx="23">
                  <c:v>45</c:v>
                </c:pt>
                <c:pt idx="24">
                  <c:v>46</c:v>
                </c:pt>
                <c:pt idx="25">
                  <c:v>47</c:v>
                </c:pt>
                <c:pt idx="26">
                  <c:v>48</c:v>
                </c:pt>
                <c:pt idx="27">
                  <c:v>49</c:v>
                </c:pt>
                <c:pt idx="28">
                  <c:v>50</c:v>
                </c:pt>
                <c:pt idx="29">
                  <c:v>51</c:v>
                </c:pt>
                <c:pt idx="30">
                  <c:v>52</c:v>
                </c:pt>
                <c:pt idx="31">
                  <c:v>53</c:v>
                </c:pt>
                <c:pt idx="32">
                  <c:v>54</c:v>
                </c:pt>
                <c:pt idx="33">
                  <c:v>55</c:v>
                </c:pt>
                <c:pt idx="34">
                  <c:v>56</c:v>
                </c:pt>
                <c:pt idx="35">
                  <c:v>57</c:v>
                </c:pt>
                <c:pt idx="36">
                  <c:v>58</c:v>
                </c:pt>
                <c:pt idx="37">
                  <c:v>59</c:v>
                </c:pt>
                <c:pt idx="38">
                  <c:v>60</c:v>
                </c:pt>
                <c:pt idx="39">
                  <c:v>61</c:v>
                </c:pt>
                <c:pt idx="40">
                  <c:v>62</c:v>
                </c:pt>
                <c:pt idx="41">
                  <c:v>63</c:v>
                </c:pt>
                <c:pt idx="42">
                  <c:v>64</c:v>
                </c:pt>
                <c:pt idx="43">
                  <c:v>65</c:v>
                </c:pt>
                <c:pt idx="44">
                  <c:v>66</c:v>
                </c:pt>
                <c:pt idx="45">
                  <c:v>67</c:v>
                </c:pt>
                <c:pt idx="46">
                  <c:v>68</c:v>
                </c:pt>
                <c:pt idx="47">
                  <c:v>69</c:v>
                </c:pt>
                <c:pt idx="48">
                  <c:v>70</c:v>
                </c:pt>
                <c:pt idx="49">
                  <c:v>71</c:v>
                </c:pt>
                <c:pt idx="50">
                  <c:v>72</c:v>
                </c:pt>
                <c:pt idx="51">
                  <c:v>73</c:v>
                </c:pt>
                <c:pt idx="52">
                  <c:v>74</c:v>
                </c:pt>
                <c:pt idx="53">
                  <c:v>75</c:v>
                </c:pt>
                <c:pt idx="54">
                  <c:v>76</c:v>
                </c:pt>
                <c:pt idx="55">
                  <c:v>77</c:v>
                </c:pt>
              </c:numCache>
            </c:numRef>
          </c:cat>
          <c:val>
            <c:numRef>
              <c:f>'Retirement Calculator'!$J$6:$J$61</c:f>
              <c:numCache>
                <c:formatCode>_([$$-409]* #,##0.00_);_([$$-409]* \(#,##0.00\);_([$$-409]* "-"??_);_(@_)</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44182.00365150829</c:v>
                </c:pt>
                <c:pt idx="38">
                  <c:v>48626.315819255804</c:v>
                </c:pt>
                <c:pt idx="39">
                  <c:v>53499.170894346898</c:v>
                </c:pt>
                <c:pt idx="40">
                  <c:v>58847.025195893242</c:v>
                </c:pt>
                <c:pt idx="41">
                  <c:v>64722.425498617187</c:v>
                </c:pt>
                <c:pt idx="42">
                  <c:v>71184.999462910753</c:v>
                </c:pt>
                <c:pt idx="43">
                  <c:v>78302.644268631964</c:v>
                </c:pt>
                <c:pt idx="44">
                  <c:v>86152.961293508313</c:v>
                </c:pt>
                <c:pt idx="45">
                  <c:v>94824.998345942353</c:v>
                </c:pt>
                <c:pt idx="46">
                  <c:v>104421.3791872757</c:v>
                </c:pt>
                <c:pt idx="47">
                  <c:v>115060.92461259884</c:v>
                </c:pt>
                <c:pt idx="48">
                  <c:v>126881.90272551028</c:v>
                </c:pt>
                <c:pt idx="49">
                  <c:v>140046.09192094053</c:v>
                </c:pt>
                <c:pt idx="50">
                  <c:v>154743.90392144455</c:v>
                </c:pt>
                <c:pt idx="51">
                  <c:v>171200.90415649017</c:v>
                </c:pt>
                <c:pt idx="52">
                  <c:v>189686.19526590503</c:v>
                </c:pt>
                <c:pt idx="53">
                  <c:v>210523.31582156557</c:v>
                </c:pt>
                <c:pt idx="54">
                  <c:v>234104.58092784992</c:v>
                </c:pt>
                <c:pt idx="55">
                  <c:v>260910.20321108177</c:v>
                </c:pt>
              </c:numCache>
            </c:numRef>
          </c:val>
          <c:smooth val="0"/>
          <c:extLst>
            <c:ext xmlns:c16="http://schemas.microsoft.com/office/drawing/2014/chart" uri="{C3380CC4-5D6E-409C-BE32-E72D297353CC}">
              <c16:uniqueId val="{00000000-A8C9-6745-BC99-BB1BD56E4C8C}"/>
            </c:ext>
          </c:extLst>
        </c:ser>
        <c:dLbls>
          <c:showLegendKey val="0"/>
          <c:showVal val="0"/>
          <c:showCatName val="0"/>
          <c:showSerName val="0"/>
          <c:showPercent val="0"/>
          <c:showBubbleSize val="0"/>
        </c:dLbls>
        <c:smooth val="0"/>
        <c:axId val="117010367"/>
        <c:axId val="86490191"/>
      </c:lineChart>
      <c:catAx>
        <c:axId val="11701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6490191"/>
        <c:crosses val="autoZero"/>
        <c:auto val="1"/>
        <c:lblAlgn val="ctr"/>
        <c:lblOffset val="100"/>
        <c:noMultiLvlLbl val="0"/>
      </c:catAx>
      <c:valAx>
        <c:axId val="8649019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7010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19</xdr:col>
      <xdr:colOff>400320</xdr:colOff>
      <xdr:row>2</xdr:row>
      <xdr:rowOff>157680</xdr:rowOff>
    </xdr:from>
    <xdr:to>
      <xdr:col>26</xdr:col>
      <xdr:colOff>694440</xdr:colOff>
      <xdr:row>15</xdr:row>
      <xdr:rowOff>131400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583120" y="538560"/>
          <a:ext cx="6694920" cy="2459520"/>
        </a:xfrm>
        <a:prstGeom prst="rect">
          <a:avLst/>
        </a:prstGeom>
        <a:ln>
          <a:noFill/>
        </a:ln>
      </xdr:spPr>
    </xdr:pic>
    <xdr:clientData/>
  </xdr:twoCellAnchor>
  <xdr:twoCellAnchor editAs="oneCell">
    <xdr:from>
      <xdr:col>19</xdr:col>
      <xdr:colOff>360720</xdr:colOff>
      <xdr:row>20</xdr:row>
      <xdr:rowOff>14760</xdr:rowOff>
    </xdr:from>
    <xdr:to>
      <xdr:col>26</xdr:col>
      <xdr:colOff>654840</xdr:colOff>
      <xdr:row>32</xdr:row>
      <xdr:rowOff>50760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7543520" y="3900960"/>
          <a:ext cx="6694920" cy="2455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31751</xdr:colOff>
      <xdr:row>61</xdr:row>
      <xdr:rowOff>96739</xdr:rowOff>
    </xdr:from>
    <xdr:to>
      <xdr:col>6</xdr:col>
      <xdr:colOff>406400</xdr:colOff>
      <xdr:row>86</xdr:row>
      <xdr:rowOff>101600</xdr:rowOff>
    </xdr:to>
    <xdr:graphicFrame macro="">
      <xdr:nvGraphicFramePr>
        <xdr:cNvPr id="4" name="Chart 3">
          <a:extLst>
            <a:ext uri="{FF2B5EF4-FFF2-40B4-BE49-F238E27FC236}">
              <a16:creationId xmlns:a16="http://schemas.microsoft.com/office/drawing/2014/main" id="{7FA8A02F-3D2C-F548-AA4F-B45EDC073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520700</xdr:colOff>
      <xdr:row>61</xdr:row>
      <xdr:rowOff>101600</xdr:rowOff>
    </xdr:from>
    <xdr:to>
      <xdr:col>9</xdr:col>
      <xdr:colOff>1879600</xdr:colOff>
      <xdr:row>86</xdr:row>
      <xdr:rowOff>102419</xdr:rowOff>
    </xdr:to>
    <xdr:graphicFrame macro="">
      <xdr:nvGraphicFramePr>
        <xdr:cNvPr id="5" name="Chart 4">
          <a:extLst>
            <a:ext uri="{FF2B5EF4-FFF2-40B4-BE49-F238E27FC236}">
              <a16:creationId xmlns:a16="http://schemas.microsoft.com/office/drawing/2014/main" id="{EE9FD97B-45F5-F64E-AE68-E0CF33E1E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9</xdr:col>
      <xdr:colOff>1987857</xdr:colOff>
      <xdr:row>61</xdr:row>
      <xdr:rowOff>104774</xdr:rowOff>
    </xdr:from>
    <xdr:to>
      <xdr:col>12</xdr:col>
      <xdr:colOff>2760133</xdr:colOff>
      <xdr:row>86</xdr:row>
      <xdr:rowOff>81936</xdr:rowOff>
    </xdr:to>
    <xdr:graphicFrame macro="">
      <xdr:nvGraphicFramePr>
        <xdr:cNvPr id="7" name="Chart 6">
          <a:extLst>
            <a:ext uri="{FF2B5EF4-FFF2-40B4-BE49-F238E27FC236}">
              <a16:creationId xmlns:a16="http://schemas.microsoft.com/office/drawing/2014/main" id="{15A64D67-16D2-B44C-8E4E-B481A25AD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187817</xdr:colOff>
      <xdr:row>61</xdr:row>
      <xdr:rowOff>101600</xdr:rowOff>
    </xdr:from>
    <xdr:to>
      <xdr:col>17</xdr:col>
      <xdr:colOff>0</xdr:colOff>
      <xdr:row>86</xdr:row>
      <xdr:rowOff>67734</xdr:rowOff>
    </xdr:to>
    <xdr:graphicFrame macro="">
      <xdr:nvGraphicFramePr>
        <xdr:cNvPr id="2" name="Chart 1">
          <a:extLst>
            <a:ext uri="{FF2B5EF4-FFF2-40B4-BE49-F238E27FC236}">
              <a16:creationId xmlns:a16="http://schemas.microsoft.com/office/drawing/2014/main" id="{E9A4188D-266C-1F42-A4BD-CAC3F7CB3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www.crownmoneymap.org/MoneyMap/ASP/budgetguide.asp" TargetMode="External"/><Relationship Id="rId13" Type="http://schemas.openxmlformats.org/officeDocument/2006/relationships/hyperlink" Target="http://www.crownmoneymap.org/MoneyMap/ASP/budgetguide.asp" TargetMode="External"/><Relationship Id="rId3" Type="http://schemas.openxmlformats.org/officeDocument/2006/relationships/hyperlink" Target="http://www.crownmoneymap.org/MoneyMap/ASP/budgetguide.asp" TargetMode="External"/><Relationship Id="rId7" Type="http://schemas.openxmlformats.org/officeDocument/2006/relationships/hyperlink" Target="http://www.crownmoneymap.org/MoneyMap/ASP/budgetguide.asp" TargetMode="External"/><Relationship Id="rId12" Type="http://schemas.openxmlformats.org/officeDocument/2006/relationships/hyperlink" Target="http://www.crownmoneymap.org/MoneyMap/ASP/budgetguide.asp" TargetMode="External"/><Relationship Id="rId2" Type="http://schemas.openxmlformats.org/officeDocument/2006/relationships/hyperlink" Target="http://www.crownmoneymap.org/MoneyMap/ASP/budgetguide.asp" TargetMode="External"/><Relationship Id="rId1" Type="http://schemas.openxmlformats.org/officeDocument/2006/relationships/hyperlink" Target="http://www.crownmoneymap.org/MoneyMap/ASP/budgetguide.asp" TargetMode="External"/><Relationship Id="rId6" Type="http://schemas.openxmlformats.org/officeDocument/2006/relationships/hyperlink" Target="http://www.crownmoneymap.org/MoneyMap/ASP/budgetguide.asp" TargetMode="External"/><Relationship Id="rId11" Type="http://schemas.openxmlformats.org/officeDocument/2006/relationships/hyperlink" Target="http://www.crownmoneymap.org/MoneyMap/ASP/budgetguide.asp" TargetMode="External"/><Relationship Id="rId5" Type="http://schemas.openxmlformats.org/officeDocument/2006/relationships/hyperlink" Target="http://www.crownmoneymap.org/MoneyMap/ASP/budgetguide.asp" TargetMode="External"/><Relationship Id="rId10" Type="http://schemas.openxmlformats.org/officeDocument/2006/relationships/hyperlink" Target="http://www.crownmoneymap.org/MoneyMap/ASP/budgetguide.asp" TargetMode="External"/><Relationship Id="rId4" Type="http://schemas.openxmlformats.org/officeDocument/2006/relationships/hyperlink" Target="http://www.crownmoneymap.org/MoneyMap/ASP/budgetguide.asp" TargetMode="External"/><Relationship Id="rId9" Type="http://schemas.openxmlformats.org/officeDocument/2006/relationships/hyperlink" Target="http://www.crownmoneymap.org/MoneyMap/ASP/budgetguide.as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taxfoundation.org/article/state-individual-income-tax-rates-and-brackets-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K63"/>
  <sheetViews>
    <sheetView showOutlineSymbols="0" zoomScaleNormal="100" workbookViewId="0">
      <selection activeCell="K9" sqref="K9"/>
    </sheetView>
  </sheetViews>
  <sheetFormatPr baseColWidth="10" defaultColWidth="8.7109375" defaultRowHeight="16"/>
  <cols>
    <col min="1" max="2" width="10.85546875" style="1" customWidth="1"/>
    <col min="3" max="3" width="13.5703125" style="1" customWidth="1"/>
    <col min="4" max="4" width="10.85546875" style="1" customWidth="1"/>
    <col min="5" max="5" width="6.140625" style="1" customWidth="1"/>
    <col min="6" max="6" width="8.28515625" style="1" customWidth="1"/>
    <col min="7" max="7" width="10.85546875" style="1" customWidth="1"/>
    <col min="8" max="8" width="10.7109375" style="1" customWidth="1"/>
    <col min="9" max="10" width="10.85546875" style="1" customWidth="1"/>
    <col min="11" max="12" width="12.140625" style="1" customWidth="1"/>
    <col min="13" max="13" width="10.140625" style="1" customWidth="1"/>
    <col min="14" max="14" width="11" style="1" customWidth="1"/>
    <col min="15" max="1025" width="10.85546875" style="1" customWidth="1"/>
  </cols>
  <sheetData>
    <row r="1" spans="1:14">
      <c r="A1" s="2" t="s">
        <v>0</v>
      </c>
      <c r="B1" s="2"/>
      <c r="C1" s="2"/>
      <c r="D1" s="2"/>
      <c r="E1" s="2"/>
      <c r="F1" s="2"/>
      <c r="G1" s="2"/>
      <c r="H1" s="2" t="s">
        <v>1</v>
      </c>
      <c r="I1" s="2"/>
      <c r="J1" s="2"/>
      <c r="K1"/>
      <c r="L1"/>
      <c r="M1"/>
      <c r="N1"/>
    </row>
    <row r="2" spans="1:14">
      <c r="A2" s="2"/>
      <c r="B2" s="2"/>
      <c r="C2" s="2"/>
      <c r="D2" s="2"/>
      <c r="E2" s="2"/>
      <c r="F2" s="2"/>
      <c r="G2" s="2"/>
      <c r="H2" s="2"/>
      <c r="I2" s="2"/>
      <c r="J2" s="2"/>
      <c r="K2" t="s">
        <v>225</v>
      </c>
      <c r="L2">
        <v>66000</v>
      </c>
      <c r="M2"/>
      <c r="N2"/>
    </row>
    <row r="3" spans="1:14">
      <c r="A3" s="2" t="s">
        <v>2</v>
      </c>
      <c r="B3" s="2"/>
      <c r="C3" s="2"/>
      <c r="D3" s="2"/>
      <c r="E3" s="2"/>
      <c r="F3" s="2"/>
      <c r="G3" s="2"/>
      <c r="H3" s="3">
        <v>60000</v>
      </c>
      <c r="I3" s="2"/>
      <c r="J3" s="2"/>
      <c r="K3" t="s">
        <v>226</v>
      </c>
      <c r="L3">
        <f>H19/12</f>
        <v>1275</v>
      </c>
      <c r="M3"/>
      <c r="N3"/>
    </row>
    <row r="4" spans="1:14">
      <c r="A4" s="2"/>
      <c r="B4" s="2"/>
      <c r="C4" s="2"/>
      <c r="D4" s="2"/>
      <c r="E4" s="2"/>
      <c r="F4" s="2"/>
      <c r="G4" s="2"/>
      <c r="H4" s="4"/>
      <c r="I4" s="2"/>
      <c r="J4" s="2"/>
      <c r="K4"/>
      <c r="L4"/>
      <c r="M4"/>
      <c r="N4"/>
    </row>
    <row r="5" spans="1:14">
      <c r="A5" s="2"/>
      <c r="B5" s="2" t="s">
        <v>3</v>
      </c>
      <c r="C5" s="2"/>
      <c r="D5" s="2"/>
      <c r="E5" s="2"/>
      <c r="F5" s="2"/>
      <c r="G5" s="2"/>
      <c r="H5" s="5" t="s">
        <v>122</v>
      </c>
      <c r="I5" s="2"/>
      <c r="J5" s="2"/>
      <c r="K5"/>
      <c r="L5"/>
      <c r="M5"/>
      <c r="N5"/>
    </row>
    <row r="6" spans="1:14">
      <c r="A6" s="2"/>
      <c r="B6" s="2" t="s">
        <v>5</v>
      </c>
      <c r="C6" s="2"/>
      <c r="D6" s="2"/>
      <c r="E6" s="2"/>
      <c r="F6" s="2"/>
      <c r="G6" s="2"/>
      <c r="H6" s="5" t="s">
        <v>6</v>
      </c>
      <c r="I6" s="2"/>
      <c r="J6" s="6"/>
      <c r="K6"/>
      <c r="L6"/>
      <c r="M6"/>
      <c r="N6"/>
    </row>
    <row r="7" spans="1:14">
      <c r="A7" s="2"/>
      <c r="B7" s="2" t="s">
        <v>7</v>
      </c>
      <c r="C7" s="2"/>
      <c r="D7" s="2"/>
      <c r="E7" s="2"/>
      <c r="F7" s="2"/>
      <c r="G7" s="2"/>
      <c r="H7" s="7">
        <v>0</v>
      </c>
      <c r="I7" s="2"/>
      <c r="J7" s="6"/>
      <c r="K7"/>
      <c r="L7"/>
      <c r="M7"/>
      <c r="N7"/>
    </row>
    <row r="8" spans="1:14">
      <c r="A8" s="2"/>
      <c r="B8" s="2" t="str">
        <f>"Deduction (Standard "&amp;TEXT(L31,"$0")&amp;" single, "&amp;TEXT(L32,"$0")&amp;" married)"</f>
        <v>Deduction (Standard $6300 single, $12600 married)</v>
      </c>
      <c r="C8" s="2"/>
      <c r="D8" s="2"/>
      <c r="E8" s="2"/>
      <c r="F8" s="2"/>
      <c r="G8" s="2"/>
      <c r="H8" s="4">
        <f>MAX(H19+H21+H22+H16+H17+H29+H27,IF(H6="No",$L$31,$L$32))</f>
        <v>24398.794999999998</v>
      </c>
      <c r="I8" s="2"/>
      <c r="J8" s="2"/>
      <c r="K8"/>
      <c r="L8"/>
      <c r="M8"/>
      <c r="N8"/>
    </row>
    <row r="9" spans="1:14">
      <c r="A9" s="2"/>
      <c r="B9" s="2" t="str">
        <f>"Exemptions ("&amp;TEXT(L33,"$0")&amp;" per person)"</f>
        <v>Exemptions ($4050 per person)</v>
      </c>
      <c r="C9" s="2"/>
      <c r="D9" s="2"/>
      <c r="E9" s="2"/>
      <c r="F9" s="2"/>
      <c r="G9" s="2"/>
      <c r="H9" s="4">
        <f>IF(H6="No",1,2)*$L$33</f>
        <v>4050</v>
      </c>
      <c r="I9" s="2"/>
      <c r="J9" s="2"/>
      <c r="K9" s="8" t="s">
        <v>8</v>
      </c>
      <c r="L9" s="9"/>
      <c r="M9" s="9"/>
      <c r="N9" s="10"/>
    </row>
    <row r="10" spans="1:14">
      <c r="A10" s="2"/>
      <c r="B10" s="2"/>
      <c r="C10" s="2"/>
      <c r="D10" s="2"/>
      <c r="E10" s="2"/>
      <c r="F10" s="2" t="s">
        <v>9</v>
      </c>
      <c r="G10" s="2"/>
      <c r="H10" s="4">
        <f>H3+H7-H8-H9</f>
        <v>31551.205000000002</v>
      </c>
      <c r="I10" s="2"/>
      <c r="J10" s="2"/>
      <c r="K10" s="11"/>
      <c r="L10" s="12"/>
      <c r="M10" s="12"/>
      <c r="N10" s="13"/>
    </row>
    <row r="11" spans="1:14">
      <c r="A11" s="2" t="s">
        <v>10</v>
      </c>
      <c r="B11" s="2"/>
      <c r="C11" s="2"/>
      <c r="D11" s="2"/>
      <c r="E11" s="2"/>
      <c r="F11" s="2"/>
      <c r="G11" s="2"/>
      <c r="H11" s="6"/>
      <c r="I11" s="2"/>
      <c r="J11" s="2"/>
      <c r="K11" s="11" t="s">
        <v>11</v>
      </c>
      <c r="L11" s="12"/>
      <c r="M11" s="12"/>
      <c r="N11" s="13"/>
    </row>
    <row r="12" spans="1:14">
      <c r="A12" s="2"/>
      <c r="B12" s="2"/>
      <c r="C12" s="2"/>
      <c r="D12" s="2"/>
      <c r="E12" s="2"/>
      <c r="F12" s="2"/>
      <c r="G12" s="2"/>
      <c r="H12" s="6"/>
      <c r="I12" s="2" t="s">
        <v>12</v>
      </c>
      <c r="J12" s="2"/>
      <c r="K12" s="14">
        <v>0</v>
      </c>
      <c r="L12" s="15">
        <v>9275</v>
      </c>
      <c r="M12" s="16">
        <v>0.1</v>
      </c>
      <c r="N12" s="17">
        <f>M12*L12</f>
        <v>927.5</v>
      </c>
    </row>
    <row r="13" spans="1:14">
      <c r="A13" s="2" t="s">
        <v>13</v>
      </c>
      <c r="B13" s="2"/>
      <c r="C13" s="2"/>
      <c r="D13" s="2"/>
      <c r="E13" s="2"/>
      <c r="F13" s="2"/>
      <c r="G13" s="2"/>
      <c r="H13" s="4">
        <f>VLOOKUP(H10-H19-H21-H22,IF(H6="No",K12:N18,K21:N27),3,1)*(H10-H19-H21-H22-VLOOKUP(H10-H19-H21-H22,IF(H6="No",K12:N18,K21:N27),1,1))+VLOOKUP(VLOOKUP(H10-H19-H21-H22,IF(H6="No",K12:N18,K21:N27),1,1)-1,IF(H6="No",K12:N18,K21:N27),4,1)</f>
        <v>1973.9307500000002</v>
      </c>
      <c r="I13" s="18">
        <f>VLOOKUP($H$10,IF($H$6="No",$K$12:$N$18,$K$21:$N$27),3,1)</f>
        <v>0.15</v>
      </c>
      <c r="J13" s="2"/>
      <c r="K13" s="14">
        <f t="shared" ref="K13:K18" si="0">L12</f>
        <v>9275</v>
      </c>
      <c r="L13" s="15">
        <v>37650</v>
      </c>
      <c r="M13" s="16">
        <v>0.15</v>
      </c>
      <c r="N13" s="17">
        <f>N12+M13*(L13-K13)</f>
        <v>5183.75</v>
      </c>
    </row>
    <row r="14" spans="1:14">
      <c r="A14" s="2" t="s">
        <v>14</v>
      </c>
      <c r="B14" s="2"/>
      <c r="C14" s="2"/>
      <c r="D14" s="2"/>
      <c r="E14" s="2"/>
      <c r="F14" s="2"/>
      <c r="G14" s="2"/>
      <c r="H14" s="4">
        <f>(H$3+H$7)*I14</f>
        <v>3720</v>
      </c>
      <c r="I14" s="18">
        <v>6.2E-2</v>
      </c>
      <c r="J14" s="2"/>
      <c r="K14" s="14">
        <f t="shared" si="0"/>
        <v>37650</v>
      </c>
      <c r="L14" s="15">
        <v>91150</v>
      </c>
      <c r="M14" s="16">
        <v>0.25</v>
      </c>
      <c r="N14" s="17">
        <f>N13+M14*(L14-K14)</f>
        <v>18558.75</v>
      </c>
    </row>
    <row r="15" spans="1:14">
      <c r="A15" s="2" t="s">
        <v>15</v>
      </c>
      <c r="B15" s="2"/>
      <c r="C15" s="2"/>
      <c r="D15" s="2"/>
      <c r="E15" s="2"/>
      <c r="F15" s="2"/>
      <c r="G15" s="2"/>
      <c r="H15" s="4">
        <f>(H$3+H$7)*I15</f>
        <v>870</v>
      </c>
      <c r="I15" s="19">
        <v>1.4500000000000001E-2</v>
      </c>
      <c r="J15" s="2"/>
      <c r="K15" s="14">
        <f t="shared" si="0"/>
        <v>91150</v>
      </c>
      <c r="L15" s="15">
        <v>190150</v>
      </c>
      <c r="M15" s="16">
        <v>0.28000000000000003</v>
      </c>
      <c r="N15" s="17">
        <f>N14+M15*(L15-K15)</f>
        <v>46278.75</v>
      </c>
    </row>
    <row r="16" spans="1:14">
      <c r="A16" s="2" t="s">
        <v>16</v>
      </c>
      <c r="B16" s="2"/>
      <c r="C16" s="2"/>
      <c r="D16" s="2"/>
      <c r="E16" s="2"/>
      <c r="F16" s="2"/>
      <c r="G16" s="2"/>
      <c r="H16" s="4">
        <f>VLOOKUP(H5,'Tax Table'!A3:U268,IF(H6="No",20,21),0)</f>
        <v>2298.7950000000001</v>
      </c>
      <c r="I16" s="19">
        <f>H16/(H3+H7)</f>
        <v>3.831325E-2</v>
      </c>
      <c r="J16" s="2"/>
      <c r="K16" s="14">
        <f t="shared" si="0"/>
        <v>190150</v>
      </c>
      <c r="L16" s="15">
        <v>413350</v>
      </c>
      <c r="M16" s="16">
        <v>0.33</v>
      </c>
      <c r="N16" s="17">
        <f>N15+M16*(L16-K16)</f>
        <v>119934.75</v>
      </c>
    </row>
    <row r="17" spans="1:14">
      <c r="A17" s="2" t="s">
        <v>17</v>
      </c>
      <c r="B17" s="2"/>
      <c r="C17" s="2"/>
      <c r="D17" s="2"/>
      <c r="E17" s="2"/>
      <c r="F17" s="2"/>
      <c r="G17" s="2"/>
      <c r="H17" s="4">
        <f>(H$3+H$7)*I17</f>
        <v>300</v>
      </c>
      <c r="I17" s="19">
        <v>5.0000000000000001E-3</v>
      </c>
      <c r="J17" s="2"/>
      <c r="K17" s="14">
        <f t="shared" si="0"/>
        <v>413350</v>
      </c>
      <c r="L17" s="15">
        <v>415050</v>
      </c>
      <c r="M17" s="16">
        <v>0.35</v>
      </c>
      <c r="N17" s="17">
        <f>N16+M17*(L17-K17)</f>
        <v>120529.75</v>
      </c>
    </row>
    <row r="18" spans="1:14">
      <c r="A18" s="2" t="s">
        <v>18</v>
      </c>
      <c r="B18" s="2"/>
      <c r="C18" s="2"/>
      <c r="D18" s="2"/>
      <c r="E18" s="2"/>
      <c r="F18" s="2"/>
      <c r="G18" s="2"/>
      <c r="H18" s="20">
        <f>MIN(5500,H$3*I18)</f>
        <v>0</v>
      </c>
      <c r="I18" s="18">
        <v>0</v>
      </c>
      <c r="J18" s="2"/>
      <c r="K18" s="14">
        <f t="shared" si="0"/>
        <v>415050</v>
      </c>
      <c r="L18" s="15"/>
      <c r="M18" s="16">
        <v>0.39600000000000002</v>
      </c>
      <c r="N18" s="17"/>
    </row>
    <row r="19" spans="1:14">
      <c r="A19" s="2" t="s">
        <v>227</v>
      </c>
      <c r="B19" s="2"/>
      <c r="C19" s="2"/>
      <c r="D19" s="2"/>
      <c r="E19" s="2"/>
      <c r="F19" s="2"/>
      <c r="G19" s="2"/>
      <c r="H19" s="20">
        <f>H$3*I19+0.05*L2</f>
        <v>15300</v>
      </c>
      <c r="I19" s="21">
        <v>0.2</v>
      </c>
      <c r="J19" s="22"/>
      <c r="K19" s="11"/>
      <c r="L19" s="12"/>
      <c r="M19" s="12"/>
      <c r="N19" s="13"/>
    </row>
    <row r="20" spans="1:14">
      <c r="A20" s="2" t="s">
        <v>19</v>
      </c>
      <c r="B20" s="2"/>
      <c r="C20" s="2"/>
      <c r="D20" s="2"/>
      <c r="E20" s="2"/>
      <c r="F20" s="2"/>
      <c r="G20" s="2"/>
      <c r="H20" s="20">
        <f>H$3*I20</f>
        <v>0</v>
      </c>
      <c r="I20" s="21">
        <v>0</v>
      </c>
      <c r="J20" s="22"/>
      <c r="K20" s="11" t="s">
        <v>20</v>
      </c>
      <c r="L20" s="12"/>
      <c r="M20" s="23"/>
      <c r="N20" s="13"/>
    </row>
    <row r="21" spans="1:14">
      <c r="A21" s="2" t="s">
        <v>21</v>
      </c>
      <c r="B21" s="2"/>
      <c r="C21" s="2"/>
      <c r="D21" s="2"/>
      <c r="E21" s="2"/>
      <c r="F21" s="2"/>
      <c r="G21" s="2"/>
      <c r="H21" s="24">
        <f>H$3*I21</f>
        <v>0</v>
      </c>
      <c r="I21" s="21">
        <v>0</v>
      </c>
      <c r="J21" s="25"/>
      <c r="K21" s="14">
        <v>0</v>
      </c>
      <c r="L21" s="15">
        <v>18550</v>
      </c>
      <c r="M21" s="16">
        <v>0.1</v>
      </c>
      <c r="N21" s="17">
        <f>M21*L21</f>
        <v>1855</v>
      </c>
    </row>
    <row r="22" spans="1:14">
      <c r="A22" s="2" t="s">
        <v>22</v>
      </c>
      <c r="B22" s="2"/>
      <c r="C22" s="2"/>
      <c r="D22" s="2"/>
      <c r="E22" s="2"/>
      <c r="F22" s="2"/>
      <c r="G22" s="2"/>
      <c r="H22" s="26">
        <f>H$3*I22</f>
        <v>0</v>
      </c>
      <c r="I22" s="21">
        <v>0</v>
      </c>
      <c r="J22" s="2"/>
      <c r="K22" s="14">
        <f t="shared" ref="K22:K27" si="1">L21</f>
        <v>18550</v>
      </c>
      <c r="L22" s="15">
        <v>75300</v>
      </c>
      <c r="M22" s="16">
        <v>0.15</v>
      </c>
      <c r="N22" s="17">
        <f>N21+M22*(L22-K22)</f>
        <v>10367.5</v>
      </c>
    </row>
    <row r="23" spans="1:14">
      <c r="A23" s="2"/>
      <c r="B23" s="2"/>
      <c r="C23" s="2"/>
      <c r="D23" s="2"/>
      <c r="E23" s="2"/>
      <c r="F23" s="2"/>
      <c r="G23" s="2"/>
      <c r="H23" s="6"/>
      <c r="I23" s="19"/>
      <c r="J23" s="2"/>
      <c r="K23" s="14">
        <f t="shared" si="1"/>
        <v>75300</v>
      </c>
      <c r="L23" s="15">
        <v>151900</v>
      </c>
      <c r="M23" s="16">
        <v>0.25</v>
      </c>
      <c r="N23" s="17">
        <f>N22+M23*(L23-K23)</f>
        <v>29517.5</v>
      </c>
    </row>
    <row r="24" spans="1:14">
      <c r="A24" s="2"/>
      <c r="B24" s="2"/>
      <c r="C24" s="2"/>
      <c r="D24" s="2"/>
      <c r="E24" s="2"/>
      <c r="F24" s="2"/>
      <c r="G24" s="2"/>
      <c r="H24" s="6"/>
      <c r="I24" s="19"/>
      <c r="J24" s="2"/>
      <c r="K24" s="14">
        <f t="shared" si="1"/>
        <v>151900</v>
      </c>
      <c r="L24" s="15">
        <v>231450</v>
      </c>
      <c r="M24" s="16">
        <v>0.28000000000000003</v>
      </c>
      <c r="N24" s="17">
        <f>N23+M24*(L24-K24)</f>
        <v>51791.5</v>
      </c>
    </row>
    <row r="25" spans="1:14">
      <c r="A25" s="2" t="s">
        <v>23</v>
      </c>
      <c r="B25" s="2"/>
      <c r="C25" s="2"/>
      <c r="D25" s="2"/>
      <c r="E25" s="2"/>
      <c r="F25" s="2"/>
      <c r="G25" s="2"/>
      <c r="H25" s="6"/>
      <c r="I25" s="19"/>
      <c r="J25" s="2"/>
      <c r="K25" s="14">
        <f t="shared" si="1"/>
        <v>231450</v>
      </c>
      <c r="L25" s="15">
        <v>413350</v>
      </c>
      <c r="M25" s="16">
        <v>0.33</v>
      </c>
      <c r="N25" s="17">
        <f>N24+M25*(L25-K25)</f>
        <v>111818.5</v>
      </c>
    </row>
    <row r="26" spans="1:14">
      <c r="A26" s="2"/>
      <c r="B26" s="2"/>
      <c r="C26" s="2"/>
      <c r="D26" s="2"/>
      <c r="E26" s="2"/>
      <c r="F26" s="2"/>
      <c r="G26" s="2"/>
      <c r="H26" s="6"/>
      <c r="I26" s="19"/>
      <c r="J26" s="2"/>
      <c r="K26" s="14">
        <f t="shared" si="1"/>
        <v>413350</v>
      </c>
      <c r="L26" s="15">
        <v>466950</v>
      </c>
      <c r="M26" s="16">
        <v>0.35</v>
      </c>
      <c r="N26" s="17">
        <f>N25+M26*(L26-K26)</f>
        <v>130578.5</v>
      </c>
    </row>
    <row r="27" spans="1:14">
      <c r="A27" s="2" t="s">
        <v>24</v>
      </c>
      <c r="B27" s="2"/>
      <c r="C27" s="2"/>
      <c r="D27" s="2"/>
      <c r="E27" s="2"/>
      <c r="F27" s="2"/>
      <c r="G27" s="2"/>
      <c r="H27" s="4">
        <f>H3*I27</f>
        <v>6000</v>
      </c>
      <c r="I27" s="27">
        <v>0.1</v>
      </c>
      <c r="J27" s="2"/>
      <c r="K27" s="14">
        <f t="shared" si="1"/>
        <v>466950</v>
      </c>
      <c r="L27" s="15"/>
      <c r="M27" s="16">
        <v>0.39600000000000002</v>
      </c>
      <c r="N27" s="13"/>
    </row>
    <row r="28" spans="1:14">
      <c r="A28" s="2" t="s">
        <v>25</v>
      </c>
      <c r="B28" s="2"/>
      <c r="C28" s="2"/>
      <c r="D28" s="2"/>
      <c r="E28" s="2"/>
      <c r="F28" s="2"/>
      <c r="G28" s="2"/>
      <c r="H28" s="28">
        <v>0</v>
      </c>
      <c r="I28" s="2"/>
      <c r="J28" s="2"/>
      <c r="K28" s="11"/>
      <c r="L28" s="12"/>
      <c r="M28" s="12"/>
      <c r="N28" s="13"/>
    </row>
    <row r="29" spans="1:14">
      <c r="A29" s="2" t="s">
        <v>26</v>
      </c>
      <c r="B29" s="2"/>
      <c r="C29" s="2"/>
      <c r="D29" s="2"/>
      <c r="E29" s="2"/>
      <c r="F29" s="2"/>
      <c r="G29" s="2"/>
      <c r="H29" s="29">
        <v>500</v>
      </c>
      <c r="I29" s="2"/>
      <c r="J29" s="2"/>
      <c r="K29" s="11" t="s">
        <v>27</v>
      </c>
      <c r="L29" s="12"/>
      <c r="M29" s="12"/>
      <c r="N29" s="13"/>
    </row>
    <row r="30" spans="1:14">
      <c r="A30" s="2" t="s">
        <v>28</v>
      </c>
      <c r="B30" s="2"/>
      <c r="C30" s="2"/>
      <c r="D30" s="2"/>
      <c r="E30" s="2"/>
      <c r="F30" s="2"/>
      <c r="G30" s="2"/>
      <c r="H30" s="6" t="s">
        <v>29</v>
      </c>
      <c r="I30" s="2"/>
      <c r="J30" s="2"/>
      <c r="K30" s="11"/>
      <c r="L30" s="12"/>
      <c r="M30" s="12"/>
      <c r="N30" s="13"/>
    </row>
    <row r="31" spans="1:14">
      <c r="A31" s="2" t="s">
        <v>30</v>
      </c>
      <c r="B31" s="2"/>
      <c r="C31" s="2"/>
      <c r="D31" s="2"/>
      <c r="E31" s="2"/>
      <c r="F31" s="2"/>
      <c r="G31" s="2"/>
      <c r="H31" s="30">
        <v>0</v>
      </c>
      <c r="I31" s="19"/>
      <c r="J31" s="2"/>
      <c r="K31" s="11" t="s">
        <v>11</v>
      </c>
      <c r="L31" s="15">
        <v>6300</v>
      </c>
      <c r="M31" s="12"/>
      <c r="N31" s="13"/>
    </row>
    <row r="32" spans="1:14">
      <c r="A32" s="2" t="s">
        <v>31</v>
      </c>
      <c r="B32" s="2"/>
      <c r="C32" s="2"/>
      <c r="D32" s="2"/>
      <c r="E32" s="2"/>
      <c r="F32" s="2"/>
      <c r="G32" s="2"/>
      <c r="H32" s="6"/>
      <c r="I32" s="19"/>
      <c r="J32" s="2"/>
      <c r="K32" s="11" t="s">
        <v>32</v>
      </c>
      <c r="L32" s="15">
        <v>12600</v>
      </c>
      <c r="M32" s="12"/>
      <c r="N32" s="13"/>
    </row>
    <row r="33" spans="1:14">
      <c r="A33" s="2" t="s">
        <v>33</v>
      </c>
      <c r="B33" s="2"/>
      <c r="C33" s="2"/>
      <c r="D33" s="2"/>
      <c r="E33" s="2"/>
      <c r="F33" s="31">
        <v>100</v>
      </c>
      <c r="G33" s="2" t="s">
        <v>34</v>
      </c>
      <c r="H33" s="32">
        <f>F33*52</f>
        <v>5200</v>
      </c>
      <c r="I33" s="19"/>
      <c r="J33" s="2"/>
      <c r="K33" s="11" t="s">
        <v>35</v>
      </c>
      <c r="L33" s="15">
        <v>4050</v>
      </c>
      <c r="M33" s="12"/>
      <c r="N33" s="13"/>
    </row>
    <row r="34" spans="1:14">
      <c r="A34" s="2" t="s">
        <v>36</v>
      </c>
      <c r="B34" s="2"/>
      <c r="C34" s="2"/>
      <c r="D34" s="2"/>
      <c r="E34" s="2"/>
      <c r="F34" s="2"/>
      <c r="G34" s="2"/>
      <c r="H34" s="6"/>
      <c r="I34" s="2"/>
      <c r="J34" s="2"/>
      <c r="K34" s="33"/>
      <c r="L34" s="34"/>
      <c r="M34" s="34"/>
      <c r="N34" s="35"/>
    </row>
    <row r="35" spans="1:14">
      <c r="A35" s="2" t="s">
        <v>37</v>
      </c>
      <c r="B35" s="31">
        <v>15000</v>
      </c>
      <c r="C35" s="2" t="s">
        <v>224</v>
      </c>
      <c r="D35" s="2">
        <f>B35/28</f>
        <v>535.71428571428567</v>
      </c>
      <c r="E35" s="2" t="s">
        <v>38</v>
      </c>
      <c r="F35" s="36">
        <v>3</v>
      </c>
      <c r="G35" s="2" t="s">
        <v>39</v>
      </c>
      <c r="H35" s="37">
        <f>D35*F35</f>
        <v>1607.1428571428569</v>
      </c>
      <c r="I35" s="19"/>
      <c r="J35" s="2"/>
      <c r="K35" s="11" t="s">
        <v>40</v>
      </c>
      <c r="L35" s="34"/>
      <c r="M35" s="34"/>
      <c r="N35" s="35"/>
    </row>
    <row r="36" spans="1:14">
      <c r="A36" s="2" t="s">
        <v>41</v>
      </c>
      <c r="B36" s="2"/>
      <c r="C36" s="2"/>
      <c r="D36" s="2"/>
      <c r="E36" s="2"/>
      <c r="F36" s="2"/>
      <c r="G36" s="2"/>
      <c r="H36" s="38">
        <v>200</v>
      </c>
      <c r="I36" s="19"/>
      <c r="J36" s="2"/>
      <c r="K36" s="39">
        <v>6251</v>
      </c>
      <c r="L36" s="40">
        <v>1071</v>
      </c>
      <c r="M36" s="41">
        <f>L36/K36</f>
        <v>0.17133258678611421</v>
      </c>
      <c r="N36" s="42"/>
    </row>
    <row r="37" spans="1:14">
      <c r="A37" s="2" t="s">
        <v>42</v>
      </c>
      <c r="B37" s="2"/>
      <c r="C37" s="2"/>
      <c r="D37" s="2"/>
      <c r="E37" s="2"/>
      <c r="F37" s="2"/>
      <c r="G37" s="2"/>
      <c r="H37" s="43">
        <v>1200</v>
      </c>
      <c r="I37" s="19"/>
      <c r="J37" s="2"/>
    </row>
    <row r="38" spans="1:14">
      <c r="A38" s="2" t="s">
        <v>43</v>
      </c>
      <c r="B38" s="2"/>
      <c r="C38" s="44">
        <v>15000</v>
      </c>
      <c r="D38" s="2" t="s">
        <v>44</v>
      </c>
      <c r="E38" s="2"/>
      <c r="F38" s="31">
        <v>10</v>
      </c>
      <c r="G38" s="2" t="s">
        <v>45</v>
      </c>
      <c r="H38" s="45">
        <f>C38/F38</f>
        <v>1500</v>
      </c>
      <c r="I38" s="19"/>
      <c r="J38" s="2"/>
    </row>
    <row r="39" spans="1:14">
      <c r="A39" s="2" t="s">
        <v>46</v>
      </c>
      <c r="B39" s="2"/>
      <c r="C39" s="2"/>
      <c r="D39" s="2"/>
      <c r="E39" s="2"/>
      <c r="F39" s="46"/>
      <c r="G39" s="46"/>
      <c r="H39" s="46"/>
      <c r="I39" s="19"/>
      <c r="J39" s="2"/>
    </row>
    <row r="40" spans="1:14">
      <c r="A40" s="2" t="s">
        <v>47</v>
      </c>
      <c r="B40" s="2"/>
      <c r="C40" s="2"/>
      <c r="D40" s="2"/>
      <c r="E40" s="2"/>
      <c r="F40" s="31">
        <v>500</v>
      </c>
      <c r="G40" s="2" t="s">
        <v>48</v>
      </c>
      <c r="H40" s="47">
        <f>F40*12</f>
        <v>6000</v>
      </c>
      <c r="I40" s="19"/>
      <c r="J40" s="2"/>
    </row>
    <row r="41" spans="1:14">
      <c r="A41" s="2" t="s">
        <v>49</v>
      </c>
      <c r="B41" s="2"/>
      <c r="C41" s="2"/>
      <c r="D41" s="2"/>
      <c r="E41" s="2"/>
      <c r="F41" s="46"/>
      <c r="G41" s="2"/>
      <c r="H41" s="48">
        <v>250</v>
      </c>
      <c r="I41" s="19"/>
      <c r="J41" s="2"/>
    </row>
    <row r="42" spans="1:14">
      <c r="A42" s="2" t="s">
        <v>50</v>
      </c>
      <c r="B42" s="2"/>
      <c r="C42" s="2"/>
      <c r="D42" s="2"/>
      <c r="E42" s="2"/>
      <c r="F42" s="2"/>
      <c r="G42" s="2"/>
      <c r="H42" s="49">
        <v>0</v>
      </c>
      <c r="I42" s="19"/>
      <c r="J42" s="2"/>
    </row>
    <row r="43" spans="1:14">
      <c r="A43" s="2" t="s">
        <v>51</v>
      </c>
      <c r="B43" s="2"/>
      <c r="C43" s="2"/>
      <c r="D43" s="2"/>
      <c r="E43" s="2"/>
      <c r="F43" s="2"/>
      <c r="G43" s="2"/>
      <c r="H43" s="50">
        <v>500</v>
      </c>
      <c r="I43" s="19"/>
      <c r="J43" s="2"/>
    </row>
    <row r="44" spans="1:14">
      <c r="A44" s="2" t="s">
        <v>52</v>
      </c>
      <c r="B44" s="2"/>
      <c r="C44" s="2"/>
      <c r="D44" s="2"/>
      <c r="E44" s="2"/>
      <c r="F44" s="2"/>
      <c r="G44" s="2"/>
      <c r="H44" s="6"/>
      <c r="I44" s="19"/>
      <c r="J44" s="2"/>
    </row>
    <row r="45" spans="1:14">
      <c r="A45" s="2" t="s">
        <v>53</v>
      </c>
      <c r="B45" s="2"/>
      <c r="C45" s="2"/>
      <c r="D45" s="2"/>
      <c r="E45" s="2"/>
      <c r="F45" s="31">
        <v>30</v>
      </c>
      <c r="G45" s="2" t="s">
        <v>48</v>
      </c>
      <c r="H45" s="47">
        <f>F45*12</f>
        <v>360</v>
      </c>
      <c r="I45" s="19"/>
      <c r="J45" s="2"/>
    </row>
    <row r="46" spans="1:14">
      <c r="A46" s="2" t="s">
        <v>54</v>
      </c>
      <c r="B46" s="2"/>
      <c r="C46" s="2"/>
      <c r="D46" s="2"/>
      <c r="E46" s="2"/>
      <c r="F46" s="31">
        <v>0</v>
      </c>
      <c r="G46" s="2" t="s">
        <v>48</v>
      </c>
      <c r="H46" s="47">
        <f>F46*12</f>
        <v>0</v>
      </c>
      <c r="I46" s="19"/>
      <c r="J46" s="2"/>
    </row>
    <row r="47" spans="1:14">
      <c r="A47" s="2" t="s">
        <v>55</v>
      </c>
      <c r="B47" s="2"/>
      <c r="C47" s="2"/>
      <c r="D47" s="2"/>
      <c r="E47" s="2"/>
      <c r="F47" s="31">
        <v>250</v>
      </c>
      <c r="G47" s="2" t="s">
        <v>48</v>
      </c>
      <c r="H47" s="47">
        <f>F47*12</f>
        <v>3000</v>
      </c>
      <c r="I47" s="19"/>
      <c r="J47" s="2"/>
    </row>
    <row r="48" spans="1:14">
      <c r="A48" s="2" t="s">
        <v>56</v>
      </c>
      <c r="B48" s="2"/>
      <c r="C48" s="2"/>
      <c r="D48" s="2"/>
      <c r="E48" s="2"/>
      <c r="F48" s="31">
        <v>50</v>
      </c>
      <c r="G48" s="2" t="s">
        <v>48</v>
      </c>
      <c r="H48" s="47">
        <f>F48*12</f>
        <v>600</v>
      </c>
      <c r="I48" s="19"/>
      <c r="J48" s="2"/>
    </row>
    <row r="49" spans="1:10">
      <c r="A49" s="2" t="s">
        <v>57</v>
      </c>
      <c r="B49" s="2"/>
      <c r="C49" s="2"/>
      <c r="D49" s="2"/>
      <c r="E49" s="2"/>
      <c r="F49" s="31">
        <v>75</v>
      </c>
      <c r="G49" s="2" t="s">
        <v>48</v>
      </c>
      <c r="H49" s="47">
        <f>F49*12</f>
        <v>900</v>
      </c>
      <c r="I49" s="19"/>
      <c r="J49" s="2"/>
    </row>
    <row r="50" spans="1:10">
      <c r="A50" s="2" t="s">
        <v>58</v>
      </c>
      <c r="B50" s="2"/>
      <c r="C50" s="2"/>
      <c r="D50" s="2"/>
      <c r="E50" s="2"/>
      <c r="F50" s="2"/>
      <c r="G50" s="2"/>
      <c r="H50" s="30">
        <v>1000</v>
      </c>
      <c r="I50" s="19"/>
      <c r="J50" s="2"/>
    </row>
    <row r="51" spans="1:10">
      <c r="A51" s="2" t="s">
        <v>59</v>
      </c>
      <c r="B51" s="2"/>
      <c r="C51" s="2"/>
      <c r="D51" s="2"/>
      <c r="E51" s="2"/>
      <c r="F51" s="2"/>
      <c r="G51" s="2"/>
      <c r="H51" s="51">
        <v>2500</v>
      </c>
      <c r="I51" s="19"/>
      <c r="J51" s="2"/>
    </row>
    <row r="52" spans="1:10">
      <c r="A52" s="2" t="s">
        <v>60</v>
      </c>
      <c r="B52" s="2"/>
      <c r="C52" s="2"/>
      <c r="D52" s="2"/>
      <c r="E52" s="2"/>
      <c r="F52" s="2"/>
      <c r="G52" s="2"/>
      <c r="H52" s="51">
        <v>0</v>
      </c>
      <c r="I52" s="19"/>
      <c r="J52" s="2"/>
    </row>
    <row r="53" spans="1:10">
      <c r="A53" s="2" t="s">
        <v>61</v>
      </c>
      <c r="B53" s="2"/>
      <c r="C53" s="2"/>
      <c r="D53" s="2"/>
      <c r="E53" s="2"/>
      <c r="F53" s="2"/>
      <c r="G53" s="2"/>
      <c r="H53" s="19"/>
      <c r="I53" s="2"/>
      <c r="J53" s="2"/>
    </row>
    <row r="54" spans="1:10">
      <c r="A54" s="2" t="s">
        <v>62</v>
      </c>
      <c r="B54" s="2"/>
      <c r="C54" s="52">
        <v>0</v>
      </c>
      <c r="D54" s="2"/>
      <c r="E54" s="53">
        <v>4.4999999999999998E-2</v>
      </c>
      <c r="F54" s="31">
        <v>10</v>
      </c>
      <c r="G54" s="2" t="s">
        <v>63</v>
      </c>
      <c r="H54" s="54">
        <f>-PPMT(-E54,1,F54,C54)</f>
        <v>0</v>
      </c>
      <c r="I54" s="19"/>
      <c r="J54" s="2"/>
    </row>
    <row r="55" spans="1:10">
      <c r="A55" s="2" t="s">
        <v>64</v>
      </c>
      <c r="B55" s="2"/>
      <c r="C55" s="2"/>
      <c r="D55" s="2"/>
      <c r="E55" s="2"/>
      <c r="F55" s="2"/>
      <c r="G55" s="2"/>
      <c r="H55" s="30">
        <v>0</v>
      </c>
      <c r="I55" s="19" t="s">
        <v>234</v>
      </c>
      <c r="J55" s="2"/>
    </row>
    <row r="56" spans="1:10">
      <c r="A56" s="2" t="s">
        <v>65</v>
      </c>
      <c r="B56" s="2"/>
      <c r="C56" s="2"/>
      <c r="D56" s="2"/>
      <c r="E56" s="2"/>
      <c r="F56" s="2"/>
      <c r="G56" s="2"/>
      <c r="H56" s="55">
        <v>250</v>
      </c>
      <c r="I56" s="19"/>
      <c r="J56" s="2"/>
    </row>
    <row r="57" spans="1:10">
      <c r="A57" s="2" t="s">
        <v>66</v>
      </c>
      <c r="B57" s="2"/>
      <c r="C57" s="2"/>
      <c r="D57" s="2"/>
      <c r="E57" s="2"/>
      <c r="F57" s="2"/>
      <c r="G57" s="2"/>
      <c r="H57" s="56">
        <v>0</v>
      </c>
      <c r="I57" s="19"/>
      <c r="J57" s="2"/>
    </row>
    <row r="58" spans="1:10">
      <c r="A58" s="2" t="s">
        <v>235</v>
      </c>
      <c r="B58" s="2"/>
      <c r="C58" s="2"/>
      <c r="D58" s="2"/>
      <c r="E58" s="2"/>
      <c r="F58" s="2"/>
      <c r="G58" s="2"/>
      <c r="H58" s="57">
        <f>H3*I58</f>
        <v>6000</v>
      </c>
      <c r="I58" s="53">
        <v>0.1</v>
      </c>
      <c r="J58" s="2"/>
    </row>
    <row r="59" spans="1:10">
      <c r="A59" s="2" t="s">
        <v>67</v>
      </c>
      <c r="B59" s="2"/>
      <c r="C59" s="2"/>
      <c r="D59" s="2"/>
      <c r="E59" s="2"/>
      <c r="F59" s="2"/>
      <c r="G59" s="2"/>
      <c r="H59" s="30">
        <v>1000</v>
      </c>
      <c r="I59" s="19"/>
      <c r="J59" s="2"/>
    </row>
    <row r="60" spans="1:10">
      <c r="A60" s="2" t="s">
        <v>68</v>
      </c>
      <c r="B60" s="2"/>
      <c r="C60" s="2"/>
      <c r="D60" s="2"/>
      <c r="E60" s="2"/>
      <c r="F60" s="31">
        <v>30</v>
      </c>
      <c r="G60" s="2" t="s">
        <v>48</v>
      </c>
      <c r="H60" s="58">
        <f>F60*12</f>
        <v>360</v>
      </c>
      <c r="I60" s="19"/>
      <c r="J60" s="2"/>
    </row>
    <row r="61" spans="1:10">
      <c r="A61" s="2"/>
      <c r="B61" s="2"/>
      <c r="C61" s="2"/>
      <c r="D61" s="2"/>
      <c r="E61" s="2"/>
      <c r="F61" s="2"/>
      <c r="G61" s="2"/>
      <c r="H61" s="6"/>
      <c r="I61" s="2"/>
      <c r="J61" s="2"/>
    </row>
    <row r="62" spans="1:10">
      <c r="A62" s="2"/>
      <c r="B62" s="2"/>
      <c r="C62" s="2"/>
      <c r="D62" s="2"/>
      <c r="E62" s="2" t="s">
        <v>69</v>
      </c>
      <c r="F62" s="2"/>
      <c r="G62" s="2"/>
      <c r="H62" s="59">
        <f>(H3+H7-SUM(H13:H60))</f>
        <v>-3389.8686071428529</v>
      </c>
      <c r="I62" s="2">
        <v>6000</v>
      </c>
      <c r="J62" s="2"/>
    </row>
    <row r="63" spans="1:10">
      <c r="A63" s="2"/>
      <c r="B63" s="2"/>
      <c r="C63" s="2"/>
      <c r="D63" s="2"/>
      <c r="E63" s="2"/>
      <c r="F63" s="2"/>
      <c r="G63" s="2"/>
      <c r="H63" s="2"/>
      <c r="I63" s="2"/>
      <c r="J63" s="2"/>
    </row>
  </sheetData>
  <dataValidations count="1">
    <dataValidation type="list" allowBlank="1" showInputMessage="1" showErrorMessage="1" sqref="H6" xr:uid="{00000000-0002-0000-0000-000000000000}">
      <formula1>"Yes,No"</formula1>
      <formula2>0</formula2>
    </dataValidation>
  </dataValidations>
  <printOptions gridLines="1"/>
  <pageMargins left="0.5" right="0.5" top="0.5" bottom="0.5" header="0.51180555555555496" footer="0.51180555555555496"/>
  <pageSetup firstPageNumber="0" orientation="portrait" horizontalDpi="300" verticalDpi="300"/>
  <drawing r:id="rId1"/>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1000000}">
          <x14:formula1>
            <xm:f>'Tax Table'!$Z$3:$Z$53</xm:f>
          </x14:formula1>
          <x14:formula2>
            <xm:f>0</xm:f>
          </x14:formula2>
          <xm:sqref>H5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DBB22-53E0-8F47-AAFF-7643E00FA7D5}">
  <sheetPr codeName="Sheet2"/>
  <dimension ref="A1:T106"/>
  <sheetViews>
    <sheetView tabSelected="1" zoomScale="60" zoomScaleNormal="190" workbookViewId="0">
      <selection sqref="A1:C2"/>
    </sheetView>
  </sheetViews>
  <sheetFormatPr baseColWidth="10" defaultRowHeight="16"/>
  <cols>
    <col min="1" max="1" width="8.85546875" customWidth="1"/>
    <col min="2" max="2" width="7.140625" customWidth="1"/>
    <col min="3" max="3" width="15.85546875" customWidth="1"/>
    <col min="4" max="4" width="24.7109375" bestFit="1" customWidth="1"/>
    <col min="5" max="5" width="15" customWidth="1"/>
    <col min="6" max="6" width="22.5703125" bestFit="1" customWidth="1"/>
    <col min="7" max="7" width="15.85546875" bestFit="1" customWidth="1"/>
    <col min="8" max="8" width="41.28515625" bestFit="1" customWidth="1"/>
    <col min="9" max="9" width="20" bestFit="1" customWidth="1"/>
    <col min="10" max="10" width="28.5703125" bestFit="1" customWidth="1"/>
    <col min="11" max="11" width="34.28515625" bestFit="1" customWidth="1"/>
    <col min="12" max="12" width="31" bestFit="1" customWidth="1"/>
    <col min="13" max="13" width="29.7109375" bestFit="1" customWidth="1"/>
    <col min="14" max="14" width="33.140625" bestFit="1" customWidth="1"/>
    <col min="15" max="15" width="23" customWidth="1"/>
    <col min="16" max="16" width="4.140625" customWidth="1"/>
    <col min="17" max="17" width="41.140625" bestFit="1" customWidth="1"/>
  </cols>
  <sheetData>
    <row r="1" spans="1:20" ht="16" customHeight="1">
      <c r="A1" s="170" t="s">
        <v>244</v>
      </c>
      <c r="B1" s="170"/>
      <c r="C1" s="171"/>
      <c r="D1" s="115" t="s">
        <v>257</v>
      </c>
      <c r="E1" s="123">
        <v>50000</v>
      </c>
      <c r="F1" s="111" t="s">
        <v>283</v>
      </c>
      <c r="G1" s="126">
        <v>0.09</v>
      </c>
      <c r="H1" s="111" t="s">
        <v>284</v>
      </c>
      <c r="I1" s="126">
        <v>0.1</v>
      </c>
      <c r="J1" s="111" t="s">
        <v>243</v>
      </c>
      <c r="K1" s="128">
        <v>22</v>
      </c>
      <c r="L1" s="111" t="s">
        <v>259</v>
      </c>
      <c r="M1" s="136">
        <v>65</v>
      </c>
      <c r="Q1" s="137"/>
    </row>
    <row r="2" spans="1:20" ht="16" customHeight="1">
      <c r="A2" s="170"/>
      <c r="B2" s="170"/>
      <c r="C2" s="172"/>
      <c r="D2" s="119" t="s">
        <v>251</v>
      </c>
      <c r="E2" s="124">
        <v>0.1</v>
      </c>
      <c r="F2" s="120" t="s">
        <v>252</v>
      </c>
      <c r="G2" s="124">
        <v>0.04</v>
      </c>
      <c r="H2" s="121" t="s">
        <v>285</v>
      </c>
      <c r="I2" s="124">
        <v>0.05</v>
      </c>
      <c r="J2" s="120" t="s">
        <v>233</v>
      </c>
      <c r="K2" s="131">
        <v>2019</v>
      </c>
      <c r="L2" s="120" t="s">
        <v>256</v>
      </c>
      <c r="M2" s="132">
        <v>95</v>
      </c>
      <c r="Q2" s="137"/>
    </row>
    <row r="3" spans="1:20">
      <c r="A3" s="115" t="s">
        <v>248</v>
      </c>
      <c r="C3" s="123">
        <v>1000</v>
      </c>
      <c r="D3" s="120" t="s">
        <v>250</v>
      </c>
      <c r="E3" s="124">
        <v>0.2</v>
      </c>
      <c r="F3" s="120" t="s">
        <v>254</v>
      </c>
      <c r="G3" s="124">
        <v>5.0000000000000001E-3</v>
      </c>
      <c r="H3" s="121" t="s">
        <v>286</v>
      </c>
      <c r="I3" s="124">
        <v>0.1</v>
      </c>
      <c r="J3" s="120" t="s">
        <v>270</v>
      </c>
      <c r="K3" s="125">
        <v>0.05</v>
      </c>
      <c r="L3" s="120" t="s">
        <v>241</v>
      </c>
      <c r="M3" s="129">
        <v>5000000</v>
      </c>
      <c r="Q3" s="137"/>
    </row>
    <row r="4" spans="1:20" ht="24">
      <c r="A4" s="116" t="s">
        <v>249</v>
      </c>
      <c r="C4" s="127">
        <v>13000</v>
      </c>
      <c r="D4" s="112" t="s">
        <v>247</v>
      </c>
      <c r="E4" s="125">
        <v>0.05</v>
      </c>
      <c r="F4" s="112" t="s">
        <v>253</v>
      </c>
      <c r="G4" s="125">
        <v>3.5000000000000003E-2</v>
      </c>
      <c r="H4" s="163" t="s">
        <v>272</v>
      </c>
      <c r="I4" s="164">
        <v>0.05</v>
      </c>
      <c r="J4" s="173" t="s">
        <v>271</v>
      </c>
      <c r="K4" s="174"/>
      <c r="L4" s="175"/>
      <c r="M4" s="173" t="str">
        <f>SUBSTITUTE("{1}% Rule Withdrawl Rate","{1}",$K$3*100)</f>
        <v>5% Rule Withdrawl Rate</v>
      </c>
      <c r="N4" s="176"/>
      <c r="O4" s="175"/>
      <c r="P4" s="156"/>
      <c r="Q4" s="155" t="s">
        <v>266</v>
      </c>
      <c r="T4" t="s">
        <v>287</v>
      </c>
    </row>
    <row r="5" spans="1:20">
      <c r="A5" s="114" t="s">
        <v>232</v>
      </c>
      <c r="B5" s="114" t="s">
        <v>231</v>
      </c>
      <c r="C5" s="113" t="s">
        <v>228</v>
      </c>
      <c r="D5" s="113" t="s">
        <v>242</v>
      </c>
      <c r="E5" s="113" t="s">
        <v>230</v>
      </c>
      <c r="F5" s="113" t="s">
        <v>229</v>
      </c>
      <c r="G5" s="113" t="s">
        <v>239</v>
      </c>
      <c r="H5" s="113" t="s">
        <v>245</v>
      </c>
      <c r="I5" s="116" t="s">
        <v>238</v>
      </c>
      <c r="J5" s="138" t="s">
        <v>265</v>
      </c>
      <c r="K5" s="110" t="s">
        <v>268</v>
      </c>
      <c r="L5" s="122" t="s">
        <v>264</v>
      </c>
      <c r="M5" s="138" t="s">
        <v>265</v>
      </c>
      <c r="N5" s="138" t="s">
        <v>268</v>
      </c>
      <c r="O5" s="138" t="s">
        <v>246</v>
      </c>
      <c r="P5" s="157"/>
      <c r="Q5" s="114" t="s">
        <v>269</v>
      </c>
    </row>
    <row r="6" spans="1:20">
      <c r="A6" s="141">
        <f>K2</f>
        <v>2019</v>
      </c>
      <c r="B6" s="145">
        <f>K1</f>
        <v>22</v>
      </c>
      <c r="C6" s="142">
        <v>0</v>
      </c>
      <c r="D6" s="142">
        <f>C3</f>
        <v>1000</v>
      </c>
      <c r="E6" s="142">
        <f>D6</f>
        <v>1000</v>
      </c>
      <c r="F6" s="142">
        <f>C4</f>
        <v>13000</v>
      </c>
      <c r="G6" s="142">
        <f>F6</f>
        <v>13000</v>
      </c>
      <c r="H6" s="143" t="s">
        <v>260</v>
      </c>
      <c r="I6" s="142">
        <v>1</v>
      </c>
      <c r="J6" s="153">
        <f t="shared" ref="J6:J50" si="0">IF((OR(B6&lt;59, B6&gt;=$M$2)), 0,-1*PMT($I$4,($M$2-B6),G6,-$M$3)*(I6*(1-$G$4)^(($M$2-B6)/2)))</f>
        <v>0</v>
      </c>
      <c r="K6" s="146">
        <f>IF((OR(B6&lt;59, B6&gt;=$M$2)),0,-1*PMT($I$4,($M$2-B6),G6,-$M$3)*I6)</f>
        <v>0</v>
      </c>
      <c r="L6" s="117">
        <f>IF((OR(B6&lt;59, B6&gt;=$M$2)),0,-1*PMT($I$4,($M$2-B6),G6,-$M$3))</f>
        <v>0</v>
      </c>
      <c r="M6" s="161">
        <f>$K$3*G6*(I6*(1-$G$4)^(($M$2-B6)/2))</f>
        <v>177.07624081756433</v>
      </c>
      <c r="N6" s="146">
        <f>$K$3*G6*I6</f>
        <v>650</v>
      </c>
      <c r="O6" s="147">
        <f>$K$3*G6</f>
        <v>650</v>
      </c>
      <c r="P6" s="165"/>
      <c r="Q6" s="139">
        <f t="shared" ref="Q6:Q37" si="1">C6*I6</f>
        <v>0</v>
      </c>
      <c r="T6" s="169" t="e">
        <f ca="1">MVALUE(M1)</f>
        <v>#NAME?</v>
      </c>
    </row>
    <row r="7" spans="1:20">
      <c r="A7" s="144">
        <f>A6+1</f>
        <v>2020</v>
      </c>
      <c r="B7" s="145">
        <f>B6+1</f>
        <v>23</v>
      </c>
      <c r="C7" s="146">
        <f>E1</f>
        <v>50000</v>
      </c>
      <c r="D7" s="146">
        <f t="shared" ref="D7:D38" si="2">$E$2*C7+$I$1*C7/(1-$I$1)*$I$2</f>
        <v>5277.7777777777774</v>
      </c>
      <c r="E7" s="146">
        <f>D7+E6*(1+$G$3)</f>
        <v>6282.7777777777774</v>
      </c>
      <c r="F7" s="146">
        <f>IF($E$3&gt;=0.05, $E$3*C7+(C7/(1-$I$1)*$E$4)+$I$1*C7/(1-$I$1)*$I$3, $E$3*C7+(C7/(1-$I$1)*$E$3)+$I$1*C7/(1-$I$1)*$I$3)</f>
        <v>13333.333333333332</v>
      </c>
      <c r="G7" s="146">
        <f>G6*(1+G1)+F7</f>
        <v>27503.333333333336</v>
      </c>
      <c r="H7" s="145"/>
      <c r="I7" s="146">
        <f t="shared" ref="I7:I38" si="3">I6*(1-$G$4)</f>
        <v>0.96499999999999997</v>
      </c>
      <c r="J7" s="153">
        <f t="shared" si="0"/>
        <v>0</v>
      </c>
      <c r="K7" s="146">
        <f t="shared" ref="K7:K61" si="4">IF((OR(B7&lt;59, B7&gt;=$M$2)),0,-1*PMT($I$4,($M$2-B7),G7,-$M$3)*I7)</f>
        <v>0</v>
      </c>
      <c r="L7" s="117">
        <f t="shared" ref="L7:L61" si="5">IF((OR(B7&lt;59, B7&gt;=$M$2)),0,-1*PMT($I$4,($M$2-B7),G7,-$M$3))</f>
        <v>0</v>
      </c>
      <c r="M7" s="161">
        <f t="shared" ref="M7:M61" si="6">$K$3*G7*(I7*(1-$G$4)^(($M$2-B7)/2))</f>
        <v>368.01534735918153</v>
      </c>
      <c r="N7" s="146">
        <f t="shared" ref="N7:N61" si="7">$K$3*G7*I7</f>
        <v>1327.0358333333336</v>
      </c>
      <c r="O7" s="147">
        <f t="shared" ref="O7:O61" si="8">$K$3*G7</f>
        <v>1375.166666666667</v>
      </c>
      <c r="P7" s="165"/>
      <c r="Q7" s="139">
        <f t="shared" si="1"/>
        <v>48250</v>
      </c>
    </row>
    <row r="8" spans="1:20">
      <c r="A8" s="144">
        <f>A7+1</f>
        <v>2021</v>
      </c>
      <c r="B8" s="145">
        <f>B7+1</f>
        <v>24</v>
      </c>
      <c r="C8" s="146">
        <f>C7*(1+$G$2)</f>
        <v>52000</v>
      </c>
      <c r="D8" s="146">
        <f t="shared" si="2"/>
        <v>5488.8888888888887</v>
      </c>
      <c r="E8" s="146">
        <f>D8+E7*(1+$G$3)</f>
        <v>11803.080555555554</v>
      </c>
      <c r="F8" s="146">
        <f t="shared" ref="F8:F61" si="9">IF($E$3&gt;=0.05, $E$3*C8+(C8/(1-$I$1)*$E$4)+$I$1*C8/(1-$I$1)*$I$3, $E$3*C8+(C8/(1-$I$1)*$E$3)+$I$1*C8/(1-$I$1)*$I$3)</f>
        <v>13866.666666666666</v>
      </c>
      <c r="G8" s="146">
        <f t="shared" ref="G8:G39" si="10">G7*(1+$G$1)+F8</f>
        <v>43845.3</v>
      </c>
      <c r="H8" s="137"/>
      <c r="I8" s="146">
        <f t="shared" si="3"/>
        <v>0.93122499999999997</v>
      </c>
      <c r="J8" s="153">
        <f t="shared" si="0"/>
        <v>0</v>
      </c>
      <c r="K8" s="146">
        <f t="shared" si="4"/>
        <v>0</v>
      </c>
      <c r="L8" s="117">
        <f t="shared" si="5"/>
        <v>0</v>
      </c>
      <c r="M8" s="161">
        <f t="shared" si="6"/>
        <v>576.32478999732393</v>
      </c>
      <c r="N8" s="146">
        <f t="shared" si="7"/>
        <v>2041.4919746250002</v>
      </c>
      <c r="O8" s="147">
        <f t="shared" si="8"/>
        <v>2192.2650000000003</v>
      </c>
      <c r="P8" s="165"/>
      <c r="Q8" s="139">
        <f t="shared" si="1"/>
        <v>48423.7</v>
      </c>
    </row>
    <row r="9" spans="1:20">
      <c r="A9" s="144">
        <f t="shared" ref="A9:A59" si="11">A8+1</f>
        <v>2022</v>
      </c>
      <c r="B9" s="145">
        <f t="shared" ref="B9:B45" si="12">B8+1</f>
        <v>25</v>
      </c>
      <c r="C9" s="146">
        <f>C8*(1+$G$2)</f>
        <v>54080</v>
      </c>
      <c r="D9" s="146">
        <f t="shared" si="2"/>
        <v>5708.4444444444443</v>
      </c>
      <c r="E9" s="146">
        <f>D9+E8*(1+$G$3)-15000</f>
        <v>2570.5404027777768</v>
      </c>
      <c r="F9" s="146">
        <f t="shared" si="9"/>
        <v>14421.333333333334</v>
      </c>
      <c r="G9" s="146">
        <f t="shared" si="10"/>
        <v>62212.710333333343</v>
      </c>
      <c r="H9" s="133" t="s">
        <v>261</v>
      </c>
      <c r="I9" s="146">
        <f t="shared" si="3"/>
        <v>0.89863212499999989</v>
      </c>
      <c r="J9" s="153">
        <f t="shared" si="0"/>
        <v>0</v>
      </c>
      <c r="K9" s="146">
        <f t="shared" si="4"/>
        <v>0</v>
      </c>
      <c r="L9" s="117">
        <f t="shared" si="5"/>
        <v>0</v>
      </c>
      <c r="M9" s="161">
        <f t="shared" si="6"/>
        <v>803.31714009293739</v>
      </c>
      <c r="N9" s="146">
        <f t="shared" si="7"/>
        <v>2795.3170044426397</v>
      </c>
      <c r="O9" s="147">
        <f t="shared" si="8"/>
        <v>3110.6355166666672</v>
      </c>
      <c r="P9" s="165"/>
      <c r="Q9" s="139">
        <f t="shared" si="1"/>
        <v>48598.025319999993</v>
      </c>
    </row>
    <row r="10" spans="1:20">
      <c r="A10" s="144">
        <f t="shared" si="11"/>
        <v>2023</v>
      </c>
      <c r="B10" s="145">
        <f t="shared" si="12"/>
        <v>26</v>
      </c>
      <c r="C10" s="146">
        <f>C9*(1+$G$2)</f>
        <v>56243.200000000004</v>
      </c>
      <c r="D10" s="146">
        <f t="shared" si="2"/>
        <v>5936.782222222223</v>
      </c>
      <c r="E10" s="146">
        <f>D10+E9*(1+$G$3)-15000</f>
        <v>-6479.8246729861112</v>
      </c>
      <c r="F10" s="146">
        <f t="shared" si="9"/>
        <v>14998.186666666668</v>
      </c>
      <c r="G10" s="146">
        <f t="shared" si="10"/>
        <v>82810.040930000017</v>
      </c>
      <c r="H10" s="133" t="s">
        <v>262</v>
      </c>
      <c r="I10" s="146">
        <f t="shared" si="3"/>
        <v>0.86718000062499989</v>
      </c>
      <c r="J10" s="153">
        <f t="shared" si="0"/>
        <v>0</v>
      </c>
      <c r="K10" s="146">
        <f t="shared" si="4"/>
        <v>0</v>
      </c>
      <c r="L10" s="117">
        <f t="shared" si="5"/>
        <v>0</v>
      </c>
      <c r="M10" s="161">
        <f t="shared" si="6"/>
        <v>1050.3996475779441</v>
      </c>
      <c r="N10" s="146">
        <f t="shared" si="7"/>
        <v>3590.5605672716838</v>
      </c>
      <c r="O10" s="147">
        <f t="shared" si="8"/>
        <v>4140.5020465000007</v>
      </c>
      <c r="P10" s="165"/>
      <c r="Q10" s="139">
        <f t="shared" si="1"/>
        <v>48772.978211151996</v>
      </c>
    </row>
    <row r="11" spans="1:20">
      <c r="A11" s="144">
        <f t="shared" si="11"/>
        <v>2024</v>
      </c>
      <c r="B11" s="145">
        <f t="shared" si="12"/>
        <v>27</v>
      </c>
      <c r="C11" s="117">
        <f>C10*(1+$G$2+0.1)</f>
        <v>64117.248000000014</v>
      </c>
      <c r="D11" s="146">
        <f t="shared" si="2"/>
        <v>6767.9317333333356</v>
      </c>
      <c r="E11" s="146">
        <f t="shared" ref="E11:E42" si="13">D11+E10*(1+$G$3)</f>
        <v>255.707936982295</v>
      </c>
      <c r="F11" s="146">
        <f t="shared" si="9"/>
        <v>17097.932800000006</v>
      </c>
      <c r="G11" s="146">
        <f t="shared" si="10"/>
        <v>107360.87741370003</v>
      </c>
      <c r="H11" s="134" t="s">
        <v>263</v>
      </c>
      <c r="I11" s="146">
        <f t="shared" si="3"/>
        <v>0.83682870060312486</v>
      </c>
      <c r="J11" s="153">
        <f t="shared" si="0"/>
        <v>0</v>
      </c>
      <c r="K11" s="146">
        <f t="shared" si="4"/>
        <v>0</v>
      </c>
      <c r="L11" s="117">
        <f t="shared" si="5"/>
        <v>0</v>
      </c>
      <c r="M11" s="161">
        <f t="shared" si="6"/>
        <v>1337.7694590197775</v>
      </c>
      <c r="N11" s="146">
        <f t="shared" si="7"/>
        <v>4492.1331770858988</v>
      </c>
      <c r="O11" s="147">
        <f t="shared" si="8"/>
        <v>5368.0438706850018</v>
      </c>
      <c r="P11" s="165"/>
      <c r="Q11" s="139">
        <f t="shared" si="1"/>
        <v>53655.153330088317</v>
      </c>
    </row>
    <row r="12" spans="1:20">
      <c r="A12" s="144">
        <f t="shared" si="11"/>
        <v>2025</v>
      </c>
      <c r="B12" s="145">
        <f t="shared" si="12"/>
        <v>28</v>
      </c>
      <c r="C12" s="146">
        <f t="shared" ref="C12:C43" si="14">C11*(1+$G$2)</f>
        <v>66681.937920000011</v>
      </c>
      <c r="D12" s="146">
        <f t="shared" si="2"/>
        <v>7038.6490026666688</v>
      </c>
      <c r="E12" s="146">
        <f t="shared" si="13"/>
        <v>7295.6354793338751</v>
      </c>
      <c r="F12" s="146">
        <f t="shared" si="9"/>
        <v>17781.850112000007</v>
      </c>
      <c r="G12" s="146">
        <f t="shared" si="10"/>
        <v>134805.20649293304</v>
      </c>
      <c r="H12" s="145"/>
      <c r="I12" s="146">
        <f t="shared" si="3"/>
        <v>0.80753969608201548</v>
      </c>
      <c r="J12" s="153">
        <f t="shared" si="0"/>
        <v>0</v>
      </c>
      <c r="K12" s="146">
        <f t="shared" si="4"/>
        <v>0</v>
      </c>
      <c r="L12" s="117">
        <f t="shared" si="5"/>
        <v>0</v>
      </c>
      <c r="M12" s="161">
        <f t="shared" si="6"/>
        <v>1650.0820783151146</v>
      </c>
      <c r="N12" s="146">
        <f t="shared" si="7"/>
        <v>5443.0277740788242</v>
      </c>
      <c r="O12" s="147">
        <f t="shared" si="8"/>
        <v>6740.2603246466524</v>
      </c>
      <c r="P12" s="165"/>
      <c r="Q12" s="139">
        <f t="shared" si="1"/>
        <v>53848.311882076632</v>
      </c>
    </row>
    <row r="13" spans="1:20">
      <c r="A13" s="144">
        <f t="shared" si="11"/>
        <v>2026</v>
      </c>
      <c r="B13" s="145">
        <f t="shared" si="12"/>
        <v>29</v>
      </c>
      <c r="C13" s="146">
        <f t="shared" si="14"/>
        <v>69349.215436800019</v>
      </c>
      <c r="D13" s="146">
        <f t="shared" si="2"/>
        <v>7320.1949627733356</v>
      </c>
      <c r="E13" s="146">
        <f t="shared" si="13"/>
        <v>14652.30861950388</v>
      </c>
      <c r="F13" s="146">
        <f t="shared" si="9"/>
        <v>18493.124116480005</v>
      </c>
      <c r="G13" s="146">
        <f t="shared" si="10"/>
        <v>165430.79919377703</v>
      </c>
      <c r="H13" s="145"/>
      <c r="I13" s="146">
        <f t="shared" si="3"/>
        <v>0.77927580671914487</v>
      </c>
      <c r="J13" s="153">
        <f t="shared" si="0"/>
        <v>0</v>
      </c>
      <c r="K13" s="146">
        <f t="shared" si="4"/>
        <v>0</v>
      </c>
      <c r="L13" s="117">
        <f t="shared" si="5"/>
        <v>0</v>
      </c>
      <c r="M13" s="161">
        <f t="shared" si="6"/>
        <v>1989.202085632573</v>
      </c>
      <c r="N13" s="146">
        <f t="shared" si="7"/>
        <v>6445.8109748961724</v>
      </c>
      <c r="O13" s="147">
        <f t="shared" si="8"/>
        <v>8271.539959688851</v>
      </c>
      <c r="P13" s="165"/>
      <c r="Q13" s="139">
        <f t="shared" si="1"/>
        <v>54042.165804852113</v>
      </c>
    </row>
    <row r="14" spans="1:20">
      <c r="A14" s="144">
        <f t="shared" si="11"/>
        <v>2027</v>
      </c>
      <c r="B14" s="145">
        <f t="shared" si="12"/>
        <v>30</v>
      </c>
      <c r="C14" s="146">
        <f t="shared" si="14"/>
        <v>72123.184054272017</v>
      </c>
      <c r="D14" s="146">
        <f t="shared" si="2"/>
        <v>7613.0027612842696</v>
      </c>
      <c r="E14" s="146">
        <f t="shared" si="13"/>
        <v>22338.572923885666</v>
      </c>
      <c r="F14" s="146">
        <f t="shared" si="9"/>
        <v>19232.849081139208</v>
      </c>
      <c r="G14" s="146">
        <f t="shared" si="10"/>
        <v>199552.42020235618</v>
      </c>
      <c r="H14" s="145"/>
      <c r="I14" s="146">
        <f t="shared" si="3"/>
        <v>0.75200115348397478</v>
      </c>
      <c r="J14" s="153">
        <f t="shared" si="0"/>
        <v>0</v>
      </c>
      <c r="K14" s="146">
        <f t="shared" si="4"/>
        <v>0</v>
      </c>
      <c r="L14" s="117">
        <f t="shared" si="5"/>
        <v>0</v>
      </c>
      <c r="M14" s="161">
        <f t="shared" si="6"/>
        <v>2357.1281480723933</v>
      </c>
      <c r="N14" s="146">
        <f t="shared" si="7"/>
        <v>7503.1825086345343</v>
      </c>
      <c r="O14" s="147">
        <f t="shared" si="8"/>
        <v>9977.6210101178094</v>
      </c>
      <c r="P14" s="165"/>
      <c r="Q14" s="139">
        <f t="shared" si="1"/>
        <v>54236.717601749573</v>
      </c>
    </row>
    <row r="15" spans="1:20">
      <c r="A15" s="148">
        <f t="shared" si="11"/>
        <v>2028</v>
      </c>
      <c r="B15" s="118">
        <f t="shared" si="12"/>
        <v>31</v>
      </c>
      <c r="C15" s="117">
        <f t="shared" si="14"/>
        <v>75008.111416442902</v>
      </c>
      <c r="D15" s="117">
        <f t="shared" si="2"/>
        <v>7917.5228717356404</v>
      </c>
      <c r="E15" s="117">
        <f t="shared" si="13"/>
        <v>30367.788660240731</v>
      </c>
      <c r="F15" s="146">
        <f t="shared" si="9"/>
        <v>20002.163044384775</v>
      </c>
      <c r="G15" s="117">
        <f t="shared" si="10"/>
        <v>237514.30106495303</v>
      </c>
      <c r="H15" s="118"/>
      <c r="I15" s="117">
        <f t="shared" si="3"/>
        <v>0.72568111311203565</v>
      </c>
      <c r="J15" s="153">
        <f t="shared" si="0"/>
        <v>0</v>
      </c>
      <c r="K15" s="146">
        <f t="shared" si="4"/>
        <v>0</v>
      </c>
      <c r="L15" s="117">
        <f t="shared" si="5"/>
        <v>0</v>
      </c>
      <c r="M15" s="161">
        <f t="shared" si="6"/>
        <v>2756.0025537040938</v>
      </c>
      <c r="N15" s="146">
        <f t="shared" si="7"/>
        <v>8617.9821188421138</v>
      </c>
      <c r="O15" s="147">
        <f t="shared" si="8"/>
        <v>11875.715053247652</v>
      </c>
      <c r="P15" s="165"/>
      <c r="Q15" s="139">
        <f t="shared" si="1"/>
        <v>54431.969785115871</v>
      </c>
    </row>
    <row r="16" spans="1:20">
      <c r="A16" s="148">
        <f t="shared" si="11"/>
        <v>2029</v>
      </c>
      <c r="B16" s="118">
        <f t="shared" si="12"/>
        <v>32</v>
      </c>
      <c r="C16" s="117">
        <f t="shared" si="14"/>
        <v>78008.435873100621</v>
      </c>
      <c r="D16" s="117">
        <f t="shared" si="2"/>
        <v>8234.2237866050655</v>
      </c>
      <c r="E16" s="117">
        <f t="shared" si="13"/>
        <v>38753.851390147</v>
      </c>
      <c r="F16" s="146">
        <f t="shared" si="9"/>
        <v>20802.249566160164</v>
      </c>
      <c r="G16" s="117">
        <f t="shared" si="10"/>
        <v>279692.83772695897</v>
      </c>
      <c r="H16" s="118"/>
      <c r="I16" s="117">
        <f t="shared" si="3"/>
        <v>0.70028227415311439</v>
      </c>
      <c r="J16" s="153">
        <f t="shared" si="0"/>
        <v>0</v>
      </c>
      <c r="K16" s="146">
        <f t="shared" si="4"/>
        <v>0</v>
      </c>
      <c r="L16" s="117">
        <f t="shared" si="5"/>
        <v>0</v>
      </c>
      <c r="M16" s="161">
        <f t="shared" si="6"/>
        <v>3188.1214211965312</v>
      </c>
      <c r="N16" s="146">
        <f t="shared" si="7"/>
        <v>9793.19682338864</v>
      </c>
      <c r="O16" s="147">
        <f t="shared" si="8"/>
        <v>13984.641886347948</v>
      </c>
      <c r="P16" s="165"/>
      <c r="Q16" s="139">
        <f t="shared" si="1"/>
        <v>54627.924876342295</v>
      </c>
    </row>
    <row r="17" spans="1:20">
      <c r="A17" s="148">
        <f t="shared" si="11"/>
        <v>2030</v>
      </c>
      <c r="B17" s="118">
        <f t="shared" si="12"/>
        <v>33</v>
      </c>
      <c r="C17" s="117">
        <f t="shared" si="14"/>
        <v>81128.773308024654</v>
      </c>
      <c r="D17" s="117">
        <f t="shared" si="2"/>
        <v>8563.5927380692701</v>
      </c>
      <c r="E17" s="117">
        <f t="shared" si="13"/>
        <v>47511.213385167008</v>
      </c>
      <c r="F17" s="146">
        <f t="shared" si="9"/>
        <v>21634.339548806576</v>
      </c>
      <c r="G17" s="117">
        <f t="shared" si="10"/>
        <v>326499.5326711919</v>
      </c>
      <c r="H17" s="118"/>
      <c r="I17" s="117">
        <f t="shared" si="3"/>
        <v>0.6757723945577554</v>
      </c>
      <c r="J17" s="153">
        <f t="shared" si="0"/>
        <v>0</v>
      </c>
      <c r="K17" s="146">
        <f t="shared" si="4"/>
        <v>0</v>
      </c>
      <c r="L17" s="117">
        <f t="shared" si="5"/>
        <v>0</v>
      </c>
      <c r="M17" s="161">
        <f t="shared" si="6"/>
        <v>3655.9456328638425</v>
      </c>
      <c r="N17" s="146">
        <f t="shared" si="7"/>
        <v>11031.968550759973</v>
      </c>
      <c r="O17" s="147">
        <f t="shared" si="8"/>
        <v>16324.976633559596</v>
      </c>
      <c r="P17" s="165"/>
      <c r="Q17" s="139">
        <f t="shared" si="1"/>
        <v>54824.585405897131</v>
      </c>
      <c r="R17" s="158"/>
      <c r="S17" s="159"/>
      <c r="T17" s="160"/>
    </row>
    <row r="18" spans="1:20">
      <c r="A18" s="148">
        <f t="shared" si="11"/>
        <v>2031</v>
      </c>
      <c r="B18" s="118">
        <f t="shared" si="12"/>
        <v>34</v>
      </c>
      <c r="C18" s="117">
        <f t="shared" si="14"/>
        <v>84373.924240345645</v>
      </c>
      <c r="D18" s="117">
        <f t="shared" si="2"/>
        <v>8906.13644759204</v>
      </c>
      <c r="E18" s="117">
        <f t="shared" si="13"/>
        <v>56654.905899684876</v>
      </c>
      <c r="F18" s="146">
        <f t="shared" si="9"/>
        <v>22499.713130758839</v>
      </c>
      <c r="G18" s="117">
        <f t="shared" si="10"/>
        <v>378384.20374235802</v>
      </c>
      <c r="H18" s="118"/>
      <c r="I18" s="117">
        <f t="shared" si="3"/>
        <v>0.65212036074823398</v>
      </c>
      <c r="J18" s="153">
        <f t="shared" si="0"/>
        <v>0</v>
      </c>
      <c r="K18" s="146">
        <f t="shared" si="4"/>
        <v>0</v>
      </c>
      <c r="L18" s="117">
        <f t="shared" si="5"/>
        <v>0</v>
      </c>
      <c r="M18" s="161">
        <f t="shared" si="6"/>
        <v>4162.1125423349695</v>
      </c>
      <c r="N18" s="146">
        <f t="shared" si="7"/>
        <v>12337.602172294988</v>
      </c>
      <c r="O18" s="147">
        <f t="shared" si="8"/>
        <v>18919.2101871179</v>
      </c>
      <c r="P18" s="165"/>
      <c r="Q18" s="139">
        <f t="shared" si="1"/>
        <v>55021.953913358368</v>
      </c>
      <c r="R18" s="158"/>
      <c r="S18" s="159"/>
      <c r="T18" s="160"/>
    </row>
    <row r="19" spans="1:20">
      <c r="A19" s="148">
        <f t="shared" si="11"/>
        <v>2032</v>
      </c>
      <c r="B19" s="118">
        <f t="shared" si="12"/>
        <v>35</v>
      </c>
      <c r="C19" s="117">
        <f t="shared" si="14"/>
        <v>87748.88120995948</v>
      </c>
      <c r="D19" s="117">
        <f t="shared" si="2"/>
        <v>9262.3819054957239</v>
      </c>
      <c r="E19" s="117">
        <f t="shared" si="13"/>
        <v>66200.562334679023</v>
      </c>
      <c r="F19" s="146">
        <f t="shared" si="9"/>
        <v>23399.701655989196</v>
      </c>
      <c r="G19" s="117">
        <f t="shared" si="10"/>
        <v>435838.48373515951</v>
      </c>
      <c r="H19" s="118"/>
      <c r="I19" s="117">
        <f t="shared" si="3"/>
        <v>0.62929614812204582</v>
      </c>
      <c r="J19" s="153">
        <f t="shared" si="0"/>
        <v>0</v>
      </c>
      <c r="K19" s="146">
        <f t="shared" si="4"/>
        <v>0</v>
      </c>
      <c r="L19" s="117">
        <f t="shared" si="5"/>
        <v>0</v>
      </c>
      <c r="M19" s="161">
        <f t="shared" si="6"/>
        <v>4709.4485116781652</v>
      </c>
      <c r="N19" s="146">
        <f t="shared" si="7"/>
        <v>13713.573950894441</v>
      </c>
      <c r="O19" s="147">
        <f t="shared" si="8"/>
        <v>21791.924186757977</v>
      </c>
      <c r="P19" s="165"/>
      <c r="Q19" s="139">
        <f t="shared" si="1"/>
        <v>55220.032947446467</v>
      </c>
      <c r="R19" s="158"/>
      <c r="S19" s="159"/>
      <c r="T19" s="160"/>
    </row>
    <row r="20" spans="1:20">
      <c r="A20" s="148">
        <f t="shared" si="11"/>
        <v>2033</v>
      </c>
      <c r="B20" s="118">
        <f t="shared" si="12"/>
        <v>36</v>
      </c>
      <c r="C20" s="117">
        <f t="shared" si="14"/>
        <v>91258.836458357866</v>
      </c>
      <c r="D20" s="117">
        <f t="shared" si="2"/>
        <v>9632.8771817155539</v>
      </c>
      <c r="E20" s="117">
        <f t="shared" si="13"/>
        <v>76164.442328067962</v>
      </c>
      <c r="F20" s="146">
        <f t="shared" si="9"/>
        <v>24335.689722228766</v>
      </c>
      <c r="G20" s="117">
        <f t="shared" si="10"/>
        <v>499399.63699355267</v>
      </c>
      <c r="H20" s="118"/>
      <c r="I20" s="117">
        <f t="shared" si="3"/>
        <v>0.60727078293777415</v>
      </c>
      <c r="J20" s="153">
        <f t="shared" si="0"/>
        <v>0</v>
      </c>
      <c r="K20" s="146">
        <f t="shared" si="4"/>
        <v>0</v>
      </c>
      <c r="L20" s="117">
        <f t="shared" si="5"/>
        <v>0</v>
      </c>
      <c r="M20" s="161">
        <f t="shared" si="6"/>
        <v>5300.9823366919891</v>
      </c>
      <c r="N20" s="146">
        <f t="shared" si="7"/>
        <v>15163.540427795748</v>
      </c>
      <c r="O20" s="147">
        <f t="shared" si="8"/>
        <v>24969.981849677635</v>
      </c>
      <c r="P20" s="165"/>
      <c r="Q20" s="139">
        <f t="shared" si="1"/>
        <v>55418.825066057267</v>
      </c>
      <c r="R20" s="158"/>
      <c r="S20" s="159"/>
      <c r="T20" s="160"/>
    </row>
    <row r="21" spans="1:20">
      <c r="A21" s="148">
        <f t="shared" si="11"/>
        <v>2034</v>
      </c>
      <c r="B21" s="118">
        <f t="shared" si="12"/>
        <v>37</v>
      </c>
      <c r="C21" s="117">
        <f t="shared" si="14"/>
        <v>94909.189916692179</v>
      </c>
      <c r="D21" s="117">
        <f t="shared" si="2"/>
        <v>10018.192268984174</v>
      </c>
      <c r="E21" s="117">
        <f t="shared" si="13"/>
        <v>86563.45680869247</v>
      </c>
      <c r="F21" s="146">
        <f t="shared" si="9"/>
        <v>25309.117311117912</v>
      </c>
      <c r="G21" s="117">
        <f t="shared" si="10"/>
        <v>569654.72163409041</v>
      </c>
      <c r="H21" s="118"/>
      <c r="I21" s="117">
        <f t="shared" si="3"/>
        <v>0.58601630553495199</v>
      </c>
      <c r="J21" s="153">
        <f t="shared" si="0"/>
        <v>0</v>
      </c>
      <c r="K21" s="146">
        <f t="shared" si="4"/>
        <v>0</v>
      </c>
      <c r="L21" s="117">
        <f t="shared" si="5"/>
        <v>0</v>
      </c>
      <c r="M21" s="161">
        <f t="shared" si="6"/>
        <v>5939.9596232288986</v>
      </c>
      <c r="N21" s="146">
        <f t="shared" si="7"/>
        <v>16691.347770127559</v>
      </c>
      <c r="O21" s="147">
        <f t="shared" si="8"/>
        <v>28482.736081704523</v>
      </c>
      <c r="P21" s="165"/>
      <c r="Q21" s="139">
        <f t="shared" si="1"/>
        <v>55618.332836295071</v>
      </c>
      <c r="R21" s="158"/>
      <c r="S21" s="159"/>
      <c r="T21" s="160"/>
    </row>
    <row r="22" spans="1:20">
      <c r="A22" s="148">
        <f t="shared" si="11"/>
        <v>2035</v>
      </c>
      <c r="B22" s="118">
        <f t="shared" si="12"/>
        <v>38</v>
      </c>
      <c r="C22" s="117">
        <f t="shared" si="14"/>
        <v>98705.557513359876</v>
      </c>
      <c r="D22" s="117">
        <f t="shared" si="2"/>
        <v>10418.919959743544</v>
      </c>
      <c r="E22" s="117">
        <f t="shared" si="13"/>
        <v>97415.194052479463</v>
      </c>
      <c r="F22" s="146">
        <f t="shared" si="9"/>
        <v>26321.482003562636</v>
      </c>
      <c r="G22" s="117">
        <f t="shared" si="10"/>
        <v>647245.12858472124</v>
      </c>
      <c r="H22" s="118"/>
      <c r="I22" s="117">
        <f t="shared" si="3"/>
        <v>0.56550573484122868</v>
      </c>
      <c r="J22" s="153">
        <f t="shared" si="0"/>
        <v>0</v>
      </c>
      <c r="K22" s="146">
        <f t="shared" si="4"/>
        <v>0</v>
      </c>
      <c r="L22" s="117">
        <f t="shared" si="5"/>
        <v>0</v>
      </c>
      <c r="M22" s="161">
        <f t="shared" si="6"/>
        <v>6629.858181866226</v>
      </c>
      <c r="N22" s="146">
        <f t="shared" si="7"/>
        <v>18301.041603135418</v>
      </c>
      <c r="O22" s="147">
        <f t="shared" si="8"/>
        <v>32362.256429236062</v>
      </c>
      <c r="P22" s="165"/>
      <c r="Q22" s="139">
        <f t="shared" si="1"/>
        <v>55818.55883450574</v>
      </c>
      <c r="R22" s="158"/>
      <c r="S22" s="159"/>
      <c r="T22" s="160"/>
    </row>
    <row r="23" spans="1:20">
      <c r="A23" s="148">
        <f t="shared" si="11"/>
        <v>2036</v>
      </c>
      <c r="B23" s="118">
        <f t="shared" si="12"/>
        <v>39</v>
      </c>
      <c r="C23" s="117">
        <f t="shared" si="14"/>
        <v>102653.77981389427</v>
      </c>
      <c r="D23" s="117">
        <f t="shared" si="2"/>
        <v>10835.676758133286</v>
      </c>
      <c r="E23" s="117">
        <f t="shared" si="13"/>
        <v>108737.94678087514</v>
      </c>
      <c r="F23" s="146">
        <f t="shared" si="9"/>
        <v>27374.341283705144</v>
      </c>
      <c r="G23" s="117">
        <f t="shared" si="10"/>
        <v>732871.53144105128</v>
      </c>
      <c r="H23" s="118"/>
      <c r="I23" s="117">
        <f t="shared" si="3"/>
        <v>0.54571303412178562</v>
      </c>
      <c r="J23" s="153">
        <f t="shared" si="0"/>
        <v>0</v>
      </c>
      <c r="K23" s="146">
        <f t="shared" si="4"/>
        <v>0</v>
      </c>
      <c r="L23" s="117">
        <f t="shared" si="5"/>
        <v>0</v>
      </c>
      <c r="M23" s="161">
        <f t="shared" si="6"/>
        <v>7374.4045130026261</v>
      </c>
      <c r="N23" s="146">
        <f t="shared" si="7"/>
        <v>19996.877352208787</v>
      </c>
      <c r="O23" s="147">
        <f t="shared" si="8"/>
        <v>36643.576572052567</v>
      </c>
      <c r="P23" s="165"/>
      <c r="Q23" s="139">
        <f t="shared" si="1"/>
        <v>56019.505646309954</v>
      </c>
      <c r="R23" s="158"/>
      <c r="S23" s="159"/>
      <c r="T23" s="160"/>
    </row>
    <row r="24" spans="1:20">
      <c r="A24" s="148">
        <f t="shared" si="11"/>
        <v>2037</v>
      </c>
      <c r="B24" s="118">
        <f t="shared" si="12"/>
        <v>40</v>
      </c>
      <c r="C24" s="117">
        <f t="shared" si="14"/>
        <v>106759.93100645005</v>
      </c>
      <c r="D24" s="117">
        <f t="shared" si="2"/>
        <v>11269.103828458617</v>
      </c>
      <c r="E24" s="117">
        <f t="shared" si="13"/>
        <v>120550.74034323811</v>
      </c>
      <c r="F24" s="146">
        <f t="shared" si="9"/>
        <v>28469.314935053349</v>
      </c>
      <c r="G24" s="117">
        <f t="shared" si="10"/>
        <v>827299.28420579934</v>
      </c>
      <c r="H24" s="131" t="s">
        <v>255</v>
      </c>
      <c r="I24" s="117">
        <f t="shared" si="3"/>
        <v>0.5266130779275231</v>
      </c>
      <c r="J24" s="153">
        <f t="shared" si="0"/>
        <v>0</v>
      </c>
      <c r="K24" s="146">
        <f t="shared" si="4"/>
        <v>0</v>
      </c>
      <c r="L24" s="117">
        <f t="shared" si="5"/>
        <v>0</v>
      </c>
      <c r="M24" s="161">
        <f t="shared" si="6"/>
        <v>8177.5914595586446</v>
      </c>
      <c r="N24" s="146">
        <f t="shared" si="7"/>
        <v>21783.331121142633</v>
      </c>
      <c r="O24" s="147">
        <f t="shared" si="8"/>
        <v>41364.964210289967</v>
      </c>
      <c r="P24" s="165"/>
      <c r="Q24" s="139">
        <f t="shared" si="1"/>
        <v>56221.175866636666</v>
      </c>
      <c r="R24" s="158"/>
      <c r="S24" s="159"/>
      <c r="T24" s="160"/>
    </row>
    <row r="25" spans="1:20">
      <c r="A25" s="148">
        <f t="shared" si="11"/>
        <v>2038</v>
      </c>
      <c r="B25" s="118">
        <f t="shared" si="12"/>
        <v>41</v>
      </c>
      <c r="C25" s="117">
        <f t="shared" si="14"/>
        <v>111030.32824670806</v>
      </c>
      <c r="D25" s="117">
        <f t="shared" si="2"/>
        <v>11719.867981596963</v>
      </c>
      <c r="E25" s="117">
        <f t="shared" si="13"/>
        <v>132873.36202655124</v>
      </c>
      <c r="F25" s="146">
        <f t="shared" si="9"/>
        <v>29608.087532455484</v>
      </c>
      <c r="G25" s="117">
        <f t="shared" si="10"/>
        <v>931364.30731677683</v>
      </c>
      <c r="H25" s="118"/>
      <c r="I25" s="117">
        <f t="shared" si="3"/>
        <v>0.50818162020005975</v>
      </c>
      <c r="J25" s="153">
        <f t="shared" si="0"/>
        <v>0</v>
      </c>
      <c r="K25" s="146">
        <f t="shared" si="4"/>
        <v>0</v>
      </c>
      <c r="L25" s="117">
        <f t="shared" si="5"/>
        <v>0</v>
      </c>
      <c r="M25" s="161">
        <f t="shared" si="6"/>
        <v>9043.6971099212242</v>
      </c>
      <c r="N25" s="146">
        <f t="shared" si="7"/>
        <v>23665.111134437302</v>
      </c>
      <c r="O25" s="147">
        <f t="shared" si="8"/>
        <v>46568.215365838842</v>
      </c>
      <c r="P25" s="165"/>
      <c r="Q25" s="139">
        <f t="shared" si="1"/>
        <v>56423.572099756559</v>
      </c>
      <c r="R25" s="158"/>
      <c r="S25" s="159"/>
      <c r="T25" s="160"/>
    </row>
    <row r="26" spans="1:20">
      <c r="A26" s="148">
        <f t="shared" si="11"/>
        <v>2039</v>
      </c>
      <c r="B26" s="118">
        <f t="shared" si="12"/>
        <v>42</v>
      </c>
      <c r="C26" s="117">
        <f t="shared" si="14"/>
        <v>115471.54137657638</v>
      </c>
      <c r="D26" s="117">
        <f t="shared" si="2"/>
        <v>12188.662700860841</v>
      </c>
      <c r="E26" s="117">
        <f t="shared" si="13"/>
        <v>145726.39153754484</v>
      </c>
      <c r="F26" s="146">
        <f t="shared" si="9"/>
        <v>30792.411033753702</v>
      </c>
      <c r="G26" s="117">
        <f t="shared" si="10"/>
        <v>1045979.5060090405</v>
      </c>
      <c r="H26" s="118"/>
      <c r="I26" s="117">
        <f t="shared" si="3"/>
        <v>0.49039526349305762</v>
      </c>
      <c r="J26" s="153">
        <f t="shared" si="0"/>
        <v>0</v>
      </c>
      <c r="K26" s="146">
        <f t="shared" si="4"/>
        <v>0</v>
      </c>
      <c r="L26" s="117">
        <f t="shared" si="5"/>
        <v>0</v>
      </c>
      <c r="M26" s="161">
        <f t="shared" si="6"/>
        <v>9977.3050396198887</v>
      </c>
      <c r="N26" s="146">
        <f t="shared" si="7"/>
        <v>25647.169772882087</v>
      </c>
      <c r="O26" s="147">
        <f t="shared" si="8"/>
        <v>52298.975300452032</v>
      </c>
      <c r="P26" s="165"/>
      <c r="Q26" s="139">
        <f t="shared" si="1"/>
        <v>56626.696959315683</v>
      </c>
      <c r="R26" s="158"/>
      <c r="S26" s="159"/>
      <c r="T26" s="160"/>
    </row>
    <row r="27" spans="1:20">
      <c r="A27" s="148">
        <f t="shared" si="11"/>
        <v>2040</v>
      </c>
      <c r="B27" s="118">
        <f t="shared" si="12"/>
        <v>43</v>
      </c>
      <c r="C27" s="117">
        <f t="shared" si="14"/>
        <v>120090.40303163943</v>
      </c>
      <c r="D27" s="117">
        <f t="shared" si="2"/>
        <v>12676.209208895274</v>
      </c>
      <c r="E27" s="117">
        <f t="shared" si="13"/>
        <v>159131.23270412782</v>
      </c>
      <c r="F27" s="146">
        <f t="shared" si="9"/>
        <v>32024.10747510385</v>
      </c>
      <c r="G27" s="117">
        <f t="shared" si="10"/>
        <v>1172141.7690249581</v>
      </c>
      <c r="H27" s="118"/>
      <c r="I27" s="117">
        <f t="shared" si="3"/>
        <v>0.47323142927080059</v>
      </c>
      <c r="J27" s="153">
        <f t="shared" si="0"/>
        <v>0</v>
      </c>
      <c r="K27" s="146">
        <f t="shared" si="4"/>
        <v>0</v>
      </c>
      <c r="L27" s="117">
        <f t="shared" si="5"/>
        <v>0</v>
      </c>
      <c r="M27" s="161">
        <f t="shared" si="6"/>
        <v>10983.325986483707</v>
      </c>
      <c r="N27" s="146">
        <f t="shared" si="7"/>
        <v>27734.716233184277</v>
      </c>
      <c r="O27" s="147">
        <f t="shared" si="8"/>
        <v>58607.08845124791</v>
      </c>
      <c r="P27" s="165"/>
      <c r="Q27" s="139">
        <f t="shared" si="1"/>
        <v>56830.553068369212</v>
      </c>
      <c r="R27" s="158"/>
      <c r="S27" s="159"/>
      <c r="T27" s="160"/>
    </row>
    <row r="28" spans="1:20">
      <c r="A28" s="148">
        <f t="shared" si="11"/>
        <v>2041</v>
      </c>
      <c r="B28" s="118">
        <f t="shared" si="12"/>
        <v>44</v>
      </c>
      <c r="C28" s="117">
        <f t="shared" si="14"/>
        <v>124894.01915290502</v>
      </c>
      <c r="D28" s="117">
        <f t="shared" si="2"/>
        <v>13183.257577251086</v>
      </c>
      <c r="E28" s="117">
        <f t="shared" si="13"/>
        <v>173110.14644489952</v>
      </c>
      <c r="F28" s="146">
        <f t="shared" si="9"/>
        <v>33305.071774108008</v>
      </c>
      <c r="G28" s="117">
        <f t="shared" si="10"/>
        <v>1310939.6000113126</v>
      </c>
      <c r="H28" s="118"/>
      <c r="I28" s="117">
        <f t="shared" si="3"/>
        <v>0.45666832924632256</v>
      </c>
      <c r="J28" s="153">
        <f t="shared" si="0"/>
        <v>0</v>
      </c>
      <c r="K28" s="146">
        <f t="shared" si="4"/>
        <v>0</v>
      </c>
      <c r="L28" s="117">
        <f t="shared" si="5"/>
        <v>0</v>
      </c>
      <c r="M28" s="161">
        <f t="shared" si="6"/>
        <v>12067.021060732905</v>
      </c>
      <c r="N28" s="146">
        <f t="shared" si="7"/>
        <v>29933.229844000423</v>
      </c>
      <c r="O28" s="147">
        <f t="shared" si="8"/>
        <v>65546.980000565629</v>
      </c>
      <c r="P28" s="165"/>
      <c r="Q28" s="139">
        <f t="shared" si="1"/>
        <v>57035.143059415343</v>
      </c>
      <c r="R28" s="158"/>
      <c r="S28" s="159"/>
      <c r="T28" s="160"/>
    </row>
    <row r="29" spans="1:20">
      <c r="A29" s="148">
        <f t="shared" si="11"/>
        <v>2042</v>
      </c>
      <c r="B29" s="118">
        <f t="shared" si="12"/>
        <v>45</v>
      </c>
      <c r="C29" s="117">
        <f t="shared" si="14"/>
        <v>129889.77991902122</v>
      </c>
      <c r="D29" s="117">
        <f t="shared" si="2"/>
        <v>13710.587880341131</v>
      </c>
      <c r="E29" s="117">
        <f t="shared" si="13"/>
        <v>187686.28505746514</v>
      </c>
      <c r="F29" s="146">
        <f t="shared" si="9"/>
        <v>34637.274645072335</v>
      </c>
      <c r="G29" s="117">
        <f t="shared" si="10"/>
        <v>1463561.4386574032</v>
      </c>
      <c r="H29" s="118"/>
      <c r="I29" s="117">
        <f t="shared" si="3"/>
        <v>0.44068493772270123</v>
      </c>
      <c r="J29" s="153">
        <f t="shared" si="0"/>
        <v>0</v>
      </c>
      <c r="K29" s="146">
        <f t="shared" si="4"/>
        <v>0</v>
      </c>
      <c r="L29" s="117">
        <f t="shared" si="5"/>
        <v>0</v>
      </c>
      <c r="M29" s="161">
        <f t="shared" si="6"/>
        <v>13234.02659863774</v>
      </c>
      <c r="N29" s="146">
        <f t="shared" si="7"/>
        <v>32248.474072404242</v>
      </c>
      <c r="O29" s="147">
        <f t="shared" si="8"/>
        <v>73178.071932870167</v>
      </c>
      <c r="P29" s="165"/>
      <c r="Q29" s="139">
        <f t="shared" si="1"/>
        <v>57240.46957442924</v>
      </c>
      <c r="R29" s="158"/>
      <c r="S29" s="159"/>
      <c r="T29" s="160"/>
    </row>
    <row r="30" spans="1:20">
      <c r="A30" s="148">
        <f t="shared" si="11"/>
        <v>2043</v>
      </c>
      <c r="B30" s="118">
        <f t="shared" si="12"/>
        <v>46</v>
      </c>
      <c r="C30" s="117">
        <f t="shared" si="14"/>
        <v>135085.37111578207</v>
      </c>
      <c r="D30" s="117">
        <f t="shared" si="2"/>
        <v>14259.011395554775</v>
      </c>
      <c r="E30" s="117">
        <f t="shared" si="13"/>
        <v>202883.72787830723</v>
      </c>
      <c r="F30" s="146">
        <f t="shared" si="9"/>
        <v>36022.765630875219</v>
      </c>
      <c r="G30" s="117">
        <f t="shared" si="10"/>
        <v>1631304.733767445</v>
      </c>
      <c r="H30" s="133" t="s">
        <v>236</v>
      </c>
      <c r="I30" s="117">
        <f t="shared" si="3"/>
        <v>0.42526096490240667</v>
      </c>
      <c r="J30" s="153">
        <f t="shared" si="0"/>
        <v>0</v>
      </c>
      <c r="K30" s="146">
        <f t="shared" si="4"/>
        <v>0</v>
      </c>
      <c r="L30" s="117">
        <f t="shared" si="5"/>
        <v>0</v>
      </c>
      <c r="M30" s="161">
        <f t="shared" si="6"/>
        <v>14490.380776064394</v>
      </c>
      <c r="N30" s="146">
        <f t="shared" si="7"/>
        <v>34686.511256590369</v>
      </c>
      <c r="O30" s="147">
        <f t="shared" si="8"/>
        <v>81565.236688372257</v>
      </c>
      <c r="P30" s="165"/>
      <c r="Q30" s="139">
        <f t="shared" si="1"/>
        <v>57446.535264897175</v>
      </c>
      <c r="R30" s="158"/>
      <c r="S30" s="159"/>
      <c r="T30" s="160"/>
    </row>
    <row r="31" spans="1:20">
      <c r="A31" s="148">
        <f t="shared" si="11"/>
        <v>2044</v>
      </c>
      <c r="B31" s="118">
        <f t="shared" si="12"/>
        <v>47</v>
      </c>
      <c r="C31" s="117">
        <f t="shared" si="14"/>
        <v>140488.78596041334</v>
      </c>
      <c r="D31" s="117">
        <f t="shared" si="2"/>
        <v>14829.371851376965</v>
      </c>
      <c r="E31" s="117">
        <f t="shared" si="13"/>
        <v>218727.5183690757</v>
      </c>
      <c r="F31" s="146">
        <f t="shared" si="9"/>
        <v>37463.67625611023</v>
      </c>
      <c r="G31" s="117">
        <f t="shared" si="10"/>
        <v>1815585.8360626253</v>
      </c>
      <c r="H31" s="118"/>
      <c r="I31" s="117">
        <f t="shared" si="3"/>
        <v>0.41037683113082241</v>
      </c>
      <c r="J31" s="153">
        <f t="shared" si="0"/>
        <v>0</v>
      </c>
      <c r="K31" s="146">
        <f t="shared" si="4"/>
        <v>0</v>
      </c>
      <c r="L31" s="117">
        <f t="shared" si="5"/>
        <v>0</v>
      </c>
      <c r="M31" s="161">
        <f t="shared" si="6"/>
        <v>15842.552106458328</v>
      </c>
      <c r="N31" s="146">
        <f t="shared" si="7"/>
        <v>37253.718102469255</v>
      </c>
      <c r="O31" s="147">
        <f t="shared" si="8"/>
        <v>90779.291803131273</v>
      </c>
      <c r="P31" s="165"/>
      <c r="Q31" s="139">
        <f t="shared" si="1"/>
        <v>57653.342791850802</v>
      </c>
      <c r="R31" s="158"/>
      <c r="S31" s="159"/>
      <c r="T31" s="160"/>
    </row>
    <row r="32" spans="1:20">
      <c r="A32" s="148">
        <f t="shared" si="11"/>
        <v>2045</v>
      </c>
      <c r="B32" s="118">
        <f t="shared" si="12"/>
        <v>48</v>
      </c>
      <c r="C32" s="117">
        <f t="shared" si="14"/>
        <v>146108.33739882987</v>
      </c>
      <c r="D32" s="117">
        <f t="shared" si="2"/>
        <v>15422.546725432043</v>
      </c>
      <c r="E32" s="117">
        <f t="shared" si="13"/>
        <v>235243.70268635309</v>
      </c>
      <c r="F32" s="146">
        <f t="shared" si="9"/>
        <v>38962.223306354637</v>
      </c>
      <c r="G32" s="117">
        <f t="shared" si="10"/>
        <v>2017950.7846146163</v>
      </c>
      <c r="H32" s="118"/>
      <c r="I32" s="117">
        <f t="shared" si="3"/>
        <v>0.39601364204124362</v>
      </c>
      <c r="J32" s="153">
        <f t="shared" si="0"/>
        <v>0</v>
      </c>
      <c r="K32" s="146">
        <f t="shared" si="4"/>
        <v>0</v>
      </c>
      <c r="L32" s="117">
        <f t="shared" si="5"/>
        <v>0</v>
      </c>
      <c r="M32" s="161">
        <f t="shared" si="6"/>
        <v>17297.469956628891</v>
      </c>
      <c r="N32" s="146">
        <f t="shared" si="7"/>
        <v>39956.801983760968</v>
      </c>
      <c r="O32" s="147">
        <f t="shared" si="8"/>
        <v>100897.53923073082</v>
      </c>
      <c r="P32" s="165"/>
      <c r="Q32" s="139">
        <f t="shared" si="1"/>
        <v>57860.894825901458</v>
      </c>
      <c r="R32" s="158"/>
      <c r="S32" s="159"/>
      <c r="T32" s="160"/>
    </row>
    <row r="33" spans="1:20">
      <c r="A33" s="148">
        <f t="shared" si="11"/>
        <v>2046</v>
      </c>
      <c r="B33" s="118">
        <f t="shared" si="12"/>
        <v>49</v>
      </c>
      <c r="C33" s="117">
        <f t="shared" si="14"/>
        <v>151952.67089478308</v>
      </c>
      <c r="D33" s="117">
        <f t="shared" si="2"/>
        <v>16039.448594449324</v>
      </c>
      <c r="E33" s="117">
        <f t="shared" si="13"/>
        <v>252459.36979423414</v>
      </c>
      <c r="F33" s="146">
        <f t="shared" si="9"/>
        <v>40520.712238608823</v>
      </c>
      <c r="G33" s="117">
        <f t="shared" si="10"/>
        <v>2240087.0674685407</v>
      </c>
      <c r="H33" s="118"/>
      <c r="I33" s="117">
        <f t="shared" si="3"/>
        <v>0.38215316456980009</v>
      </c>
      <c r="J33" s="153">
        <f t="shared" si="0"/>
        <v>0</v>
      </c>
      <c r="K33" s="146">
        <f t="shared" si="4"/>
        <v>0</v>
      </c>
      <c r="L33" s="117">
        <f t="shared" si="5"/>
        <v>0</v>
      </c>
      <c r="M33" s="161">
        <f t="shared" si="6"/>
        <v>18862.557223135573</v>
      </c>
      <c r="N33" s="146">
        <f t="shared" si="7"/>
        <v>42802.81808724931</v>
      </c>
      <c r="O33" s="147">
        <f t="shared" si="8"/>
        <v>112004.35337342705</v>
      </c>
      <c r="P33" s="165"/>
      <c r="Q33" s="139">
        <f t="shared" si="1"/>
        <v>58069.194047274708</v>
      </c>
      <c r="R33" s="158"/>
      <c r="S33" s="159"/>
      <c r="T33" s="160"/>
    </row>
    <row r="34" spans="1:20">
      <c r="A34" s="148">
        <f t="shared" si="11"/>
        <v>2047</v>
      </c>
      <c r="B34" s="118">
        <f t="shared" si="12"/>
        <v>50</v>
      </c>
      <c r="C34" s="117">
        <f t="shared" si="14"/>
        <v>158030.77773057439</v>
      </c>
      <c r="D34" s="117">
        <f t="shared" si="2"/>
        <v>16681.026538227299</v>
      </c>
      <c r="E34" s="117">
        <f t="shared" si="13"/>
        <v>270402.69318143255</v>
      </c>
      <c r="F34" s="146">
        <f t="shared" si="9"/>
        <v>42141.540728153181</v>
      </c>
      <c r="G34" s="117">
        <f t="shared" si="10"/>
        <v>2483836.4442688627</v>
      </c>
      <c r="H34" s="118"/>
      <c r="I34" s="117">
        <f t="shared" si="3"/>
        <v>0.36877780380985709</v>
      </c>
      <c r="J34" s="153">
        <f t="shared" si="0"/>
        <v>0</v>
      </c>
      <c r="K34" s="146">
        <f t="shared" si="4"/>
        <v>0</v>
      </c>
      <c r="L34" s="117">
        <f t="shared" si="5"/>
        <v>0</v>
      </c>
      <c r="M34" s="161">
        <f t="shared" si="6"/>
        <v>20545.765322181214</v>
      </c>
      <c r="N34" s="146">
        <f t="shared" si="7"/>
        <v>45799.187447017786</v>
      </c>
      <c r="O34" s="147">
        <f t="shared" si="8"/>
        <v>124191.82221344314</v>
      </c>
      <c r="P34" s="165"/>
      <c r="Q34" s="139">
        <f t="shared" si="1"/>
        <v>58278.243145844899</v>
      </c>
      <c r="R34" s="158"/>
      <c r="S34" s="159"/>
      <c r="T34" s="160"/>
    </row>
    <row r="35" spans="1:20">
      <c r="A35" s="148">
        <f t="shared" si="11"/>
        <v>2048</v>
      </c>
      <c r="B35" s="118">
        <f t="shared" si="12"/>
        <v>51</v>
      </c>
      <c r="C35" s="117">
        <f t="shared" si="14"/>
        <v>164352.00883979737</v>
      </c>
      <c r="D35" s="117">
        <f t="shared" si="2"/>
        <v>17348.267599756389</v>
      </c>
      <c r="E35" s="117">
        <f t="shared" si="13"/>
        <v>289102.97424709605</v>
      </c>
      <c r="F35" s="146">
        <f t="shared" si="9"/>
        <v>43827.202357279297</v>
      </c>
      <c r="G35" s="117">
        <f t="shared" si="10"/>
        <v>2751208.9266103399</v>
      </c>
      <c r="H35" s="118"/>
      <c r="I35" s="117">
        <f t="shared" si="3"/>
        <v>0.35587058067651206</v>
      </c>
      <c r="J35" s="153">
        <f t="shared" si="0"/>
        <v>0</v>
      </c>
      <c r="K35" s="146">
        <f t="shared" si="4"/>
        <v>0</v>
      </c>
      <c r="L35" s="117">
        <f t="shared" si="5"/>
        <v>0</v>
      </c>
      <c r="M35" s="161">
        <f t="shared" si="6"/>
        <v>22355.611656736466</v>
      </c>
      <c r="N35" s="146">
        <f t="shared" si="7"/>
        <v>48953.715913761262</v>
      </c>
      <c r="O35" s="147">
        <f t="shared" si="8"/>
        <v>137560.44633051701</v>
      </c>
      <c r="P35" s="165"/>
      <c r="Q35" s="139">
        <f t="shared" si="1"/>
        <v>58488.044821169933</v>
      </c>
      <c r="R35" s="158"/>
      <c r="S35" s="159"/>
      <c r="T35" s="160"/>
    </row>
    <row r="36" spans="1:20">
      <c r="A36" s="148">
        <f t="shared" si="11"/>
        <v>2049</v>
      </c>
      <c r="B36" s="118">
        <f t="shared" si="12"/>
        <v>52</v>
      </c>
      <c r="C36" s="117">
        <f t="shared" si="14"/>
        <v>170926.08919338929</v>
      </c>
      <c r="D36" s="117">
        <f t="shared" si="2"/>
        <v>18042.198303746649</v>
      </c>
      <c r="E36" s="117">
        <f t="shared" si="13"/>
        <v>308590.68742207816</v>
      </c>
      <c r="F36" s="146">
        <f t="shared" si="9"/>
        <v>45580.290451570479</v>
      </c>
      <c r="G36" s="117">
        <f t="shared" si="10"/>
        <v>3044398.0204568412</v>
      </c>
      <c r="H36" s="118"/>
      <c r="I36" s="117">
        <f t="shared" si="3"/>
        <v>0.34341511035283412</v>
      </c>
      <c r="J36" s="153">
        <f t="shared" si="0"/>
        <v>0</v>
      </c>
      <c r="K36" s="146">
        <f t="shared" si="4"/>
        <v>0</v>
      </c>
      <c r="L36" s="117">
        <f t="shared" si="5"/>
        <v>0</v>
      </c>
      <c r="M36" s="161">
        <f t="shared" si="6"/>
        <v>24301.219736205356</v>
      </c>
      <c r="N36" s="146">
        <f t="shared" si="7"/>
        <v>52274.614107656795</v>
      </c>
      <c r="O36" s="147">
        <f t="shared" si="8"/>
        <v>152219.90102284207</v>
      </c>
      <c r="P36" s="165"/>
      <c r="Q36" s="139">
        <f t="shared" si="1"/>
        <v>58698.601782526152</v>
      </c>
      <c r="R36" s="158"/>
      <c r="S36" s="159"/>
      <c r="T36" s="160"/>
    </row>
    <row r="37" spans="1:20">
      <c r="A37" s="148">
        <f t="shared" si="11"/>
        <v>2050</v>
      </c>
      <c r="B37" s="118">
        <f t="shared" si="12"/>
        <v>53</v>
      </c>
      <c r="C37" s="117">
        <f t="shared" si="14"/>
        <v>177763.13276112487</v>
      </c>
      <c r="D37" s="117">
        <f t="shared" si="2"/>
        <v>18763.886235896513</v>
      </c>
      <c r="E37" s="117">
        <f t="shared" si="13"/>
        <v>328897.52709508501</v>
      </c>
      <c r="F37" s="146">
        <f t="shared" si="9"/>
        <v>47403.502069633294</v>
      </c>
      <c r="G37" s="117">
        <f t="shared" si="10"/>
        <v>3365797.3443675907</v>
      </c>
      <c r="H37" s="118"/>
      <c r="I37" s="117">
        <f t="shared" si="3"/>
        <v>0.33139558149048493</v>
      </c>
      <c r="J37" s="153">
        <f t="shared" si="0"/>
        <v>0</v>
      </c>
      <c r="K37" s="146">
        <f t="shared" si="4"/>
        <v>0</v>
      </c>
      <c r="L37" s="117">
        <f t="shared" si="5"/>
        <v>0</v>
      </c>
      <c r="M37" s="161">
        <f t="shared" si="6"/>
        <v>26392.362136346146</v>
      </c>
      <c r="N37" s="146">
        <f t="shared" si="7"/>
        <v>55770.518405791387</v>
      </c>
      <c r="O37" s="147">
        <f t="shared" si="8"/>
        <v>168289.86721837954</v>
      </c>
      <c r="P37" s="165"/>
      <c r="Q37" s="139">
        <f t="shared" si="1"/>
        <v>58909.916748943251</v>
      </c>
      <c r="R37" s="158"/>
      <c r="S37" s="159"/>
      <c r="T37" s="160"/>
    </row>
    <row r="38" spans="1:20">
      <c r="A38" s="148">
        <f t="shared" si="11"/>
        <v>2051</v>
      </c>
      <c r="B38" s="118">
        <f t="shared" si="12"/>
        <v>54</v>
      </c>
      <c r="C38" s="117">
        <f t="shared" si="14"/>
        <v>184873.65807156987</v>
      </c>
      <c r="D38" s="117">
        <f t="shared" si="2"/>
        <v>19514.441685332375</v>
      </c>
      <c r="E38" s="117">
        <f t="shared" si="13"/>
        <v>350056.45641589281</v>
      </c>
      <c r="F38" s="146">
        <f t="shared" si="9"/>
        <v>49299.64215241863</v>
      </c>
      <c r="G38" s="117">
        <f t="shared" si="10"/>
        <v>3718018.7475130931</v>
      </c>
      <c r="H38" s="118"/>
      <c r="I38" s="117">
        <f t="shared" si="3"/>
        <v>0.31979673613831794</v>
      </c>
      <c r="J38" s="153">
        <f t="shared" si="0"/>
        <v>0</v>
      </c>
      <c r="K38" s="146">
        <f t="shared" si="4"/>
        <v>0</v>
      </c>
      <c r="L38" s="117">
        <f t="shared" si="5"/>
        <v>0</v>
      </c>
      <c r="M38" s="161">
        <f t="shared" si="6"/>
        <v>28639.506500444495</v>
      </c>
      <c r="N38" s="146">
        <f t="shared" si="7"/>
        <v>59450.513017788202</v>
      </c>
      <c r="O38" s="147">
        <f t="shared" si="8"/>
        <v>185900.93737565467</v>
      </c>
      <c r="P38" s="165"/>
      <c r="Q38" s="139">
        <f t="shared" ref="Q38:Q61" si="15">C38*I38</f>
        <v>59121.992449239442</v>
      </c>
      <c r="R38" s="158"/>
      <c r="S38" s="159"/>
      <c r="T38" s="160"/>
    </row>
    <row r="39" spans="1:20">
      <c r="A39" s="148">
        <f t="shared" si="11"/>
        <v>2052</v>
      </c>
      <c r="B39" s="118">
        <f t="shared" si="12"/>
        <v>55</v>
      </c>
      <c r="C39" s="117">
        <f t="shared" si="14"/>
        <v>192268.60439443268</v>
      </c>
      <c r="D39" s="117">
        <f t="shared" ref="D39:D61" si="16">$E$2*C39+$I$1*C39/(1-$I$1)*$I$2</f>
        <v>20295.019352745672</v>
      </c>
      <c r="E39" s="117">
        <f t="shared" si="13"/>
        <v>372101.75805071794</v>
      </c>
      <c r="F39" s="146">
        <f t="shared" si="9"/>
        <v>51271.627838515386</v>
      </c>
      <c r="G39" s="117">
        <f t="shared" si="10"/>
        <v>4103912.0626277868</v>
      </c>
      <c r="H39" s="134" t="s">
        <v>237</v>
      </c>
      <c r="I39" s="117">
        <f t="shared" ref="I39:I61" si="17">I38*(1-$G$4)</f>
        <v>0.30860385037347682</v>
      </c>
      <c r="J39" s="153">
        <f t="shared" si="0"/>
        <v>0</v>
      </c>
      <c r="K39" s="146">
        <f t="shared" si="4"/>
        <v>0</v>
      </c>
      <c r="L39" s="117">
        <f t="shared" si="5"/>
        <v>0</v>
      </c>
      <c r="M39" s="161">
        <f t="shared" si="6"/>
        <v>31053.864796957903</v>
      </c>
      <c r="N39" s="146">
        <f t="shared" si="7"/>
        <v>63324.153206054616</v>
      </c>
      <c r="O39" s="147">
        <f t="shared" si="8"/>
        <v>205195.60313138936</v>
      </c>
      <c r="P39" s="165"/>
      <c r="Q39" s="139">
        <f t="shared" si="15"/>
        <v>59334.831622056714</v>
      </c>
      <c r="R39" s="158"/>
      <c r="S39" s="159"/>
      <c r="T39" s="160"/>
    </row>
    <row r="40" spans="1:20">
      <c r="A40" s="148">
        <f t="shared" si="11"/>
        <v>2053</v>
      </c>
      <c r="B40" s="118">
        <f t="shared" si="12"/>
        <v>56</v>
      </c>
      <c r="C40" s="117">
        <f t="shared" si="14"/>
        <v>199959.34857020999</v>
      </c>
      <c r="D40" s="117">
        <f t="shared" si="16"/>
        <v>21106.820126855499</v>
      </c>
      <c r="E40" s="117">
        <f t="shared" si="13"/>
        <v>395069.086967827</v>
      </c>
      <c r="F40" s="146">
        <f t="shared" si="9"/>
        <v>53322.492952055996</v>
      </c>
      <c r="G40" s="117">
        <f t="shared" ref="G40:G61" si="18">G39*(1+$G$1)+F40</f>
        <v>4526586.6412163442</v>
      </c>
      <c r="H40" s="118"/>
      <c r="I40" s="117">
        <f t="shared" si="17"/>
        <v>0.29780271561040511</v>
      </c>
      <c r="J40" s="153">
        <f t="shared" si="0"/>
        <v>0</v>
      </c>
      <c r="K40" s="146">
        <f t="shared" si="4"/>
        <v>0</v>
      </c>
      <c r="L40" s="117">
        <f t="shared" si="5"/>
        <v>0</v>
      </c>
      <c r="M40" s="161">
        <f t="shared" si="6"/>
        <v>33647.446064079377</v>
      </c>
      <c r="N40" s="146">
        <f t="shared" si="7"/>
        <v>67401.489710000489</v>
      </c>
      <c r="O40" s="147">
        <f t="shared" si="8"/>
        <v>226329.33206081722</v>
      </c>
      <c r="P40" s="165"/>
      <c r="Q40" s="139">
        <f t="shared" si="15"/>
        <v>59548.43701589611</v>
      </c>
      <c r="R40" s="158"/>
      <c r="S40" s="159"/>
      <c r="T40" s="160"/>
    </row>
    <row r="41" spans="1:20">
      <c r="A41" s="148">
        <f t="shared" si="11"/>
        <v>2054</v>
      </c>
      <c r="B41" s="118">
        <f t="shared" si="12"/>
        <v>57</v>
      </c>
      <c r="C41" s="117">
        <f t="shared" si="14"/>
        <v>207957.72251301838</v>
      </c>
      <c r="D41" s="117">
        <f t="shared" si="16"/>
        <v>21951.092931929717</v>
      </c>
      <c r="E41" s="117">
        <f t="shared" si="13"/>
        <v>418995.52533459582</v>
      </c>
      <c r="F41" s="146">
        <f t="shared" si="9"/>
        <v>55455.392670138237</v>
      </c>
      <c r="G41" s="117">
        <f t="shared" si="18"/>
        <v>4989434.8315959536</v>
      </c>
      <c r="H41" s="130"/>
      <c r="I41" s="117">
        <f t="shared" si="17"/>
        <v>0.28737962056404093</v>
      </c>
      <c r="J41" s="153">
        <f t="shared" si="0"/>
        <v>0</v>
      </c>
      <c r="K41" s="146">
        <f t="shared" si="4"/>
        <v>0</v>
      </c>
      <c r="L41" s="117">
        <f t="shared" si="5"/>
        <v>0</v>
      </c>
      <c r="M41" s="161">
        <f t="shared" si="6"/>
        <v>36433.112887974079</v>
      </c>
      <c r="N41" s="146">
        <f t="shared" si="7"/>
        <v>71693.09443665274</v>
      </c>
      <c r="O41" s="147">
        <f t="shared" si="8"/>
        <v>249471.7415797977</v>
      </c>
      <c r="P41" s="165"/>
      <c r="Q41" s="139">
        <f t="shared" si="15"/>
        <v>59762.811389153336</v>
      </c>
      <c r="R41" s="158"/>
      <c r="S41" s="159"/>
      <c r="T41" s="160"/>
    </row>
    <row r="42" spans="1:20">
      <c r="A42" s="148">
        <f t="shared" si="11"/>
        <v>2055</v>
      </c>
      <c r="B42" s="118">
        <f t="shared" si="12"/>
        <v>58</v>
      </c>
      <c r="C42" s="117">
        <f t="shared" si="14"/>
        <v>216276.03141353911</v>
      </c>
      <c r="D42" s="117">
        <f t="shared" si="16"/>
        <v>22829.136649206906</v>
      </c>
      <c r="E42" s="117">
        <f t="shared" si="13"/>
        <v>443919.63961047569</v>
      </c>
      <c r="F42" s="146">
        <f t="shared" si="9"/>
        <v>57673.608376943768</v>
      </c>
      <c r="G42" s="117">
        <f t="shared" si="18"/>
        <v>5496157.5748165334</v>
      </c>
      <c r="H42" s="118"/>
      <c r="I42" s="117">
        <f t="shared" si="17"/>
        <v>0.27732133384429947</v>
      </c>
      <c r="J42" s="153">
        <f t="shared" si="0"/>
        <v>0</v>
      </c>
      <c r="K42" s="146">
        <f t="shared" si="4"/>
        <v>0</v>
      </c>
      <c r="L42" s="117">
        <f t="shared" si="5"/>
        <v>0</v>
      </c>
      <c r="M42" s="161">
        <f t="shared" si="6"/>
        <v>39424.641878902701</v>
      </c>
      <c r="N42" s="146">
        <f t="shared" si="7"/>
        <v>76210.087483328563</v>
      </c>
      <c r="O42" s="147">
        <f t="shared" si="8"/>
        <v>274807.87874082668</v>
      </c>
      <c r="P42" s="165"/>
      <c r="Q42" s="139">
        <f t="shared" si="15"/>
        <v>59977.95751015428</v>
      </c>
      <c r="R42" s="158"/>
      <c r="S42" s="159"/>
      <c r="T42" s="160"/>
    </row>
    <row r="43" spans="1:20">
      <c r="A43" s="148">
        <f t="shared" si="11"/>
        <v>2056</v>
      </c>
      <c r="B43" s="118">
        <f t="shared" si="12"/>
        <v>59</v>
      </c>
      <c r="C43" s="117">
        <f t="shared" si="14"/>
        <v>224927.07267008067</v>
      </c>
      <c r="D43" s="117">
        <f t="shared" si="16"/>
        <v>23742.302115175182</v>
      </c>
      <c r="E43" s="117">
        <f t="shared" ref="E43:E61" si="19">D43+E42*(1+$G$3)</f>
        <v>469881.53992370318</v>
      </c>
      <c r="F43" s="146">
        <f t="shared" si="9"/>
        <v>59980.552712021512</v>
      </c>
      <c r="G43" s="117">
        <f t="shared" si="18"/>
        <v>6050792.3092620429</v>
      </c>
      <c r="H43" s="118" t="s">
        <v>240</v>
      </c>
      <c r="I43" s="117">
        <f t="shared" si="17"/>
        <v>0.26761508715974897</v>
      </c>
      <c r="J43" s="153">
        <f t="shared" si="0"/>
        <v>44182.00365150829</v>
      </c>
      <c r="K43" s="146">
        <f t="shared" si="4"/>
        <v>83898.417079548846</v>
      </c>
      <c r="L43" s="117">
        <f t="shared" si="5"/>
        <v>313504.06275662215</v>
      </c>
      <c r="M43" s="161">
        <f t="shared" si="6"/>
        <v>42636.788428140862</v>
      </c>
      <c r="N43" s="146">
        <f t="shared" si="7"/>
        <v>80964.165561435031</v>
      </c>
      <c r="O43" s="147">
        <f t="shared" si="8"/>
        <v>302539.61546310218</v>
      </c>
      <c r="P43" s="165"/>
      <c r="Q43" s="139">
        <f t="shared" si="15"/>
        <v>60193.878157190826</v>
      </c>
      <c r="R43" s="158"/>
      <c r="S43" s="159"/>
      <c r="T43" s="160"/>
    </row>
    <row r="44" spans="1:20">
      <c r="A44" s="148">
        <f t="shared" si="11"/>
        <v>2057</v>
      </c>
      <c r="B44" s="118">
        <f t="shared" si="12"/>
        <v>60</v>
      </c>
      <c r="C44" s="117">
        <f t="shared" ref="C44:C61" si="20">C43*(1+$G$2)</f>
        <v>233924.1555768839</v>
      </c>
      <c r="D44" s="117">
        <f t="shared" si="16"/>
        <v>24691.994199782192</v>
      </c>
      <c r="E44" s="117">
        <f t="shared" si="19"/>
        <v>496922.94182310387</v>
      </c>
      <c r="F44" s="146">
        <f t="shared" si="9"/>
        <v>62379.774820502374</v>
      </c>
      <c r="G44" s="117">
        <f t="shared" si="18"/>
        <v>6657743.3919161288</v>
      </c>
      <c r="H44" s="118"/>
      <c r="I44" s="117">
        <f t="shared" si="17"/>
        <v>0.25824855910915773</v>
      </c>
      <c r="J44" s="153">
        <f t="shared" si="0"/>
        <v>48626.315819255804</v>
      </c>
      <c r="K44" s="146">
        <f t="shared" si="4"/>
        <v>90707.538731021967</v>
      </c>
      <c r="L44" s="117">
        <f t="shared" si="5"/>
        <v>351241.21909497771</v>
      </c>
      <c r="M44" s="161">
        <f t="shared" si="6"/>
        <v>46085.35604862131</v>
      </c>
      <c r="N44" s="146">
        <f t="shared" si="7"/>
        <v>85967.631894042832</v>
      </c>
      <c r="O44" s="147">
        <f t="shared" si="8"/>
        <v>332887.16959580645</v>
      </c>
      <c r="P44" s="165"/>
      <c r="Q44" s="139">
        <f t="shared" si="15"/>
        <v>60410.57611855671</v>
      </c>
      <c r="R44" s="158"/>
      <c r="S44" s="159"/>
      <c r="T44" s="160"/>
    </row>
    <row r="45" spans="1:20">
      <c r="A45" s="148">
        <f t="shared" si="11"/>
        <v>2058</v>
      </c>
      <c r="B45" s="118">
        <f t="shared" si="12"/>
        <v>61</v>
      </c>
      <c r="C45" s="117">
        <f t="shared" si="20"/>
        <v>243281.12179995928</v>
      </c>
      <c r="D45" s="117">
        <f t="shared" si="16"/>
        <v>25679.67396777348</v>
      </c>
      <c r="E45" s="117">
        <f t="shared" si="19"/>
        <v>525087.23049999285</v>
      </c>
      <c r="F45" s="146">
        <f t="shared" si="9"/>
        <v>64874.965813322473</v>
      </c>
      <c r="G45" s="117">
        <f t="shared" si="18"/>
        <v>7321815.2630019039</v>
      </c>
      <c r="H45" s="118"/>
      <c r="I45" s="117">
        <f t="shared" si="17"/>
        <v>0.2492098595403372</v>
      </c>
      <c r="J45" s="153">
        <f t="shared" si="0"/>
        <v>53499.170894346898</v>
      </c>
      <c r="K45" s="146">
        <f t="shared" si="4"/>
        <v>98035.354754615619</v>
      </c>
      <c r="L45" s="117">
        <f t="shared" si="5"/>
        <v>393384.73580234725</v>
      </c>
      <c r="M45" s="161">
        <f t="shared" si="6"/>
        <v>49787.27062366093</v>
      </c>
      <c r="N45" s="146">
        <f t="shared" si="7"/>
        <v>91233.427663650087</v>
      </c>
      <c r="O45" s="147">
        <f t="shared" si="8"/>
        <v>366090.76315009524</v>
      </c>
      <c r="P45" s="165"/>
      <c r="Q45" s="139">
        <f t="shared" si="15"/>
        <v>60628.05419258352</v>
      </c>
      <c r="R45" s="158"/>
      <c r="S45" s="159"/>
      <c r="T45" s="160"/>
    </row>
    <row r="46" spans="1:20">
      <c r="A46" s="148">
        <f t="shared" si="11"/>
        <v>2059</v>
      </c>
      <c r="B46" s="118">
        <f>B45+1</f>
        <v>62</v>
      </c>
      <c r="C46" s="117">
        <f t="shared" si="20"/>
        <v>253012.36667195766</v>
      </c>
      <c r="D46" s="117">
        <f t="shared" si="16"/>
        <v>26706.86092648442</v>
      </c>
      <c r="E46" s="117">
        <f t="shared" si="19"/>
        <v>554419.52757897717</v>
      </c>
      <c r="F46" s="146">
        <f t="shared" si="9"/>
        <v>67469.964445855381</v>
      </c>
      <c r="G46" s="117">
        <f t="shared" si="18"/>
        <v>8048248.6011179313</v>
      </c>
      <c r="H46" s="118" t="s">
        <v>267</v>
      </c>
      <c r="I46" s="117">
        <f t="shared" si="17"/>
        <v>0.24048751445642538</v>
      </c>
      <c r="J46" s="153">
        <f t="shared" si="0"/>
        <v>58847.025195893242</v>
      </c>
      <c r="K46" s="146">
        <f t="shared" si="4"/>
        <v>105931.18811854249</v>
      </c>
      <c r="L46" s="117">
        <f t="shared" si="5"/>
        <v>440485.18842227239</v>
      </c>
      <c r="M46" s="161">
        <f t="shared" si="6"/>
        <v>53760.659911084986</v>
      </c>
      <c r="N46" s="146">
        <f t="shared" si="7"/>
        <v>96775.165090512703</v>
      </c>
      <c r="O46" s="147">
        <f t="shared" si="8"/>
        <v>402412.43005589658</v>
      </c>
      <c r="P46" s="165"/>
      <c r="Q46" s="139">
        <f t="shared" si="15"/>
        <v>60846.315187676817</v>
      </c>
      <c r="R46" s="158"/>
      <c r="S46" s="159"/>
      <c r="T46" s="160"/>
    </row>
    <row r="47" spans="1:20">
      <c r="A47" s="148">
        <f t="shared" si="11"/>
        <v>2060</v>
      </c>
      <c r="B47" s="118">
        <f t="shared" ref="B47:B61" si="21">B46+1</f>
        <v>63</v>
      </c>
      <c r="C47" s="117">
        <f t="shared" si="20"/>
        <v>263132.86133883597</v>
      </c>
      <c r="D47" s="117">
        <f t="shared" si="16"/>
        <v>27775.135363543799</v>
      </c>
      <c r="E47" s="117">
        <f t="shared" si="19"/>
        <v>584966.76058041572</v>
      </c>
      <c r="F47" s="146">
        <f t="shared" si="9"/>
        <v>70168.763023689593</v>
      </c>
      <c r="G47" s="117">
        <f t="shared" si="18"/>
        <v>8842759.738242235</v>
      </c>
      <c r="H47" s="118"/>
      <c r="I47" s="117">
        <f t="shared" si="17"/>
        <v>0.23207045145045049</v>
      </c>
      <c r="J47" s="153">
        <f t="shared" si="0"/>
        <v>64722.425498617187</v>
      </c>
      <c r="K47" s="146">
        <f t="shared" si="4"/>
        <v>114450.52014687112</v>
      </c>
      <c r="L47" s="117">
        <f t="shared" si="5"/>
        <v>493171.44613435422</v>
      </c>
      <c r="M47" s="161">
        <f t="shared" si="6"/>
        <v>58024.938674636564</v>
      </c>
      <c r="N47" s="146">
        <f t="shared" si="7"/>
        <v>102607.16222608715</v>
      </c>
      <c r="O47" s="147">
        <f t="shared" si="8"/>
        <v>442137.98691211175</v>
      </c>
      <c r="P47" s="165"/>
      <c r="Q47" s="139">
        <f t="shared" si="15"/>
        <v>61065.361922352451</v>
      </c>
      <c r="R47" s="158"/>
      <c r="S47" s="159"/>
      <c r="T47" s="160"/>
    </row>
    <row r="48" spans="1:20">
      <c r="A48" s="148">
        <f t="shared" si="11"/>
        <v>2061</v>
      </c>
      <c r="B48" s="118">
        <f>B47+1</f>
        <v>64</v>
      </c>
      <c r="C48" s="117">
        <f t="shared" si="20"/>
        <v>273658.17579238943</v>
      </c>
      <c r="D48" s="117">
        <f t="shared" si="16"/>
        <v>28886.140778085552</v>
      </c>
      <c r="E48" s="117">
        <f t="shared" si="19"/>
        <v>616777.73516140331</v>
      </c>
      <c r="F48" s="146">
        <f t="shared" si="9"/>
        <v>72975.513544637186</v>
      </c>
      <c r="G48" s="117">
        <f t="shared" si="18"/>
        <v>9711583.6282286737</v>
      </c>
      <c r="H48" s="118"/>
      <c r="I48" s="117">
        <f t="shared" si="17"/>
        <v>0.22394798564968471</v>
      </c>
      <c r="J48" s="153">
        <f t="shared" si="0"/>
        <v>71184.999462910753</v>
      </c>
      <c r="K48" s="146">
        <f t="shared" si="4"/>
        <v>123655.98159251439</v>
      </c>
      <c r="L48" s="117">
        <f t="shared" si="5"/>
        <v>552163.8483765861</v>
      </c>
      <c r="M48" s="161">
        <f t="shared" si="6"/>
        <v>62600.899840872822</v>
      </c>
      <c r="N48" s="146">
        <f t="shared" si="7"/>
        <v>108744.47955051341</v>
      </c>
      <c r="O48" s="147">
        <f t="shared" si="8"/>
        <v>485579.18141143373</v>
      </c>
      <c r="P48" s="165"/>
      <c r="Q48" s="139">
        <f t="shared" si="15"/>
        <v>61285.197225272925</v>
      </c>
      <c r="R48" s="158"/>
      <c r="S48" s="159"/>
      <c r="T48" s="160"/>
    </row>
    <row r="49" spans="1:20">
      <c r="A49" s="148">
        <f t="shared" si="11"/>
        <v>2062</v>
      </c>
      <c r="B49" s="118">
        <f t="shared" si="21"/>
        <v>65</v>
      </c>
      <c r="C49" s="117">
        <f t="shared" si="20"/>
        <v>284604.50282408501</v>
      </c>
      <c r="D49" s="117">
        <f t="shared" si="16"/>
        <v>30041.586409208976</v>
      </c>
      <c r="E49" s="117">
        <f t="shared" si="19"/>
        <v>649903.21024641918</v>
      </c>
      <c r="F49" s="146">
        <f t="shared" si="9"/>
        <v>75894.534086422675</v>
      </c>
      <c r="G49" s="117">
        <f t="shared" si="18"/>
        <v>10661520.688855678</v>
      </c>
      <c r="H49" s="118"/>
      <c r="I49" s="117">
        <f t="shared" si="17"/>
        <v>0.21610980615194575</v>
      </c>
      <c r="J49" s="153">
        <f t="shared" si="0"/>
        <v>78302.644268631964</v>
      </c>
      <c r="K49" s="146">
        <f t="shared" si="4"/>
        <v>133618.54188878322</v>
      </c>
      <c r="L49" s="117">
        <f t="shared" si="5"/>
        <v>618290.04554673785</v>
      </c>
      <c r="M49" s="161">
        <f t="shared" si="6"/>
        <v>67510.812107925158</v>
      </c>
      <c r="N49" s="146">
        <f t="shared" si="7"/>
        <v>115202.95846767799</v>
      </c>
      <c r="O49" s="147">
        <f t="shared" si="8"/>
        <v>533076.03444278392</v>
      </c>
      <c r="P49" s="165"/>
      <c r="Q49" s="139">
        <f t="shared" si="15"/>
        <v>61505.823935283908</v>
      </c>
      <c r="R49" s="158"/>
      <c r="S49" s="159"/>
      <c r="T49" s="160"/>
    </row>
    <row r="50" spans="1:20">
      <c r="A50" s="148">
        <f t="shared" si="11"/>
        <v>2063</v>
      </c>
      <c r="B50" s="118">
        <f t="shared" si="21"/>
        <v>66</v>
      </c>
      <c r="C50" s="117">
        <f t="shared" si="20"/>
        <v>295988.68293704843</v>
      </c>
      <c r="D50" s="117">
        <f t="shared" si="16"/>
        <v>31243.249865577334</v>
      </c>
      <c r="E50" s="117">
        <f t="shared" si="19"/>
        <v>684395.97616322851</v>
      </c>
      <c r="F50" s="146">
        <f t="shared" si="9"/>
        <v>78930.315449879592</v>
      </c>
      <c r="G50" s="117">
        <f t="shared" si="18"/>
        <v>11699987.86630257</v>
      </c>
      <c r="H50" s="118"/>
      <c r="I50" s="117">
        <f t="shared" si="17"/>
        <v>0.20854596293662764</v>
      </c>
      <c r="J50" s="153">
        <f t="shared" si="0"/>
        <v>86152.961293508313</v>
      </c>
      <c r="K50" s="146">
        <f t="shared" si="4"/>
        <v>144418.94442033797</v>
      </c>
      <c r="L50" s="117">
        <f t="shared" si="5"/>
        <v>692504.14818254521</v>
      </c>
      <c r="M50" s="161">
        <f t="shared" si="6"/>
        <v>72778.524462670423</v>
      </c>
      <c r="N50" s="146">
        <f t="shared" si="7"/>
        <v>121999.26179624644</v>
      </c>
      <c r="O50" s="147">
        <f t="shared" si="8"/>
        <v>584999.39331512852</v>
      </c>
      <c r="P50" s="165"/>
      <c r="Q50" s="139">
        <f t="shared" si="15"/>
        <v>61727.244901450933</v>
      </c>
      <c r="R50" s="158"/>
      <c r="S50" s="159"/>
      <c r="T50" s="160"/>
    </row>
    <row r="51" spans="1:20">
      <c r="A51" s="148">
        <f t="shared" si="11"/>
        <v>2064</v>
      </c>
      <c r="B51" s="118">
        <f t="shared" si="21"/>
        <v>67</v>
      </c>
      <c r="C51" s="117">
        <f t="shared" si="20"/>
        <v>307828.23025453038</v>
      </c>
      <c r="D51" s="117">
        <f t="shared" si="16"/>
        <v>32492.97986020043</v>
      </c>
      <c r="E51" s="117">
        <f t="shared" si="19"/>
        <v>720310.93590424501</v>
      </c>
      <c r="F51" s="146">
        <f t="shared" si="9"/>
        <v>82087.528067874766</v>
      </c>
      <c r="G51" s="117">
        <f t="shared" si="18"/>
        <v>12835074.302337678</v>
      </c>
      <c r="H51" s="118"/>
      <c r="I51" s="117">
        <f t="shared" si="17"/>
        <v>0.20124685423384567</v>
      </c>
      <c r="J51" s="153">
        <f>IF((OR(B51&lt;59, B51&gt;=$M$2)), 0,-1*PMT($I$4,($M$2-B51),G51,-$M$3)*(I51*(1-$G$4)^(($M$2-B51)/2)))</f>
        <v>94824.998345942353</v>
      </c>
      <c r="K51" s="146">
        <f t="shared" si="4"/>
        <v>156149.44932343121</v>
      </c>
      <c r="L51" s="117">
        <f t="shared" si="5"/>
        <v>775910.01319199766</v>
      </c>
      <c r="M51" s="161">
        <f t="shared" si="6"/>
        <v>78429.57809516319</v>
      </c>
      <c r="N51" s="146">
        <f t="shared" si="7"/>
        <v>129150.91636015647</v>
      </c>
      <c r="O51" s="147">
        <f t="shared" si="8"/>
        <v>641753.71511688398</v>
      </c>
      <c r="P51" s="165"/>
      <c r="Q51" s="139">
        <f t="shared" si="15"/>
        <v>61949.462983096157</v>
      </c>
      <c r="R51" s="158"/>
      <c r="S51" s="159"/>
      <c r="T51" s="160"/>
    </row>
    <row r="52" spans="1:20">
      <c r="A52" s="148">
        <f t="shared" si="11"/>
        <v>2065</v>
      </c>
      <c r="B52" s="118">
        <f t="shared" si="21"/>
        <v>68</v>
      </c>
      <c r="C52" s="117">
        <f t="shared" si="20"/>
        <v>320141.35946471163</v>
      </c>
      <c r="D52" s="117">
        <f t="shared" si="16"/>
        <v>33792.699054608449</v>
      </c>
      <c r="E52" s="117">
        <f t="shared" si="19"/>
        <v>757705.18963837461</v>
      </c>
      <c r="F52" s="146">
        <f t="shared" si="9"/>
        <v>85371.029190589761</v>
      </c>
      <c r="G52" s="117">
        <f t="shared" si="18"/>
        <v>14075602.018738661</v>
      </c>
      <c r="H52" s="118"/>
      <c r="I52" s="117">
        <f t="shared" si="17"/>
        <v>0.19420321433566107</v>
      </c>
      <c r="J52" s="153">
        <f t="shared" ref="J52:J61" si="22">IF((OR(B52&lt;59, B52&gt;=$M$2)), 0,-1*PMT($I$4,($M$2-B52),G52,-$M$3)*(I52*(1-$G$4)^(($M$2-B52)/2)))</f>
        <v>104421.3791872757</v>
      </c>
      <c r="K52" s="146">
        <f t="shared" si="4"/>
        <v>168915.96355073608</v>
      </c>
      <c r="L52" s="117">
        <f t="shared" si="5"/>
        <v>869789.74126958335</v>
      </c>
      <c r="M52" s="161">
        <f t="shared" si="6"/>
        <v>84491.326233769869</v>
      </c>
      <c r="N52" s="146">
        <f t="shared" si="7"/>
        <v>136676.35778742839</v>
      </c>
      <c r="O52" s="147">
        <f t="shared" si="8"/>
        <v>703780.10093693307</v>
      </c>
      <c r="P52" s="165"/>
      <c r="Q52" s="139">
        <f t="shared" si="15"/>
        <v>62172.481049835311</v>
      </c>
      <c r="R52" s="158"/>
      <c r="S52" s="159"/>
      <c r="T52" s="160"/>
    </row>
    <row r="53" spans="1:20">
      <c r="A53" s="148">
        <f t="shared" si="11"/>
        <v>2066</v>
      </c>
      <c r="B53" s="118">
        <f t="shared" si="21"/>
        <v>69</v>
      </c>
      <c r="C53" s="117">
        <f t="shared" si="20"/>
        <v>332947.01384330011</v>
      </c>
      <c r="D53" s="117">
        <f t="shared" si="16"/>
        <v>35144.407016792793</v>
      </c>
      <c r="E53" s="117">
        <f t="shared" si="19"/>
        <v>796638.12260335917</v>
      </c>
      <c r="F53" s="146">
        <f t="shared" si="9"/>
        <v>88785.870358213375</v>
      </c>
      <c r="G53" s="117">
        <f t="shared" si="18"/>
        <v>15431192.070783356</v>
      </c>
      <c r="H53" s="118"/>
      <c r="I53" s="117">
        <f t="shared" si="17"/>
        <v>0.18740610183391293</v>
      </c>
      <c r="J53" s="153">
        <f t="shared" si="22"/>
        <v>115060.92461259884</v>
      </c>
      <c r="K53" s="146">
        <f t="shared" si="4"/>
        <v>182840.66247023002</v>
      </c>
      <c r="L53" s="117">
        <f t="shared" si="5"/>
        <v>975638.79020476621</v>
      </c>
      <c r="M53" s="161">
        <f t="shared" si="6"/>
        <v>90993.062461481823</v>
      </c>
      <c r="N53" s="146">
        <f t="shared" si="7"/>
        <v>144594.97763179478</v>
      </c>
      <c r="O53" s="147">
        <f t="shared" si="8"/>
        <v>771559.6035391679</v>
      </c>
      <c r="P53" s="165"/>
      <c r="Q53" s="139">
        <f t="shared" si="15"/>
        <v>62396.301981614721</v>
      </c>
      <c r="R53" s="158"/>
      <c r="S53" s="159"/>
      <c r="T53" s="160"/>
    </row>
    <row r="54" spans="1:20">
      <c r="A54" s="148">
        <f t="shared" si="11"/>
        <v>2067</v>
      </c>
      <c r="B54" s="118">
        <f t="shared" si="21"/>
        <v>70</v>
      </c>
      <c r="C54" s="117">
        <f t="shared" si="20"/>
        <v>346264.89439703216</v>
      </c>
      <c r="D54" s="117">
        <f t="shared" si="16"/>
        <v>36550.183297464508</v>
      </c>
      <c r="E54" s="117">
        <f t="shared" si="19"/>
        <v>837171.49651384039</v>
      </c>
      <c r="F54" s="146">
        <f t="shared" si="9"/>
        <v>92337.305172541906</v>
      </c>
      <c r="G54" s="117">
        <f t="shared" si="18"/>
        <v>16912336.662326399</v>
      </c>
      <c r="H54" s="118"/>
      <c r="I54" s="117">
        <f t="shared" si="17"/>
        <v>0.18084688826972597</v>
      </c>
      <c r="J54" s="153">
        <f t="shared" si="22"/>
        <v>126881.90272551028</v>
      </c>
      <c r="K54" s="146">
        <f t="shared" si="4"/>
        <v>198065.24063407045</v>
      </c>
      <c r="L54" s="117">
        <f t="shared" si="5"/>
        <v>1095209.5583677613</v>
      </c>
      <c r="M54" s="161">
        <f t="shared" si="6"/>
        <v>97966.158113542333</v>
      </c>
      <c r="N54" s="146">
        <f t="shared" si="7"/>
        <v>152927.17293758664</v>
      </c>
      <c r="O54" s="147">
        <f t="shared" si="8"/>
        <v>845616.83311631996</v>
      </c>
      <c r="P54" s="165"/>
      <c r="Q54" s="139">
        <f t="shared" si="15"/>
        <v>62620.928668748536</v>
      </c>
      <c r="R54" s="158"/>
      <c r="S54" s="159"/>
      <c r="T54" s="160"/>
    </row>
    <row r="55" spans="1:20">
      <c r="A55" s="148">
        <f t="shared" si="11"/>
        <v>2068</v>
      </c>
      <c r="B55" s="118">
        <f t="shared" si="21"/>
        <v>71</v>
      </c>
      <c r="C55" s="117">
        <f t="shared" si="20"/>
        <v>360115.49017291347</v>
      </c>
      <c r="D55" s="117">
        <f t="shared" si="16"/>
        <v>38012.190629363089</v>
      </c>
      <c r="E55" s="117">
        <f t="shared" si="19"/>
        <v>879369.54462577251</v>
      </c>
      <c r="F55" s="146">
        <f t="shared" si="9"/>
        <v>96030.797379443597</v>
      </c>
      <c r="G55" s="117">
        <f t="shared" si="18"/>
        <v>18530477.759315223</v>
      </c>
      <c r="H55" s="118"/>
      <c r="I55" s="117">
        <f t="shared" si="17"/>
        <v>0.17451724718028555</v>
      </c>
      <c r="J55" s="153">
        <f t="shared" si="22"/>
        <v>140046.09192094053</v>
      </c>
      <c r="K55" s="146">
        <f t="shared" si="4"/>
        <v>214754.97523226167</v>
      </c>
      <c r="L55" s="117">
        <f t="shared" si="5"/>
        <v>1230565.9108317725</v>
      </c>
      <c r="M55" s="161">
        <f t="shared" si="6"/>
        <v>105444.20939898667</v>
      </c>
      <c r="N55" s="146">
        <f t="shared" si="7"/>
        <v>161694.39837455994</v>
      </c>
      <c r="O55" s="147">
        <f t="shared" si="8"/>
        <v>926523.88796576113</v>
      </c>
      <c r="P55" s="165"/>
      <c r="Q55" s="139">
        <f t="shared" si="15"/>
        <v>62846.36401195603</v>
      </c>
      <c r="R55" s="158"/>
      <c r="S55" s="159"/>
      <c r="T55" s="160"/>
    </row>
    <row r="56" spans="1:20">
      <c r="A56" s="148">
        <f t="shared" si="11"/>
        <v>2069</v>
      </c>
      <c r="B56" s="118">
        <f t="shared" si="21"/>
        <v>72</v>
      </c>
      <c r="C56" s="117">
        <f t="shared" si="20"/>
        <v>374520.10977983003</v>
      </c>
      <c r="D56" s="117">
        <f t="shared" si="16"/>
        <v>39532.678254537612</v>
      </c>
      <c r="E56" s="117">
        <f t="shared" si="19"/>
        <v>923299.07060343889</v>
      </c>
      <c r="F56" s="146">
        <f t="shared" si="9"/>
        <v>99872.029274621338</v>
      </c>
      <c r="G56" s="117">
        <f t="shared" si="18"/>
        <v>20298092.786928214</v>
      </c>
      <c r="H56" s="118"/>
      <c r="I56" s="117">
        <f t="shared" si="17"/>
        <v>0.16840914352897554</v>
      </c>
      <c r="J56" s="153">
        <f t="shared" si="22"/>
        <v>154743.90392144455</v>
      </c>
      <c r="K56" s="146">
        <f t="shared" si="4"/>
        <v>233103.84957735878</v>
      </c>
      <c r="L56" s="117">
        <f t="shared" si="5"/>
        <v>1384151.980662809</v>
      </c>
      <c r="M56" s="161">
        <f t="shared" si="6"/>
        <v>113463.19493416099</v>
      </c>
      <c r="N56" s="146">
        <f t="shared" si="7"/>
        <v>170919.22107591285</v>
      </c>
      <c r="O56" s="147">
        <f t="shared" si="8"/>
        <v>1014904.6393464108</v>
      </c>
      <c r="P56" s="165"/>
      <c r="Q56" s="139">
        <f t="shared" si="15"/>
        <v>63072.610922399072</v>
      </c>
      <c r="R56" s="158"/>
      <c r="S56" s="159"/>
      <c r="T56" s="160"/>
    </row>
    <row r="57" spans="1:20">
      <c r="A57" s="148">
        <f t="shared" si="11"/>
        <v>2070</v>
      </c>
      <c r="B57" s="118">
        <f>B56+1</f>
        <v>73</v>
      </c>
      <c r="C57" s="117">
        <f t="shared" si="20"/>
        <v>389500.91417102324</v>
      </c>
      <c r="D57" s="117">
        <f t="shared" si="16"/>
        <v>41113.985384719119</v>
      </c>
      <c r="E57" s="117">
        <f t="shared" si="19"/>
        <v>969029.5513411751</v>
      </c>
      <c r="F57" s="146">
        <f t="shared" si="9"/>
        <v>103866.91044560619</v>
      </c>
      <c r="G57" s="117">
        <f t="shared" si="18"/>
        <v>22228788.048197359</v>
      </c>
      <c r="H57" s="118"/>
      <c r="I57" s="117">
        <f t="shared" si="17"/>
        <v>0.1625148235054614</v>
      </c>
      <c r="J57" s="153">
        <f t="shared" si="22"/>
        <v>171200.90415649017</v>
      </c>
      <c r="K57" s="146">
        <f t="shared" si="4"/>
        <v>253341.07391073427</v>
      </c>
      <c r="L57" s="117">
        <f t="shared" si="5"/>
        <v>1558879.7898317294</v>
      </c>
      <c r="M57" s="161">
        <f t="shared" si="6"/>
        <v>122061.64442497386</v>
      </c>
      <c r="N57" s="146">
        <f t="shared" si="7"/>
        <v>180625.3783196552</v>
      </c>
      <c r="O57" s="147">
        <f t="shared" si="8"/>
        <v>1111439.4024098681</v>
      </c>
      <c r="P57" s="165"/>
      <c r="Q57" s="139">
        <f t="shared" si="15"/>
        <v>63299.672321719707</v>
      </c>
      <c r="R57" s="158"/>
      <c r="S57" s="159"/>
      <c r="T57" s="160"/>
    </row>
    <row r="58" spans="1:20">
      <c r="A58" s="148">
        <f t="shared" si="11"/>
        <v>2071</v>
      </c>
      <c r="B58" s="118">
        <f t="shared" si="21"/>
        <v>74</v>
      </c>
      <c r="C58" s="117">
        <f t="shared" si="20"/>
        <v>405080.95073786419</v>
      </c>
      <c r="D58" s="117">
        <f t="shared" si="16"/>
        <v>42758.544800107884</v>
      </c>
      <c r="E58" s="117">
        <f t="shared" si="19"/>
        <v>1016633.2438979887</v>
      </c>
      <c r="F58" s="146">
        <f t="shared" si="9"/>
        <v>108021.58686343045</v>
      </c>
      <c r="G58" s="117">
        <f t="shared" si="18"/>
        <v>24337400.559398554</v>
      </c>
      <c r="H58" s="118"/>
      <c r="I58" s="117">
        <f t="shared" si="17"/>
        <v>0.15682680468277024</v>
      </c>
      <c r="J58" s="153">
        <f t="shared" si="22"/>
        <v>189686.19526590503</v>
      </c>
      <c r="K58" s="146">
        <f t="shared" si="4"/>
        <v>275739.46931273036</v>
      </c>
      <c r="L58" s="117">
        <f t="shared" si="5"/>
        <v>1758241.9655268562</v>
      </c>
      <c r="M58" s="161">
        <f t="shared" si="6"/>
        <v>131280.81928676119</v>
      </c>
      <c r="N58" s="146">
        <f t="shared" si="7"/>
        <v>190837.83820075702</v>
      </c>
      <c r="O58" s="147">
        <f t="shared" si="8"/>
        <v>1216870.0279699278</v>
      </c>
      <c r="P58" s="165"/>
      <c r="Q58" s="139">
        <f t="shared" si="15"/>
        <v>63527.5511420779</v>
      </c>
      <c r="R58" s="158"/>
      <c r="S58" s="159"/>
      <c r="T58" s="160"/>
    </row>
    <row r="59" spans="1:20">
      <c r="A59" s="148">
        <f t="shared" si="11"/>
        <v>2072</v>
      </c>
      <c r="B59" s="118">
        <f t="shared" si="21"/>
        <v>75</v>
      </c>
      <c r="C59" s="117">
        <f t="shared" si="20"/>
        <v>421284.18876737874</v>
      </c>
      <c r="D59" s="117">
        <f t="shared" si="16"/>
        <v>44468.886592112205</v>
      </c>
      <c r="E59" s="117">
        <f t="shared" si="19"/>
        <v>1066185.2967095908</v>
      </c>
      <c r="F59" s="146">
        <f t="shared" si="9"/>
        <v>112342.45033796768</v>
      </c>
      <c r="G59" s="117">
        <f t="shared" si="18"/>
        <v>26640109.060082395</v>
      </c>
      <c r="H59" s="118"/>
      <c r="I59" s="117">
        <f t="shared" si="17"/>
        <v>0.15133786651887329</v>
      </c>
      <c r="J59" s="153">
        <f t="shared" si="22"/>
        <v>210523.31582156557</v>
      </c>
      <c r="K59" s="146">
        <f t="shared" si="4"/>
        <v>300626.36681209976</v>
      </c>
      <c r="L59" s="117">
        <f t="shared" si="5"/>
        <v>1986458.3380697307</v>
      </c>
      <c r="M59" s="161">
        <f t="shared" si="6"/>
        <v>141164.90604646667</v>
      </c>
      <c r="N59" s="146">
        <f t="shared" si="7"/>
        <v>201582.86344914886</v>
      </c>
      <c r="O59" s="147">
        <f t="shared" si="8"/>
        <v>1332005.4530041199</v>
      </c>
      <c r="P59" s="165"/>
      <c r="Q59" s="139">
        <f t="shared" si="15"/>
        <v>63756.250326189387</v>
      </c>
      <c r="R59" s="158"/>
      <c r="S59" s="159"/>
      <c r="T59" s="160"/>
    </row>
    <row r="60" spans="1:20">
      <c r="A60" s="148">
        <f t="shared" ref="A60" si="23">A59+1</f>
        <v>2073</v>
      </c>
      <c r="B60" s="118">
        <f t="shared" si="21"/>
        <v>76</v>
      </c>
      <c r="C60" s="117">
        <f t="shared" si="20"/>
        <v>438135.55631807388</v>
      </c>
      <c r="D60" s="117">
        <f t="shared" si="16"/>
        <v>46247.642055796692</v>
      </c>
      <c r="E60" s="117">
        <f t="shared" si="19"/>
        <v>1117763.8652489353</v>
      </c>
      <c r="F60" s="146">
        <f t="shared" si="9"/>
        <v>116836.14835148638</v>
      </c>
      <c r="G60" s="117">
        <f t="shared" si="18"/>
        <v>29154555.023841299</v>
      </c>
      <c r="H60" s="118"/>
      <c r="I60" s="117">
        <f t="shared" si="17"/>
        <v>0.14604104119071273</v>
      </c>
      <c r="J60" s="153">
        <f t="shared" si="22"/>
        <v>234104.58092784992</v>
      </c>
      <c r="K60" s="146">
        <f t="shared" si="4"/>
        <v>328397.94835673959</v>
      </c>
      <c r="L60" s="117">
        <f t="shared" si="5"/>
        <v>2248668.906214451</v>
      </c>
      <c r="M60" s="161">
        <f t="shared" si="6"/>
        <v>151761.22343160558</v>
      </c>
      <c r="N60" s="146">
        <f t="shared" si="7"/>
        <v>212888.07855668539</v>
      </c>
      <c r="O60" s="147">
        <f t="shared" si="8"/>
        <v>1457727.751192065</v>
      </c>
      <c r="P60" s="165"/>
      <c r="Q60" s="139">
        <f t="shared" si="15"/>
        <v>63985.772827363668</v>
      </c>
      <c r="R60" s="158"/>
      <c r="S60" s="159"/>
      <c r="T60" s="160"/>
    </row>
    <row r="61" spans="1:20">
      <c r="A61" s="149">
        <f t="shared" ref="A61" si="24">A60+1</f>
        <v>2074</v>
      </c>
      <c r="B61" s="150">
        <f t="shared" si="21"/>
        <v>77</v>
      </c>
      <c r="C61" s="151">
        <f t="shared" si="20"/>
        <v>455660.97857079684</v>
      </c>
      <c r="D61" s="151">
        <f t="shared" si="16"/>
        <v>48097.547738028559</v>
      </c>
      <c r="E61" s="151">
        <f t="shared" si="19"/>
        <v>1171450.2323132083</v>
      </c>
      <c r="F61" s="152">
        <f t="shared" si="9"/>
        <v>121509.59428554583</v>
      </c>
      <c r="G61" s="151">
        <f t="shared" si="18"/>
        <v>31899974.570272561</v>
      </c>
      <c r="H61" s="150" t="s">
        <v>258</v>
      </c>
      <c r="I61" s="151">
        <f t="shared" si="17"/>
        <v>0.14092960474903779</v>
      </c>
      <c r="J61" s="154">
        <f t="shared" si="22"/>
        <v>260910.20321108177</v>
      </c>
      <c r="K61" s="152">
        <f t="shared" si="4"/>
        <v>359538.36815758585</v>
      </c>
      <c r="L61" s="168">
        <f t="shared" si="5"/>
        <v>2551191.204983782</v>
      </c>
      <c r="M61" s="162">
        <f t="shared" si="6"/>
        <v>163120.44411447918</v>
      </c>
      <c r="N61" s="152">
        <f t="shared" si="7"/>
        <v>224782.54038464345</v>
      </c>
      <c r="O61" s="167">
        <f t="shared" si="8"/>
        <v>1594998.7285136282</v>
      </c>
      <c r="P61" s="166"/>
      <c r="Q61" s="140">
        <f t="shared" si="15"/>
        <v>64216.121609542177</v>
      </c>
      <c r="R61" s="158"/>
      <c r="S61" s="159"/>
      <c r="T61" s="160"/>
    </row>
    <row r="91" spans="3:5">
      <c r="C91" t="s">
        <v>276</v>
      </c>
      <c r="D91" t="s">
        <v>273</v>
      </c>
    </row>
    <row r="92" spans="3:5">
      <c r="D92" t="s">
        <v>274</v>
      </c>
    </row>
    <row r="94" spans="3:5" ht="19">
      <c r="C94" s="135"/>
      <c r="D94" s="159" t="s">
        <v>281</v>
      </c>
    </row>
    <row r="96" spans="3:5">
      <c r="C96" s="158"/>
      <c r="D96" t="s">
        <v>275</v>
      </c>
      <c r="E96" s="160"/>
    </row>
    <row r="97" spans="3:5">
      <c r="C97" s="158"/>
      <c r="E97" s="160"/>
    </row>
    <row r="98" spans="3:5">
      <c r="C98" s="158"/>
      <c r="D98" s="159" t="s">
        <v>277</v>
      </c>
      <c r="E98" s="160"/>
    </row>
    <row r="99" spans="3:5">
      <c r="C99" s="158"/>
      <c r="D99" s="159"/>
      <c r="E99" s="160"/>
    </row>
    <row r="100" spans="3:5">
      <c r="C100" s="158"/>
      <c r="D100" s="159" t="s">
        <v>280</v>
      </c>
      <c r="E100" s="160"/>
    </row>
    <row r="101" spans="3:5">
      <c r="C101" s="158"/>
      <c r="D101" s="159"/>
      <c r="E101" s="160"/>
    </row>
    <row r="102" spans="3:5">
      <c r="C102" s="158"/>
      <c r="D102" s="159" t="s">
        <v>278</v>
      </c>
      <c r="E102" s="160"/>
    </row>
    <row r="103" spans="3:5">
      <c r="C103" s="158"/>
      <c r="D103" s="159"/>
      <c r="E103" s="160"/>
    </row>
    <row r="104" spans="3:5">
      <c r="C104" s="158"/>
      <c r="D104" s="159" t="s">
        <v>279</v>
      </c>
      <c r="E104" s="160"/>
    </row>
    <row r="105" spans="3:5">
      <c r="C105" s="158"/>
      <c r="D105" s="159"/>
      <c r="E105" s="160"/>
    </row>
    <row r="106" spans="3:5">
      <c r="C106" s="158"/>
      <c r="D106" s="159" t="s">
        <v>282</v>
      </c>
      <c r="E106" s="160"/>
    </row>
  </sheetData>
  <mergeCells count="3">
    <mergeCell ref="A1:C2"/>
    <mergeCell ref="J4:L4"/>
    <mergeCell ref="M4:O4"/>
  </mergeCells>
  <conditionalFormatting sqref="A1:Q61">
    <cfRule type="expression" dxfId="2" priority="1">
      <formula>$B1 = $M$2</formula>
    </cfRule>
    <cfRule type="expression" dxfId="1" priority="2">
      <formula>$B1=$M$1</formula>
    </cfRule>
    <cfRule type="expression" dxfId="0" priority="3">
      <formula>$B1 = 59</formula>
    </cfRule>
  </conditionalFormatting>
  <pageMargins left="0.7" right="0.7" top="0.75" bottom="0.75" header="0.3" footer="0.3"/>
  <ignoredErrors>
    <ignoredError sqref="F6"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6"/>
  <sheetViews>
    <sheetView showOutlineSymbols="0" zoomScaleNormal="100" workbookViewId="0"/>
  </sheetViews>
  <sheetFormatPr baseColWidth="10" defaultColWidth="8.7109375" defaultRowHeight="16"/>
  <cols>
    <col min="1" max="1" width="16.28515625" customWidth="1"/>
    <col min="2" max="2" width="9.42578125" customWidth="1"/>
    <col min="3" max="3" width="10.28515625" customWidth="1"/>
    <col min="4" max="1025" width="9.42578125" customWidth="1"/>
  </cols>
  <sheetData>
    <row r="1" spans="1:7" ht="24">
      <c r="A1" s="60" t="s">
        <v>70</v>
      </c>
      <c r="B1" s="61" t="s">
        <v>71</v>
      </c>
      <c r="C1" s="61" t="s">
        <v>72</v>
      </c>
      <c r="D1" s="61" t="s">
        <v>73</v>
      </c>
      <c r="E1" s="61" t="s">
        <v>74</v>
      </c>
      <c r="F1" s="61" t="s">
        <v>75</v>
      </c>
    </row>
    <row r="2" spans="1:7">
      <c r="A2" s="62" t="s">
        <v>76</v>
      </c>
      <c r="B2" s="61"/>
      <c r="C2" s="63">
        <f>Budget!H3+Budget!H7</f>
        <v>60000</v>
      </c>
      <c r="D2" s="64">
        <f>C2/12</f>
        <v>5000</v>
      </c>
      <c r="E2" s="64"/>
      <c r="F2" s="64"/>
    </row>
    <row r="3" spans="1:7">
      <c r="A3" s="62" t="s">
        <v>77</v>
      </c>
      <c r="B3" s="65"/>
      <c r="C3" s="63">
        <f>C2-Budget!H13-Budget!H14-Budget!H15-Budget!H16-Budget!H17-Budget!H27-Budget!H29</f>
        <v>44337.274250000002</v>
      </c>
      <c r="D3" s="64">
        <f>C3/12</f>
        <v>3694.772854166667</v>
      </c>
      <c r="E3" s="64">
        <f>SUM(E4:E14)</f>
        <v>3977.261904761905</v>
      </c>
      <c r="F3" s="64"/>
      <c r="G3" t="s">
        <v>78</v>
      </c>
    </row>
    <row r="4" spans="1:7">
      <c r="A4" s="62" t="s">
        <v>79</v>
      </c>
      <c r="B4" s="66">
        <v>0.3</v>
      </c>
      <c r="C4" s="67">
        <f t="shared" ref="C4:D14" si="0">$B4*C$3</f>
        <v>13301.182275000001</v>
      </c>
      <c r="D4" s="68">
        <f t="shared" si="0"/>
        <v>1108.43185625</v>
      </c>
      <c r="E4" s="69">
        <f>SUM(Budget!F45:F49,Budget!F40,Budget!H41/12,Budget!H42/12)</f>
        <v>925.83333333333337</v>
      </c>
      <c r="F4" s="70">
        <f t="shared" ref="F4:F14" si="1">D4-E4</f>
        <v>182.59852291666664</v>
      </c>
      <c r="G4" t="s">
        <v>80</v>
      </c>
    </row>
    <row r="5" spans="1:7">
      <c r="A5" s="62" t="s">
        <v>81</v>
      </c>
      <c r="B5" s="66">
        <v>0.11</v>
      </c>
      <c r="C5" s="67">
        <f t="shared" si="0"/>
        <v>4877.1001675000007</v>
      </c>
      <c r="D5" s="68">
        <f t="shared" si="0"/>
        <v>406.42501395833335</v>
      </c>
      <c r="E5" s="71">
        <f>Budget!H33/12</f>
        <v>433.33333333333331</v>
      </c>
      <c r="F5" s="70">
        <f t="shared" si="1"/>
        <v>-26.908319374999962</v>
      </c>
      <c r="G5" t="s">
        <v>82</v>
      </c>
    </row>
    <row r="6" spans="1:7">
      <c r="A6" s="62" t="s">
        <v>83</v>
      </c>
      <c r="B6" s="66">
        <v>0.14000000000000001</v>
      </c>
      <c r="C6" s="67">
        <f t="shared" si="0"/>
        <v>6207.2183950000008</v>
      </c>
      <c r="D6" s="68">
        <f t="shared" si="0"/>
        <v>517.2681995833334</v>
      </c>
      <c r="E6" s="72">
        <f>SUM(Budget!H35:H38)/12</f>
        <v>375.59523809523807</v>
      </c>
      <c r="F6" s="70">
        <f t="shared" si="1"/>
        <v>141.67296148809532</v>
      </c>
      <c r="G6" t="s">
        <v>84</v>
      </c>
    </row>
    <row r="7" spans="1:7">
      <c r="A7" s="62" t="s">
        <v>85</v>
      </c>
      <c r="B7" s="66">
        <v>0.05</v>
      </c>
      <c r="C7" s="67">
        <f t="shared" si="0"/>
        <v>2216.8637125</v>
      </c>
      <c r="D7" s="68">
        <f t="shared" si="0"/>
        <v>184.73864270833337</v>
      </c>
      <c r="E7" s="73">
        <f>Budget!H57+Budget!H21</f>
        <v>0</v>
      </c>
      <c r="F7" s="70">
        <f t="shared" si="1"/>
        <v>184.73864270833337</v>
      </c>
      <c r="G7" t="s">
        <v>86</v>
      </c>
    </row>
    <row r="8" spans="1:7">
      <c r="A8" s="62" t="s">
        <v>87</v>
      </c>
      <c r="B8" s="66">
        <v>0.05</v>
      </c>
      <c r="C8" s="67">
        <f t="shared" si="0"/>
        <v>2216.8637125</v>
      </c>
      <c r="D8" s="68">
        <f t="shared" si="0"/>
        <v>184.73864270833337</v>
      </c>
      <c r="E8" s="74">
        <f>Budget!H54/12</f>
        <v>0</v>
      </c>
      <c r="F8" s="70">
        <f t="shared" si="1"/>
        <v>184.73864270833337</v>
      </c>
      <c r="G8" t="s">
        <v>88</v>
      </c>
    </row>
    <row r="9" spans="1:7">
      <c r="A9" s="62" t="s">
        <v>89</v>
      </c>
      <c r="B9" s="66">
        <v>7.0000000000000007E-2</v>
      </c>
      <c r="C9" s="67">
        <f t="shared" si="0"/>
        <v>3103.6091975000004</v>
      </c>
      <c r="D9" s="68">
        <f t="shared" si="0"/>
        <v>258.6340997916667</v>
      </c>
      <c r="E9" s="75">
        <f>(Budget!H51+Budget!H52+Budget!H56)/12</f>
        <v>229.16666666666666</v>
      </c>
      <c r="F9" s="70">
        <f t="shared" si="1"/>
        <v>29.467433125000042</v>
      </c>
      <c r="G9" t="s">
        <v>90</v>
      </c>
    </row>
    <row r="10" spans="1:7">
      <c r="A10" s="62" t="s">
        <v>91</v>
      </c>
      <c r="B10" s="66">
        <v>0.06</v>
      </c>
      <c r="C10" s="67">
        <f t="shared" si="0"/>
        <v>2660.2364550000002</v>
      </c>
      <c r="D10" s="68">
        <f t="shared" si="0"/>
        <v>221.68637125000001</v>
      </c>
      <c r="E10" s="76">
        <f>Budget!H43/12</f>
        <v>41.666666666666664</v>
      </c>
      <c r="F10" s="70">
        <f t="shared" si="1"/>
        <v>180.01970458333335</v>
      </c>
      <c r="G10" t="s">
        <v>92</v>
      </c>
    </row>
    <row r="11" spans="1:7">
      <c r="A11" s="62" t="s">
        <v>93</v>
      </c>
      <c r="B11" s="66">
        <v>0.05</v>
      </c>
      <c r="C11" s="67">
        <f t="shared" si="0"/>
        <v>2216.8637125</v>
      </c>
      <c r="D11" s="68">
        <f t="shared" si="0"/>
        <v>184.73864270833337</v>
      </c>
      <c r="E11" s="77">
        <f>Budget!H58/12</f>
        <v>500</v>
      </c>
      <c r="F11" s="70">
        <f t="shared" si="1"/>
        <v>-315.26135729166663</v>
      </c>
      <c r="G11" t="s">
        <v>94</v>
      </c>
    </row>
    <row r="12" spans="1:7">
      <c r="A12" s="62" t="s">
        <v>95</v>
      </c>
      <c r="B12" s="66">
        <v>0.04</v>
      </c>
      <c r="C12" s="67">
        <f t="shared" si="0"/>
        <v>1773.4909700000001</v>
      </c>
      <c r="D12" s="68">
        <f t="shared" si="0"/>
        <v>147.79091416666668</v>
      </c>
      <c r="E12" s="78">
        <f>(Budget!H22+Budget!H28)/12</f>
        <v>0</v>
      </c>
      <c r="F12" s="70">
        <f t="shared" si="1"/>
        <v>147.79091416666668</v>
      </c>
      <c r="G12" t="s">
        <v>96</v>
      </c>
    </row>
    <row r="13" spans="1:7">
      <c r="A13" s="62" t="s">
        <v>97</v>
      </c>
      <c r="B13" s="66">
        <v>0.08</v>
      </c>
      <c r="C13" s="67">
        <f t="shared" si="0"/>
        <v>3546.9819400000001</v>
      </c>
      <c r="D13" s="68">
        <f t="shared" si="0"/>
        <v>295.58182833333336</v>
      </c>
      <c r="E13" s="79">
        <f>(Budget!H31+Budget!H50+Budget!H55+Budget!H59+Budget!H60)/12</f>
        <v>196.66666666666666</v>
      </c>
      <c r="F13" s="70">
        <f t="shared" si="1"/>
        <v>98.915161666666705</v>
      </c>
      <c r="G13" t="s">
        <v>98</v>
      </c>
    </row>
    <row r="14" spans="1:7">
      <c r="A14" s="62" t="s">
        <v>99</v>
      </c>
      <c r="B14" s="66">
        <v>0.05</v>
      </c>
      <c r="C14" s="67">
        <f t="shared" si="0"/>
        <v>2216.8637125</v>
      </c>
      <c r="D14" s="68">
        <f t="shared" si="0"/>
        <v>184.73864270833337</v>
      </c>
      <c r="E14" s="80">
        <f>SUM(Budget!H18:H20)/12</f>
        <v>1275</v>
      </c>
      <c r="F14" s="70">
        <f t="shared" si="1"/>
        <v>-1090.2613572916666</v>
      </c>
      <c r="G14" t="s">
        <v>100</v>
      </c>
    </row>
    <row r="16" spans="1:7">
      <c r="A16" s="81" t="s">
        <v>101</v>
      </c>
    </row>
  </sheetData>
  <hyperlinks>
    <hyperlink ref="A3" r:id="rId1" xr:uid="{00000000-0004-0000-0100-000000000000}"/>
    <hyperlink ref="A4" r:id="rId2" xr:uid="{00000000-0004-0000-0100-000001000000}"/>
    <hyperlink ref="A5" r:id="rId3" xr:uid="{00000000-0004-0000-0100-000002000000}"/>
    <hyperlink ref="A6" r:id="rId4" xr:uid="{00000000-0004-0000-0100-000003000000}"/>
    <hyperlink ref="A7" r:id="rId5" xr:uid="{00000000-0004-0000-0100-000004000000}"/>
    <hyperlink ref="A8" r:id="rId6" xr:uid="{00000000-0004-0000-0100-000005000000}"/>
    <hyperlink ref="A9" r:id="rId7" xr:uid="{00000000-0004-0000-0100-000006000000}"/>
    <hyperlink ref="A10" r:id="rId8" xr:uid="{00000000-0004-0000-0100-000007000000}"/>
    <hyperlink ref="A11" r:id="rId9" xr:uid="{00000000-0004-0000-0100-000008000000}"/>
    <hyperlink ref="A12" r:id="rId10" xr:uid="{00000000-0004-0000-0100-000009000000}"/>
    <hyperlink ref="A13" r:id="rId11" xr:uid="{00000000-0004-0000-0100-00000A000000}"/>
    <hyperlink ref="A14" r:id="rId12" xr:uid="{00000000-0004-0000-0100-00000B000000}"/>
    <hyperlink ref="A16" r:id="rId13" xr:uid="{00000000-0004-0000-0100-00000C000000}"/>
  </hyperlink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MK295"/>
  <sheetViews>
    <sheetView showGridLines="0" showOutlineSymbols="0" zoomScaleNormal="220" workbookViewId="0">
      <pane ySplit="2" topLeftCell="A7" activePane="bottomLeft" state="frozen"/>
      <selection pane="bottomLeft"/>
    </sheetView>
  </sheetViews>
  <sheetFormatPr baseColWidth="10" defaultColWidth="8.7109375" defaultRowHeight="16"/>
  <cols>
    <col min="1" max="2" width="6.5703125" style="82" customWidth="1"/>
    <col min="3" max="3" width="2.7109375" style="82" customWidth="1"/>
    <col min="4" max="4" width="9" style="82" customWidth="1"/>
    <col min="5" max="5" width="6.5703125" style="82" customWidth="1"/>
    <col min="6" max="6" width="9" style="82" customWidth="1"/>
    <col min="7" max="7" width="1.28515625" style="82" customWidth="1"/>
    <col min="8" max="8" width="6.5703125" style="82" customWidth="1"/>
    <col min="9" max="9" width="2.7109375" style="82" customWidth="1"/>
    <col min="10" max="10" width="9" style="82" customWidth="1"/>
    <col min="11" max="11" width="6.5703125" style="82" customWidth="1"/>
    <col min="12" max="12" width="9" style="82" customWidth="1"/>
    <col min="13" max="13" width="1.28515625" style="82" customWidth="1"/>
    <col min="14" max="15" width="7.7109375" style="82" customWidth="1"/>
    <col min="16" max="16" width="1.28515625" style="82" customWidth="1"/>
    <col min="17" max="18" width="7.140625" style="82" customWidth="1"/>
    <col min="19" max="19" width="9.42578125" style="82" customWidth="1"/>
    <col min="20" max="20" width="8.7109375" style="82" customWidth="1"/>
    <col min="21" max="21" width="9.5703125" style="82" customWidth="1"/>
    <col min="22" max="26" width="9.85546875" style="82" customWidth="1"/>
    <col min="27" max="27" width="14.28515625" style="82" customWidth="1"/>
    <col min="28" max="1025" width="9.85546875" style="82" customWidth="1"/>
  </cols>
  <sheetData>
    <row r="1" spans="1:1024" ht="14.5" customHeight="1">
      <c r="A1"/>
      <c r="B1" s="177" t="s">
        <v>102</v>
      </c>
      <c r="C1" s="177"/>
      <c r="D1" s="177"/>
      <c r="E1" s="83"/>
      <c r="F1" s="84"/>
      <c r="G1"/>
      <c r="H1" s="177" t="s">
        <v>103</v>
      </c>
      <c r="I1" s="177"/>
      <c r="J1" s="177"/>
      <c r="K1" s="83"/>
      <c r="L1" s="84"/>
      <c r="M1"/>
      <c r="N1" s="177" t="s">
        <v>104</v>
      </c>
      <c r="O1" s="177"/>
      <c r="P1"/>
      <c r="Q1" s="177" t="s">
        <v>105</v>
      </c>
      <c r="R1" s="177"/>
      <c r="S1" s="177"/>
      <c r="T1" s="85" t="s">
        <v>11</v>
      </c>
      <c r="U1" s="85" t="s">
        <v>106</v>
      </c>
      <c r="V1" s="86" t="s">
        <v>107</v>
      </c>
      <c r="W1" s="87"/>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s="88" t="s">
        <v>108</v>
      </c>
      <c r="B2" s="89" t="s">
        <v>109</v>
      </c>
      <c r="C2" s="90"/>
      <c r="D2" s="91" t="s">
        <v>110</v>
      </c>
      <c r="E2" s="89" t="s">
        <v>109</v>
      </c>
      <c r="F2" s="92" t="s">
        <v>111</v>
      </c>
      <c r="G2" s="93"/>
      <c r="H2" s="89" t="s">
        <v>109</v>
      </c>
      <c r="I2" s="90"/>
      <c r="J2" s="91" t="s">
        <v>110</v>
      </c>
      <c r="K2" s="89" t="s">
        <v>109</v>
      </c>
      <c r="L2" s="92" t="s">
        <v>111</v>
      </c>
      <c r="M2" s="87"/>
      <c r="N2" s="90" t="s">
        <v>11</v>
      </c>
      <c r="O2" s="90" t="s">
        <v>106</v>
      </c>
      <c r="P2" s="87"/>
      <c r="Q2" s="90" t="s">
        <v>11</v>
      </c>
      <c r="R2" s="90" t="s">
        <v>106</v>
      </c>
      <c r="S2" s="90" t="s">
        <v>112</v>
      </c>
      <c r="T2" s="94">
        <f>Budget!H3</f>
        <v>60000</v>
      </c>
      <c r="U2" s="94">
        <f>T2+Budget!H7</f>
        <v>60000</v>
      </c>
      <c r="V2" s="95"/>
      <c r="W2" s="96"/>
    </row>
    <row r="3" spans="1:1024">
      <c r="A3" s="82" t="s">
        <v>113</v>
      </c>
      <c r="B3" s="97">
        <v>0.02</v>
      </c>
      <c r="C3" s="98" t="s">
        <v>114</v>
      </c>
      <c r="D3" s="99">
        <v>0</v>
      </c>
      <c r="E3" s="97">
        <v>0.02</v>
      </c>
      <c r="F3" s="100">
        <v>0</v>
      </c>
      <c r="G3" s="101"/>
      <c r="H3" s="97">
        <v>0.02</v>
      </c>
      <c r="I3" s="98" t="s">
        <v>114</v>
      </c>
      <c r="J3" s="99">
        <v>0</v>
      </c>
      <c r="K3" s="97">
        <v>0.02</v>
      </c>
      <c r="L3" s="100">
        <v>0</v>
      </c>
      <c r="M3" s="101"/>
      <c r="N3" s="102">
        <v>2500</v>
      </c>
      <c r="O3" s="102">
        <v>7500</v>
      </c>
      <c r="P3" s="101"/>
      <c r="Q3" s="102">
        <v>1500</v>
      </c>
      <c r="R3" s="102">
        <v>3000</v>
      </c>
      <c r="S3" s="102">
        <v>1000</v>
      </c>
      <c r="T3" s="94">
        <f>(($T$2-N3-Q3)-VLOOKUP(($T$2-N3-Q3),D3:F5,1,1))*VLOOKUP(($T$2-N3-Q3),D3:F5,2,1)+VLOOKUP(($T$2-N3-Q3),D3:F5,3,1)</f>
        <v>2760</v>
      </c>
      <c r="U3" s="94">
        <f>(($U$2-O3-R3)-VLOOKUP(($U$2-O3-R3),J3:L5,1,1))*VLOOKUP(($U$2-O3-R3),J3:L5,2,1)+VLOOKUP(($U$2-O3-R3),J3:L5,3,1)</f>
        <v>2395</v>
      </c>
      <c r="V3" s="103">
        <v>3</v>
      </c>
      <c r="W3" s="103">
        <v>3</v>
      </c>
      <c r="X3" s="104" t="s">
        <v>115</v>
      </c>
      <c r="Y3"/>
      <c r="Z3" s="82" t="s">
        <v>116</v>
      </c>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c r="B4" s="97">
        <v>0.04</v>
      </c>
      <c r="C4" s="98" t="s">
        <v>114</v>
      </c>
      <c r="D4" s="99">
        <v>500</v>
      </c>
      <c r="E4" s="97">
        <v>0.04</v>
      </c>
      <c r="F4" s="100">
        <f>E3*(D4-D3)+F3</f>
        <v>10</v>
      </c>
      <c r="G4" s="87"/>
      <c r="H4" s="97">
        <v>0.04</v>
      </c>
      <c r="I4" s="98" t="s">
        <v>114</v>
      </c>
      <c r="J4" s="99">
        <v>1000</v>
      </c>
      <c r="K4" s="97">
        <v>0.04</v>
      </c>
      <c r="L4" s="100">
        <f>K3*(J4-J3)+L3</f>
        <v>20</v>
      </c>
      <c r="M4" s="87"/>
      <c r="N4" s="98"/>
      <c r="O4" s="102"/>
      <c r="P4" s="87"/>
      <c r="Q4" s="102"/>
      <c r="R4" s="102"/>
      <c r="S4" s="98"/>
      <c r="T4" s="85"/>
      <c r="U4" s="85"/>
      <c r="V4" s="103"/>
      <c r="W4" s="103"/>
      <c r="X4"/>
      <c r="Y4"/>
      <c r="Z4" s="82" t="s">
        <v>113</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c r="B5" s="97">
        <v>0.05</v>
      </c>
      <c r="C5" s="98" t="s">
        <v>114</v>
      </c>
      <c r="D5" s="99">
        <v>3000</v>
      </c>
      <c r="E5" s="97">
        <v>0.05</v>
      </c>
      <c r="F5" s="100">
        <f>E4*(D5-D4)+F4</f>
        <v>110</v>
      </c>
      <c r="G5" s="87"/>
      <c r="H5" s="97">
        <v>0.05</v>
      </c>
      <c r="I5" s="98" t="s">
        <v>114</v>
      </c>
      <c r="J5" s="99">
        <v>6000</v>
      </c>
      <c r="K5" s="97">
        <v>0.05</v>
      </c>
      <c r="L5" s="100">
        <f>K4*(J5-J4)+L4</f>
        <v>220</v>
      </c>
      <c r="M5" s="87"/>
      <c r="N5" s="98"/>
      <c r="O5" s="102"/>
      <c r="P5" s="87"/>
      <c r="Q5" s="102"/>
      <c r="R5" s="102"/>
      <c r="S5" s="98"/>
      <c r="T5" s="85"/>
      <c r="U5" s="85"/>
      <c r="V5" s="103"/>
      <c r="W5" s="103"/>
      <c r="X5"/>
      <c r="Y5"/>
      <c r="Z5" s="82" t="s">
        <v>117</v>
      </c>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c r="B6" s="97"/>
      <c r="C6" s="98"/>
      <c r="D6" s="99"/>
      <c r="E6" s="97"/>
      <c r="F6" s="100"/>
      <c r="G6" s="87"/>
      <c r="H6" s="97"/>
      <c r="I6" s="98"/>
      <c r="J6" s="99"/>
      <c r="K6" s="97"/>
      <c r="L6" s="100"/>
      <c r="M6" s="87"/>
      <c r="N6" s="98"/>
      <c r="O6" s="102"/>
      <c r="P6" s="87"/>
      <c r="Q6" s="102"/>
      <c r="R6" s="102"/>
      <c r="S6" s="98"/>
      <c r="T6" s="85"/>
      <c r="U6" s="85"/>
      <c r="V6" s="103"/>
      <c r="W6" s="103"/>
      <c r="X6"/>
      <c r="Y6"/>
      <c r="Z6" s="82" t="s">
        <v>118</v>
      </c>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s="82" t="s">
        <v>116</v>
      </c>
      <c r="B7" s="178" t="s">
        <v>119</v>
      </c>
      <c r="C7" s="178"/>
      <c r="D7" s="178"/>
      <c r="E7" s="98"/>
      <c r="F7" s="105"/>
      <c r="G7" s="101"/>
      <c r="H7" s="178" t="s">
        <v>119</v>
      </c>
      <c r="I7" s="178"/>
      <c r="J7" s="178"/>
      <c r="K7" s="98"/>
      <c r="L7" s="105"/>
      <c r="M7" s="101"/>
      <c r="N7" s="98" t="s">
        <v>120</v>
      </c>
      <c r="O7" s="102" t="s">
        <v>120</v>
      </c>
      <c r="P7" s="101"/>
      <c r="Q7" s="102" t="s">
        <v>120</v>
      </c>
      <c r="R7" s="102" t="s">
        <v>120</v>
      </c>
      <c r="S7" s="98" t="s">
        <v>120</v>
      </c>
      <c r="T7" s="94">
        <v>0</v>
      </c>
      <c r="U7" s="94">
        <v>0</v>
      </c>
      <c r="V7" s="103"/>
      <c r="W7" s="103"/>
      <c r="X7"/>
      <c r="Y7"/>
      <c r="Z7" s="82" t="s">
        <v>121</v>
      </c>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c r="A8"/>
      <c r="B8" s="97"/>
      <c r="C8" s="98"/>
      <c r="D8" s="99"/>
      <c r="E8" s="97"/>
      <c r="F8" s="100"/>
      <c r="G8" s="87"/>
      <c r="H8" s="97"/>
      <c r="I8" s="98"/>
      <c r="J8" s="99"/>
      <c r="K8" s="97"/>
      <c r="L8" s="100"/>
      <c r="M8" s="87"/>
      <c r="N8" s="98"/>
      <c r="O8" s="102"/>
      <c r="P8" s="87"/>
      <c r="Q8" s="102"/>
      <c r="R8" s="102"/>
      <c r="S8" s="98"/>
      <c r="T8" s="85"/>
      <c r="U8" s="85"/>
      <c r="V8" s="103"/>
      <c r="W8" s="103"/>
      <c r="X8"/>
      <c r="Y8"/>
      <c r="Z8" s="82" t="s">
        <v>122</v>
      </c>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c r="A9" s="82" t="s">
        <v>118</v>
      </c>
      <c r="B9" s="97">
        <v>2.5899999999999999E-2</v>
      </c>
      <c r="C9" s="98" t="s">
        <v>114</v>
      </c>
      <c r="D9" s="99">
        <v>0</v>
      </c>
      <c r="E9" s="97">
        <v>2.5899999999999999E-2</v>
      </c>
      <c r="F9" s="100">
        <v>0</v>
      </c>
      <c r="G9" s="101"/>
      <c r="H9" s="97">
        <v>2.5899999999999999E-2</v>
      </c>
      <c r="I9" s="98" t="s">
        <v>114</v>
      </c>
      <c r="J9" s="99">
        <v>0</v>
      </c>
      <c r="K9" s="97">
        <v>2.5899999999999999E-2</v>
      </c>
      <c r="L9" s="100">
        <v>0</v>
      </c>
      <c r="M9" s="101"/>
      <c r="N9" s="102">
        <v>5009</v>
      </c>
      <c r="O9" s="102">
        <v>10010</v>
      </c>
      <c r="P9" s="101"/>
      <c r="Q9" s="102">
        <v>2100</v>
      </c>
      <c r="R9" s="102">
        <v>4200</v>
      </c>
      <c r="S9" s="102">
        <v>2300</v>
      </c>
      <c r="T9" s="94">
        <f>(($T$2-N9-Q9)-VLOOKUP(($T$2-N9-Q9),D9:F13,1,1))*VLOOKUP(($T$2-N9-Q9),D9:F13,2,1)+VLOOKUP(($T$2-N9-Q9),D9:F13,3,1)</f>
        <v>1653.5784000000001</v>
      </c>
      <c r="U9" s="94">
        <f>(($U$2-O9-R9)-VLOOKUP(($U$2-O9-R9),J9:L13,1,1))*VLOOKUP(($U$2-O9-R9),J9:L13,2,1)+VLOOKUP(($U$2-O9-R9),J9:L13,3,1)</f>
        <v>1260.752</v>
      </c>
      <c r="V9" s="103">
        <v>5</v>
      </c>
      <c r="W9" s="103">
        <v>5</v>
      </c>
      <c r="X9" s="106" t="s">
        <v>123</v>
      </c>
      <c r="Y9"/>
      <c r="Z9" s="82" t="s">
        <v>124</v>
      </c>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c r="A10"/>
      <c r="B10" s="97">
        <v>2.8799999999999999E-2</v>
      </c>
      <c r="C10" s="98" t="s">
        <v>114</v>
      </c>
      <c r="D10" s="99">
        <v>10000</v>
      </c>
      <c r="E10" s="97">
        <v>2.8799999999999999E-2</v>
      </c>
      <c r="F10" s="100">
        <f>E9*(D10-D9)+F9</f>
        <v>259</v>
      </c>
      <c r="G10" s="87"/>
      <c r="H10" s="97">
        <v>2.8799999999999999E-2</v>
      </c>
      <c r="I10" s="98" t="s">
        <v>114</v>
      </c>
      <c r="J10" s="99">
        <v>20000</v>
      </c>
      <c r="K10" s="97">
        <v>2.8799999999999999E-2</v>
      </c>
      <c r="L10" s="100">
        <f>K9*(J10-J9)+L9</f>
        <v>518</v>
      </c>
      <c r="M10" s="87"/>
      <c r="N10" s="98"/>
      <c r="O10" s="102"/>
      <c r="P10" s="87"/>
      <c r="Q10" s="102"/>
      <c r="R10" s="102"/>
      <c r="S10" s="98"/>
      <c r="T10" s="85"/>
      <c r="U10" s="85"/>
      <c r="V10" s="103"/>
      <c r="W10" s="103"/>
      <c r="X10"/>
      <c r="Y10"/>
      <c r="Z10" s="82" t="s">
        <v>125</v>
      </c>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c r="A11"/>
      <c r="B11" s="97">
        <v>3.3599999999999998E-2</v>
      </c>
      <c r="C11" s="98" t="s">
        <v>114</v>
      </c>
      <c r="D11" s="99">
        <v>25000</v>
      </c>
      <c r="E11" s="97">
        <v>3.3599999999999998E-2</v>
      </c>
      <c r="F11" s="100">
        <f>E10*(D11-D10)+F10</f>
        <v>691</v>
      </c>
      <c r="G11" s="87"/>
      <c r="H11" s="97">
        <v>3.3599999999999998E-2</v>
      </c>
      <c r="I11" s="98" t="s">
        <v>114</v>
      </c>
      <c r="J11" s="99">
        <v>50000</v>
      </c>
      <c r="K11" s="97">
        <v>3.3599999999999998E-2</v>
      </c>
      <c r="L11" s="100">
        <f>K10*(J11-J10)+L10</f>
        <v>1382</v>
      </c>
      <c r="M11" s="87"/>
      <c r="N11" s="98"/>
      <c r="O11" s="102"/>
      <c r="P11" s="87"/>
      <c r="Q11" s="102"/>
      <c r="R11" s="102"/>
      <c r="S11" s="98"/>
      <c r="T11" s="85"/>
      <c r="U11" s="85"/>
      <c r="V11" s="103"/>
      <c r="W11" s="103"/>
      <c r="X11"/>
      <c r="Y11"/>
      <c r="Z11" s="82" t="s">
        <v>126</v>
      </c>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c r="A12"/>
      <c r="B12" s="97">
        <v>4.24E-2</v>
      </c>
      <c r="C12" s="98" t="s">
        <v>114</v>
      </c>
      <c r="D12" s="99">
        <v>50000</v>
      </c>
      <c r="E12" s="97">
        <v>4.24E-2</v>
      </c>
      <c r="F12" s="100">
        <f>E11*(D12-D11)+F11</f>
        <v>1531</v>
      </c>
      <c r="G12" s="87"/>
      <c r="H12" s="97">
        <v>4.24E-2</v>
      </c>
      <c r="I12" s="98" t="s">
        <v>114</v>
      </c>
      <c r="J12" s="99">
        <v>100000</v>
      </c>
      <c r="K12" s="97">
        <v>4.24E-2</v>
      </c>
      <c r="L12" s="100">
        <f>K11*(J12-J11)+L11</f>
        <v>3062</v>
      </c>
      <c r="M12" s="87"/>
      <c r="N12" s="98"/>
      <c r="O12" s="98"/>
      <c r="P12" s="87"/>
      <c r="Q12" s="98"/>
      <c r="R12" s="98"/>
      <c r="S12" s="98"/>
      <c r="T12" s="85"/>
      <c r="U12" s="85"/>
      <c r="V12" s="103"/>
      <c r="W12" s="103"/>
      <c r="X12"/>
      <c r="Y12"/>
      <c r="Z12" s="82" t="s">
        <v>127</v>
      </c>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c r="A13"/>
      <c r="B13" s="97">
        <v>4.5400000000000003E-2</v>
      </c>
      <c r="C13" s="98" t="s">
        <v>114</v>
      </c>
      <c r="D13" s="99">
        <v>150000</v>
      </c>
      <c r="E13" s="97">
        <v>4.5400000000000003E-2</v>
      </c>
      <c r="F13" s="100">
        <f>E12*(D13-D12)+F12</f>
        <v>5771</v>
      </c>
      <c r="G13" s="87"/>
      <c r="H13" s="97">
        <v>4.5400000000000003E-2</v>
      </c>
      <c r="I13" s="98" t="s">
        <v>114</v>
      </c>
      <c r="J13" s="99">
        <v>300000</v>
      </c>
      <c r="K13" s="97">
        <v>4.5400000000000003E-2</v>
      </c>
      <c r="L13" s="100">
        <f>K12*(J13-J12)+L12</f>
        <v>11542</v>
      </c>
      <c r="M13" s="87"/>
      <c r="N13" s="98"/>
      <c r="O13" s="98"/>
      <c r="P13" s="87"/>
      <c r="Q13" s="98"/>
      <c r="R13" s="98"/>
      <c r="S13" s="98"/>
      <c r="T13" s="85"/>
      <c r="U13" s="85"/>
      <c r="V13" s="103"/>
      <c r="W13" s="103"/>
      <c r="X13"/>
      <c r="Y13"/>
      <c r="Z13" s="82" t="s">
        <v>128</v>
      </c>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c r="A14"/>
      <c r="B14" s="97"/>
      <c r="C14" s="98"/>
      <c r="D14" s="99"/>
      <c r="E14" s="97"/>
      <c r="F14" s="100"/>
      <c r="G14" s="87"/>
      <c r="H14" s="97"/>
      <c r="I14" s="98"/>
      <c r="J14" s="99"/>
      <c r="K14" s="97"/>
      <c r="L14" s="100"/>
      <c r="M14" s="87"/>
      <c r="N14" s="98"/>
      <c r="O14" s="102"/>
      <c r="P14" s="87"/>
      <c r="Q14" s="102"/>
      <c r="R14" s="102"/>
      <c r="S14" s="98"/>
      <c r="T14" s="85"/>
      <c r="U14" s="85"/>
      <c r="V14" s="103"/>
      <c r="W14" s="103"/>
      <c r="X14"/>
      <c r="Y14"/>
      <c r="Z14" s="82" t="s">
        <v>129</v>
      </c>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c r="A15" s="82" t="s">
        <v>117</v>
      </c>
      <c r="B15" s="97">
        <v>0.01</v>
      </c>
      <c r="C15" s="98" t="s">
        <v>114</v>
      </c>
      <c r="D15" s="99">
        <v>0</v>
      </c>
      <c r="E15" s="97">
        <v>0.01</v>
      </c>
      <c r="F15" s="100">
        <v>0</v>
      </c>
      <c r="G15" s="87"/>
      <c r="H15" s="97">
        <v>0.01</v>
      </c>
      <c r="I15" s="98" t="s">
        <v>114</v>
      </c>
      <c r="J15" s="99">
        <v>0</v>
      </c>
      <c r="K15" s="97">
        <v>0.01</v>
      </c>
      <c r="L15" s="100">
        <v>0</v>
      </c>
      <c r="M15" s="87"/>
      <c r="N15" s="102">
        <v>2000</v>
      </c>
      <c r="O15" s="102">
        <v>4000</v>
      </c>
      <c r="P15" s="87"/>
      <c r="Q15" s="102">
        <v>26</v>
      </c>
      <c r="R15" s="102">
        <v>52</v>
      </c>
      <c r="S15" s="102">
        <v>26</v>
      </c>
      <c r="T15" s="94">
        <f>(($T$2-N15-Q15)-VLOOKUP(($T$2-N15-Q15),D15:F20,1,1))*VLOOKUP(($T$2-N15-Q15),D15:F20,2,1)+VLOOKUP(($T$2-N15-Q15),D15:F20,3,1)</f>
        <v>3117.7400000000002</v>
      </c>
      <c r="U15" s="94">
        <f>(($U$2-O15-R15)-VLOOKUP(($U$2-O15-R15),J15:L20,1,1))*VLOOKUP(($U$2-O15-R15),J15:L20,2,1)+VLOOKUP(($U$2-O15-R15),J15:L20,3,1)</f>
        <v>2975.92</v>
      </c>
      <c r="V15" s="103">
        <v>6</v>
      </c>
      <c r="W15" s="103">
        <v>6</v>
      </c>
      <c r="X15" s="106" t="s">
        <v>130</v>
      </c>
      <c r="Y15"/>
      <c r="Z15" s="82" t="s">
        <v>131</v>
      </c>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c r="A16"/>
      <c r="B16" s="97">
        <v>2.5000000000000001E-2</v>
      </c>
      <c r="C16" s="98" t="s">
        <v>114</v>
      </c>
      <c r="D16" s="99">
        <v>4299</v>
      </c>
      <c r="E16" s="97">
        <v>2.5000000000000001E-2</v>
      </c>
      <c r="F16" s="100">
        <f>E15*(D16-D15)+F15</f>
        <v>42.99</v>
      </c>
      <c r="G16" s="87"/>
      <c r="H16" s="97">
        <v>2.5000000000000001E-2</v>
      </c>
      <c r="I16" s="98" t="s">
        <v>114</v>
      </c>
      <c r="J16" s="99">
        <v>4299</v>
      </c>
      <c r="K16" s="97">
        <v>2.5000000000000001E-2</v>
      </c>
      <c r="L16" s="100">
        <f>K15*(J16-J15)+L15</f>
        <v>42.99</v>
      </c>
      <c r="M16" s="87"/>
      <c r="N16" s="98"/>
      <c r="O16" s="102"/>
      <c r="P16" s="87"/>
      <c r="Q16" s="102"/>
      <c r="R16" s="102"/>
      <c r="S16" s="98"/>
      <c r="T16" s="85"/>
      <c r="U16" s="85"/>
      <c r="V16" s="103"/>
      <c r="W16" s="103"/>
      <c r="X16"/>
      <c r="Y16"/>
      <c r="Z16" s="82" t="s">
        <v>132</v>
      </c>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c r="A17"/>
      <c r="B17" s="97">
        <v>3.5000000000000003E-2</v>
      </c>
      <c r="C17" s="98" t="s">
        <v>114</v>
      </c>
      <c r="D17" s="99">
        <v>8399</v>
      </c>
      <c r="E17" s="97">
        <v>3.5000000000000003E-2</v>
      </c>
      <c r="F17" s="100">
        <f>E16*(D17-D16)+F16</f>
        <v>145.49</v>
      </c>
      <c r="G17" s="87"/>
      <c r="H17" s="97">
        <v>3.5000000000000003E-2</v>
      </c>
      <c r="I17" s="98" t="s">
        <v>114</v>
      </c>
      <c r="J17" s="99">
        <v>8399</v>
      </c>
      <c r="K17" s="97">
        <v>3.5000000000000003E-2</v>
      </c>
      <c r="L17" s="100">
        <f>K16*(J17-J16)+L16</f>
        <v>145.49</v>
      </c>
      <c r="M17" s="87"/>
      <c r="N17" s="98"/>
      <c r="O17" s="102"/>
      <c r="P17" s="87"/>
      <c r="Q17" s="102"/>
      <c r="R17" s="102"/>
      <c r="S17" s="98"/>
      <c r="T17" s="85"/>
      <c r="U17" s="85"/>
      <c r="V17" s="103"/>
      <c r="W17" s="103"/>
      <c r="X17"/>
      <c r="Y17"/>
      <c r="Z17" s="82" t="s">
        <v>133</v>
      </c>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c r="B18" s="97">
        <v>4.4999999999999998E-2</v>
      </c>
      <c r="C18" s="98" t="s">
        <v>114</v>
      </c>
      <c r="D18" s="99">
        <v>12599</v>
      </c>
      <c r="E18" s="97">
        <v>4.4999999999999998E-2</v>
      </c>
      <c r="F18" s="100">
        <f>E17*(D18-D17)+F17</f>
        <v>292.49</v>
      </c>
      <c r="G18" s="87"/>
      <c r="H18" s="97">
        <v>4.4999999999999998E-2</v>
      </c>
      <c r="I18" s="98" t="s">
        <v>114</v>
      </c>
      <c r="J18" s="99">
        <v>12599</v>
      </c>
      <c r="K18" s="97">
        <v>4.4999999999999998E-2</v>
      </c>
      <c r="L18" s="100">
        <f>K17*(J18-J17)+L17</f>
        <v>292.49</v>
      </c>
      <c r="M18" s="87"/>
      <c r="N18" s="98"/>
      <c r="O18" s="98"/>
      <c r="P18" s="87"/>
      <c r="Q18" s="98"/>
      <c r="R18" s="98"/>
      <c r="S18" s="98"/>
      <c r="T18" s="85"/>
      <c r="U18" s="85"/>
      <c r="V18" s="103"/>
      <c r="W18" s="103"/>
      <c r="X18"/>
      <c r="Y18"/>
      <c r="Z18" s="82" t="s">
        <v>4</v>
      </c>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c r="A19"/>
      <c r="B19" s="97">
        <v>0.06</v>
      </c>
      <c r="C19" s="98" t="s">
        <v>114</v>
      </c>
      <c r="D19" s="99">
        <v>20999</v>
      </c>
      <c r="E19" s="97">
        <v>0.06</v>
      </c>
      <c r="F19" s="100">
        <f>E18*(D19-D18)+F18</f>
        <v>670.49</v>
      </c>
      <c r="G19" s="87"/>
      <c r="H19" s="97">
        <v>0.06</v>
      </c>
      <c r="I19" s="98" t="s">
        <v>114</v>
      </c>
      <c r="J19" s="99">
        <v>20999</v>
      </c>
      <c r="K19" s="97">
        <v>0.06</v>
      </c>
      <c r="L19" s="100">
        <f>K18*(J19-J18)+L18</f>
        <v>670.49</v>
      </c>
      <c r="M19" s="87"/>
      <c r="N19" s="98"/>
      <c r="O19" s="98"/>
      <c r="P19" s="87"/>
      <c r="Q19" s="98"/>
      <c r="R19" s="98"/>
      <c r="S19" s="98"/>
      <c r="T19" s="85"/>
      <c r="U19" s="85"/>
      <c r="V19" s="103"/>
      <c r="W19" s="103"/>
      <c r="X19"/>
      <c r="Y19"/>
      <c r="Z19" s="82" t="s">
        <v>134</v>
      </c>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c r="B20" s="97">
        <v>7.0000000000000007E-2</v>
      </c>
      <c r="C20" s="98" t="s">
        <v>114</v>
      </c>
      <c r="D20" s="99">
        <v>35099</v>
      </c>
      <c r="E20" s="97">
        <v>7.0000000000000007E-2</v>
      </c>
      <c r="F20" s="100">
        <f>E19*(D20-D19)+F19</f>
        <v>1516.49</v>
      </c>
      <c r="G20" s="87"/>
      <c r="H20" s="97">
        <v>7.0000000000000007E-2</v>
      </c>
      <c r="I20" s="98" t="s">
        <v>114</v>
      </c>
      <c r="J20" s="99">
        <v>35099</v>
      </c>
      <c r="K20" s="97">
        <v>7.0000000000000007E-2</v>
      </c>
      <c r="L20" s="100">
        <f>K19*(J20-J19)+L19</f>
        <v>1516.49</v>
      </c>
      <c r="M20" s="87"/>
      <c r="N20" s="98"/>
      <c r="O20" s="98"/>
      <c r="P20" s="87"/>
      <c r="Q20" s="98"/>
      <c r="R20" s="98"/>
      <c r="S20" s="98"/>
      <c r="T20" s="85"/>
      <c r="U20" s="85"/>
      <c r="V20" s="103"/>
      <c r="W20" s="103"/>
      <c r="X20"/>
      <c r="Y20"/>
      <c r="Z20" s="82" t="s">
        <v>135</v>
      </c>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c r="A21"/>
      <c r="B21" s="97"/>
      <c r="C21" s="98"/>
      <c r="D21" s="99"/>
      <c r="E21" s="97"/>
      <c r="F21" s="100"/>
      <c r="G21" s="87"/>
      <c r="H21" s="97"/>
      <c r="I21" s="98"/>
      <c r="J21" s="99"/>
      <c r="K21" s="97"/>
      <c r="L21" s="100"/>
      <c r="M21" s="87"/>
      <c r="N21" s="98"/>
      <c r="O21" s="102"/>
      <c r="P21" s="87"/>
      <c r="Q21" s="102"/>
      <c r="R21" s="102"/>
      <c r="S21" s="98"/>
      <c r="T21" s="85"/>
      <c r="U21" s="85"/>
      <c r="V21" s="103"/>
      <c r="W21" s="103"/>
      <c r="X21"/>
      <c r="Y21"/>
      <c r="Z21" s="82" t="s">
        <v>136</v>
      </c>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c r="A22" s="82" t="s">
        <v>121</v>
      </c>
      <c r="B22" s="97">
        <v>0.01</v>
      </c>
      <c r="C22" s="98" t="s">
        <v>114</v>
      </c>
      <c r="D22" s="99">
        <v>0</v>
      </c>
      <c r="E22" s="97">
        <v>0.01</v>
      </c>
      <c r="F22" s="100">
        <v>0</v>
      </c>
      <c r="G22" s="87"/>
      <c r="H22" s="97">
        <v>0.01</v>
      </c>
      <c r="I22" s="98" t="s">
        <v>114</v>
      </c>
      <c r="J22" s="99">
        <v>0</v>
      </c>
      <c r="K22" s="97">
        <v>0.01</v>
      </c>
      <c r="L22" s="100">
        <v>0</v>
      </c>
      <c r="M22" s="87"/>
      <c r="N22" s="102">
        <v>3992</v>
      </c>
      <c r="O22" s="102">
        <v>7984</v>
      </c>
      <c r="P22" s="87"/>
      <c r="Q22" s="102">
        <v>108</v>
      </c>
      <c r="R22" s="102">
        <v>216</v>
      </c>
      <c r="S22" s="102">
        <v>333</v>
      </c>
      <c r="T22" s="94">
        <f>(($T$2-N22-Q22)-VLOOKUP(($T$2-N22-Q22),D22:F31,1,1))*VLOOKUP(($T$2-N22-Q22),D22:F31,2,1)+VLOOKUP(($T$2-N22-Q22),D22:F31,3,1)</f>
        <v>2709.933</v>
      </c>
      <c r="U22" s="94">
        <f>(($U$2-O22-R22)-VLOOKUP(($U$2-O22-R22),J22:L31,1,1))*VLOOKUP(($U$2-O22-R22),J22:L31,2,1)+VLOOKUP(($U$2-O22-R22),J22:L31,3,1)</f>
        <v>1182.18</v>
      </c>
      <c r="V22" s="103">
        <v>10</v>
      </c>
      <c r="W22" s="103">
        <v>10</v>
      </c>
      <c r="X22" s="106" t="s">
        <v>137</v>
      </c>
      <c r="Y22"/>
      <c r="Z22" s="82" t="s">
        <v>138</v>
      </c>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c r="A23"/>
      <c r="B23" s="97">
        <v>0.02</v>
      </c>
      <c r="C23" s="98" t="s">
        <v>114</v>
      </c>
      <c r="D23" s="99">
        <v>7749</v>
      </c>
      <c r="E23" s="97">
        <v>0.02</v>
      </c>
      <c r="F23" s="100">
        <f t="shared" ref="F23:F31" si="0">E22*(D23-D22)+F22</f>
        <v>77.489999999999995</v>
      </c>
      <c r="G23" s="87"/>
      <c r="H23" s="97">
        <v>0.02</v>
      </c>
      <c r="I23" s="98" t="s">
        <v>114</v>
      </c>
      <c r="J23" s="99">
        <v>15498</v>
      </c>
      <c r="K23" s="97">
        <v>0.02</v>
      </c>
      <c r="L23" s="100">
        <f t="shared" ref="L23:L31" si="1">K22*(J23-J22)+L22</f>
        <v>154.97999999999999</v>
      </c>
      <c r="M23" s="87"/>
      <c r="N23" s="98"/>
      <c r="O23" s="102"/>
      <c r="P23" s="87"/>
      <c r="Q23" s="102"/>
      <c r="R23" s="102"/>
      <c r="S23" s="98"/>
      <c r="T23" s="85"/>
      <c r="U23" s="85"/>
      <c r="V23" s="103"/>
      <c r="W23" s="103"/>
      <c r="X23"/>
      <c r="Y23"/>
      <c r="Z23" s="82" t="s">
        <v>139</v>
      </c>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c r="A24" s="106"/>
      <c r="B24" s="97">
        <v>0.04</v>
      </c>
      <c r="C24" s="98" t="s">
        <v>114</v>
      </c>
      <c r="D24" s="99">
        <v>18371</v>
      </c>
      <c r="E24" s="97">
        <v>0.04</v>
      </c>
      <c r="F24" s="100">
        <f t="shared" si="0"/>
        <v>289.93</v>
      </c>
      <c r="G24" s="87"/>
      <c r="H24" s="97">
        <v>0.04</v>
      </c>
      <c r="I24" s="98" t="s">
        <v>114</v>
      </c>
      <c r="J24" s="99">
        <v>36742</v>
      </c>
      <c r="K24" s="97">
        <v>0.04</v>
      </c>
      <c r="L24" s="100">
        <f t="shared" si="1"/>
        <v>579.86</v>
      </c>
      <c r="M24" s="87"/>
      <c r="N24" s="98"/>
      <c r="O24" s="102"/>
      <c r="P24" s="87"/>
      <c r="Q24" s="102"/>
      <c r="R24" s="102"/>
      <c r="S24" s="98"/>
      <c r="T24" s="85"/>
      <c r="U24" s="85"/>
      <c r="V24" s="103"/>
      <c r="W24" s="103"/>
      <c r="X24"/>
      <c r="Y24"/>
      <c r="Z24" s="82" t="s">
        <v>140</v>
      </c>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c r="A25"/>
      <c r="B25" s="97">
        <v>0.06</v>
      </c>
      <c r="C25" s="98" t="s">
        <v>114</v>
      </c>
      <c r="D25" s="99">
        <v>28995</v>
      </c>
      <c r="E25" s="97">
        <v>0.06</v>
      </c>
      <c r="F25" s="100">
        <f t="shared" si="0"/>
        <v>714.8900000000001</v>
      </c>
      <c r="G25" s="87"/>
      <c r="H25" s="97">
        <v>0.06</v>
      </c>
      <c r="I25" s="98" t="s">
        <v>114</v>
      </c>
      <c r="J25" s="99">
        <v>57990</v>
      </c>
      <c r="K25" s="97">
        <v>0.06</v>
      </c>
      <c r="L25" s="100">
        <f t="shared" si="1"/>
        <v>1429.7800000000002</v>
      </c>
      <c r="M25" s="87"/>
      <c r="N25" s="98"/>
      <c r="O25" s="98"/>
      <c r="P25" s="87"/>
      <c r="Q25" s="98"/>
      <c r="R25" s="98"/>
      <c r="S25" s="98"/>
      <c r="T25" s="85"/>
      <c r="U25" s="85"/>
      <c r="V25" s="103"/>
      <c r="W25" s="103"/>
      <c r="X25"/>
      <c r="Y25"/>
      <c r="Z25" s="82" t="s">
        <v>141</v>
      </c>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c r="A26"/>
      <c r="B26" s="97">
        <v>0.08</v>
      </c>
      <c r="C26" s="98" t="s">
        <v>114</v>
      </c>
      <c r="D26" s="99">
        <v>40250</v>
      </c>
      <c r="E26" s="97">
        <v>0.08</v>
      </c>
      <c r="F26" s="100">
        <f t="shared" si="0"/>
        <v>1390.19</v>
      </c>
      <c r="G26" s="87"/>
      <c r="H26" s="97">
        <v>0.08</v>
      </c>
      <c r="I26" s="98" t="s">
        <v>114</v>
      </c>
      <c r="J26" s="99">
        <v>80500</v>
      </c>
      <c r="K26" s="97">
        <v>0.08</v>
      </c>
      <c r="L26" s="100">
        <f t="shared" si="1"/>
        <v>2780.38</v>
      </c>
      <c r="M26" s="87"/>
      <c r="N26" s="98"/>
      <c r="O26" s="98"/>
      <c r="P26" s="87"/>
      <c r="Q26" s="98"/>
      <c r="R26" s="98"/>
      <c r="S26" s="98"/>
      <c r="T26" s="85"/>
      <c r="U26" s="85"/>
      <c r="V26" s="103"/>
      <c r="W26" s="103"/>
      <c r="X26"/>
      <c r="Y26"/>
      <c r="Z26" s="82" t="s">
        <v>142</v>
      </c>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c r="A27"/>
      <c r="B27" s="97">
        <v>9.2999999999999999E-2</v>
      </c>
      <c r="C27" s="98" t="s">
        <v>114</v>
      </c>
      <c r="D27" s="99">
        <v>50689</v>
      </c>
      <c r="E27" s="97">
        <v>9.2999999999999999E-2</v>
      </c>
      <c r="F27" s="100">
        <f t="shared" si="0"/>
        <v>2225.31</v>
      </c>
      <c r="G27" s="87"/>
      <c r="H27" s="97">
        <v>9.2999999999999999E-2</v>
      </c>
      <c r="I27" s="98" t="s">
        <v>114</v>
      </c>
      <c r="J27" s="99">
        <v>101738</v>
      </c>
      <c r="K27" s="97">
        <v>9.2999999999999999E-2</v>
      </c>
      <c r="L27" s="100">
        <f t="shared" si="1"/>
        <v>4479.42</v>
      </c>
      <c r="M27" s="87"/>
      <c r="N27" s="98"/>
      <c r="O27" s="98"/>
      <c r="P27" s="87"/>
      <c r="Q27" s="98"/>
      <c r="R27" s="98"/>
      <c r="S27" s="98"/>
      <c r="T27" s="85"/>
      <c r="U27" s="85"/>
      <c r="V27" s="103"/>
      <c r="W27" s="103"/>
      <c r="X27"/>
      <c r="Y27"/>
      <c r="Z27" s="82" t="s">
        <v>143</v>
      </c>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c r="A28"/>
      <c r="B28" s="97">
        <v>0.10299999999999999</v>
      </c>
      <c r="C28" s="98" t="s">
        <v>114</v>
      </c>
      <c r="D28" s="99">
        <v>259844</v>
      </c>
      <c r="E28" s="97">
        <v>0.10299999999999999</v>
      </c>
      <c r="F28" s="100">
        <f t="shared" si="0"/>
        <v>21676.725000000002</v>
      </c>
      <c r="G28" s="87"/>
      <c r="H28" s="97">
        <v>0.10299999999999999</v>
      </c>
      <c r="I28" s="98" t="s">
        <v>114</v>
      </c>
      <c r="J28" s="99">
        <v>519688</v>
      </c>
      <c r="K28" s="97">
        <v>0.10299999999999999</v>
      </c>
      <c r="L28" s="100">
        <f t="shared" si="1"/>
        <v>43348.77</v>
      </c>
      <c r="M28" s="87"/>
      <c r="N28" s="98"/>
      <c r="O28" s="98"/>
      <c r="P28" s="87"/>
      <c r="Q28" s="98"/>
      <c r="R28" s="98"/>
      <c r="S28" s="98"/>
      <c r="T28" s="85"/>
      <c r="U28" s="85"/>
      <c r="V28" s="103"/>
      <c r="W28" s="103"/>
      <c r="X28"/>
      <c r="Y28"/>
      <c r="Z28" s="82" t="s">
        <v>144</v>
      </c>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c r="A29"/>
      <c r="B29" s="97">
        <v>0.113</v>
      </c>
      <c r="C29" s="98" t="s">
        <v>114</v>
      </c>
      <c r="D29" s="99">
        <v>311812</v>
      </c>
      <c r="E29" s="97">
        <v>0.113</v>
      </c>
      <c r="F29" s="100">
        <f t="shared" si="0"/>
        <v>27029.429000000004</v>
      </c>
      <c r="G29" s="87"/>
      <c r="H29" s="97">
        <v>0.113</v>
      </c>
      <c r="I29" s="98" t="s">
        <v>114</v>
      </c>
      <c r="J29" s="99">
        <v>623624</v>
      </c>
      <c r="K29" s="97">
        <v>0.113</v>
      </c>
      <c r="L29" s="100">
        <f t="shared" si="1"/>
        <v>54054.178</v>
      </c>
      <c r="M29" s="87"/>
      <c r="N29" s="98"/>
      <c r="O29" s="98"/>
      <c r="P29" s="87"/>
      <c r="Q29" s="98"/>
      <c r="R29" s="98"/>
      <c r="S29" s="98"/>
      <c r="T29" s="85"/>
      <c r="U29" s="85"/>
      <c r="V29" s="103"/>
      <c r="W29" s="103"/>
      <c r="X29"/>
      <c r="Y29"/>
      <c r="Z29" s="82" t="s">
        <v>145</v>
      </c>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c r="A30"/>
      <c r="B30" s="97">
        <v>0.123</v>
      </c>
      <c r="C30" s="98" t="s">
        <v>114</v>
      </c>
      <c r="D30" s="99">
        <v>519867</v>
      </c>
      <c r="E30" s="97">
        <v>0.123</v>
      </c>
      <c r="F30" s="100">
        <f t="shared" si="0"/>
        <v>50539.644</v>
      </c>
      <c r="G30" s="87"/>
      <c r="H30" s="97">
        <v>0.123</v>
      </c>
      <c r="I30" s="98" t="s">
        <v>114</v>
      </c>
      <c r="J30" s="99">
        <v>1000000</v>
      </c>
      <c r="K30" s="97">
        <v>0.123</v>
      </c>
      <c r="L30" s="100">
        <f t="shared" si="1"/>
        <v>96584.665999999997</v>
      </c>
      <c r="M30" s="87"/>
      <c r="N30" s="98"/>
      <c r="O30" s="98"/>
      <c r="P30" s="87"/>
      <c r="Q30" s="98"/>
      <c r="R30" s="98"/>
      <c r="S30" s="98"/>
      <c r="T30" s="85"/>
      <c r="U30" s="85"/>
      <c r="V30" s="103"/>
      <c r="W30" s="103"/>
      <c r="X30"/>
      <c r="Y30"/>
      <c r="Z30" s="82" t="s">
        <v>146</v>
      </c>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c r="B31" s="97">
        <v>0.13300000000000001</v>
      </c>
      <c r="C31" s="98" t="s">
        <v>114</v>
      </c>
      <c r="D31" s="99">
        <v>1000000</v>
      </c>
      <c r="E31" s="97">
        <v>0.13300000000000001</v>
      </c>
      <c r="F31" s="100">
        <f t="shared" si="0"/>
        <v>109596.003</v>
      </c>
      <c r="G31" s="87"/>
      <c r="H31" s="97">
        <v>0.13300000000000001</v>
      </c>
      <c r="I31" s="98" t="s">
        <v>114</v>
      </c>
      <c r="J31" s="99">
        <v>1039374</v>
      </c>
      <c r="K31" s="97">
        <v>0.13300000000000001</v>
      </c>
      <c r="L31" s="100">
        <f t="shared" si="1"/>
        <v>101427.66799999999</v>
      </c>
      <c r="M31" s="87"/>
      <c r="N31" s="98"/>
      <c r="O31" s="98"/>
      <c r="P31" s="87"/>
      <c r="Q31" s="98"/>
      <c r="R31" s="98"/>
      <c r="S31" s="98"/>
      <c r="T31" s="85"/>
      <c r="U31" s="85"/>
      <c r="V31" s="103"/>
      <c r="W31" s="103"/>
      <c r="X31"/>
      <c r="Y31"/>
      <c r="Z31" s="82" t="s">
        <v>147</v>
      </c>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c r="B32"/>
      <c r="C32"/>
      <c r="D32"/>
      <c r="E32"/>
      <c r="F32"/>
      <c r="G32"/>
      <c r="H32"/>
      <c r="I32"/>
      <c r="J32"/>
      <c r="K32"/>
      <c r="L32"/>
      <c r="M32"/>
      <c r="N32"/>
      <c r="O32" s="102"/>
      <c r="P32"/>
      <c r="Q32" s="102"/>
      <c r="R32" s="102"/>
      <c r="S32"/>
      <c r="T32"/>
      <c r="U32"/>
      <c r="V32" s="103"/>
      <c r="W32" s="103"/>
      <c r="X32"/>
      <c r="Y32"/>
      <c r="Z32" s="82" t="s">
        <v>148</v>
      </c>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s="82" t="s">
        <v>122</v>
      </c>
      <c r="B33" s="178" t="s">
        <v>149</v>
      </c>
      <c r="C33" s="178"/>
      <c r="D33" s="178"/>
      <c r="E33"/>
      <c r="F33" s="107"/>
      <c r="G33" s="101"/>
      <c r="H33" s="178" t="s">
        <v>149</v>
      </c>
      <c r="I33" s="178"/>
      <c r="J33" s="178"/>
      <c r="K33"/>
      <c r="L33" s="107"/>
      <c r="M33" s="101"/>
      <c r="N33" s="102">
        <v>6300</v>
      </c>
      <c r="O33" s="102">
        <v>12600</v>
      </c>
      <c r="P33" s="87"/>
      <c r="Q33" s="102">
        <v>4050</v>
      </c>
      <c r="R33" s="102">
        <v>8100</v>
      </c>
      <c r="S33" s="98" t="s">
        <v>120</v>
      </c>
      <c r="T33" s="94">
        <f>($T$2-N33-Q33)*0.0463</f>
        <v>2298.7950000000001</v>
      </c>
      <c r="U33" s="94">
        <f>($U$2-O33-R33)*0.0463</f>
        <v>1819.5900000000001</v>
      </c>
      <c r="V33" s="103">
        <v>1</v>
      </c>
      <c r="W33" s="103">
        <v>1</v>
      </c>
      <c r="X33"/>
      <c r="Y33"/>
      <c r="Z33" s="82" t="s">
        <v>150</v>
      </c>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c r="B34" s="178" t="s">
        <v>151</v>
      </c>
      <c r="C34" s="178"/>
      <c r="D34" s="178"/>
      <c r="E34"/>
      <c r="F34" s="107"/>
      <c r="G34"/>
      <c r="H34" s="178" t="s">
        <v>151</v>
      </c>
      <c r="I34" s="178"/>
      <c r="J34" s="178"/>
      <c r="K34"/>
      <c r="L34" s="107"/>
      <c r="M34"/>
      <c r="N34"/>
      <c r="O34"/>
      <c r="P34"/>
      <c r="Q34"/>
      <c r="R34"/>
      <c r="S34"/>
      <c r="T34"/>
      <c r="U34"/>
      <c r="V34" s="103"/>
      <c r="W34" s="103"/>
      <c r="X34"/>
      <c r="Y34"/>
      <c r="Z34" s="82" t="s">
        <v>152</v>
      </c>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c r="B35"/>
      <c r="C35"/>
      <c r="D35"/>
      <c r="E35"/>
      <c r="F35"/>
      <c r="G35"/>
      <c r="H35"/>
      <c r="I35"/>
      <c r="J35"/>
      <c r="K35"/>
      <c r="L35"/>
      <c r="M35"/>
      <c r="N35"/>
      <c r="O35" s="102"/>
      <c r="P35"/>
      <c r="Q35" s="102"/>
      <c r="R35" s="102"/>
      <c r="S35"/>
      <c r="T35"/>
      <c r="U35"/>
      <c r="V35" s="103"/>
      <c r="W35" s="103"/>
      <c r="X35"/>
      <c r="Y35"/>
      <c r="Z35" s="82" t="s">
        <v>153</v>
      </c>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s="82" t="s">
        <v>124</v>
      </c>
      <c r="B36" s="97">
        <v>0.03</v>
      </c>
      <c r="C36" s="98" t="s">
        <v>114</v>
      </c>
      <c r="D36" s="99">
        <v>0</v>
      </c>
      <c r="E36" s="97">
        <v>0.03</v>
      </c>
      <c r="F36" s="100">
        <v>0</v>
      </c>
      <c r="G36"/>
      <c r="H36" s="97">
        <v>0.03</v>
      </c>
      <c r="I36" s="98" t="s">
        <v>114</v>
      </c>
      <c r="J36" s="99">
        <v>0</v>
      </c>
      <c r="K36" s="97">
        <v>0.03</v>
      </c>
      <c r="L36" s="100">
        <v>0</v>
      </c>
      <c r="M36"/>
      <c r="N36" s="98">
        <v>0</v>
      </c>
      <c r="O36" s="98">
        <v>0</v>
      </c>
      <c r="P36"/>
      <c r="Q36" s="102">
        <v>15000</v>
      </c>
      <c r="R36" s="102">
        <v>24000</v>
      </c>
      <c r="S36" s="102">
        <v>0</v>
      </c>
      <c r="T36" s="94">
        <f>(($T$2-N36-Q36)-VLOOKUP(($T$2-N36-Q36),D36:F41,1,1))*VLOOKUP(($T$2-N36-Q36),D36:F41,2,1)+VLOOKUP(($T$2-N36-Q36),D36:F41,3,1)</f>
        <v>2050</v>
      </c>
      <c r="U36" s="94">
        <f>(($U$2-O36-R36)-VLOOKUP(($U$2-O36-R36),J36:L41,1,1))*VLOOKUP(($U$2-O36-R36),J36:L41,2,1)+VLOOKUP(($U$2-O36-R36),J36:L41,3,1)</f>
        <v>1400</v>
      </c>
      <c r="V36" s="103">
        <v>6</v>
      </c>
      <c r="W36" s="103">
        <v>6</v>
      </c>
      <c r="X36" s="106" t="s">
        <v>154</v>
      </c>
      <c r="Y36"/>
      <c r="Z36" s="82" t="s">
        <v>155</v>
      </c>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c r="A37"/>
      <c r="B37" s="97">
        <v>0.05</v>
      </c>
      <c r="C37" s="98" t="s">
        <v>114</v>
      </c>
      <c r="D37" s="99">
        <v>10000</v>
      </c>
      <c r="E37" s="97">
        <v>0.05</v>
      </c>
      <c r="F37" s="100">
        <f>E36*(D37-D36)+F36</f>
        <v>300</v>
      </c>
      <c r="G37"/>
      <c r="H37" s="97">
        <v>0.05</v>
      </c>
      <c r="I37" s="98" t="s">
        <v>114</v>
      </c>
      <c r="J37" s="99">
        <v>20000</v>
      </c>
      <c r="K37" s="97">
        <v>0.05</v>
      </c>
      <c r="L37" s="100">
        <f>K36*(J37-J36)+L36</f>
        <v>600</v>
      </c>
      <c r="M37"/>
      <c r="N37"/>
      <c r="O37"/>
      <c r="P37"/>
      <c r="Q37"/>
      <c r="R37"/>
      <c r="S37"/>
      <c r="T37"/>
      <c r="U37"/>
      <c r="V37" s="103"/>
      <c r="W37" s="103"/>
      <c r="X37"/>
      <c r="Y37"/>
      <c r="Z37" s="82" t="s">
        <v>156</v>
      </c>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c r="A38"/>
      <c r="B38" s="97">
        <v>5.5E-2</v>
      </c>
      <c r="C38" s="98" t="s">
        <v>114</v>
      </c>
      <c r="D38" s="99">
        <v>50000</v>
      </c>
      <c r="E38" s="97">
        <v>5.5E-2</v>
      </c>
      <c r="F38" s="100">
        <f>E37*(D38-D37)+F37</f>
        <v>2300</v>
      </c>
      <c r="G38"/>
      <c r="H38" s="97">
        <v>5.5E-2</v>
      </c>
      <c r="I38" s="98" t="s">
        <v>114</v>
      </c>
      <c r="J38" s="99">
        <v>100000</v>
      </c>
      <c r="K38" s="97">
        <v>5.5E-2</v>
      </c>
      <c r="L38" s="100">
        <f>K37*(J38-J37)+L37</f>
        <v>4600</v>
      </c>
      <c r="M38"/>
      <c r="N38"/>
      <c r="O38"/>
      <c r="P38"/>
      <c r="Q38"/>
      <c r="R38"/>
      <c r="S38"/>
      <c r="T38"/>
      <c r="U38"/>
      <c r="V38" s="103"/>
      <c r="W38" s="103"/>
      <c r="X38"/>
      <c r="Y38"/>
      <c r="Z38" s="82" t="s">
        <v>157</v>
      </c>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c r="A39"/>
      <c r="B39" s="97">
        <v>0.06</v>
      </c>
      <c r="C39" s="98" t="s">
        <v>114</v>
      </c>
      <c r="D39" s="99">
        <v>100000</v>
      </c>
      <c r="E39" s="97">
        <v>0.06</v>
      </c>
      <c r="F39" s="100">
        <f>E38*(D39-D38)+F38</f>
        <v>5050</v>
      </c>
      <c r="G39"/>
      <c r="H39" s="97">
        <v>0.06</v>
      </c>
      <c r="I39" s="98" t="s">
        <v>114</v>
      </c>
      <c r="J39" s="99">
        <v>200000</v>
      </c>
      <c r="K39" s="97">
        <v>0.06</v>
      </c>
      <c r="L39" s="100">
        <f>K38*(J39-J38)+L38</f>
        <v>10100</v>
      </c>
      <c r="M39"/>
      <c r="N39"/>
      <c r="O39"/>
      <c r="P39"/>
      <c r="Q39"/>
      <c r="R39"/>
      <c r="S39"/>
      <c r="T39"/>
      <c r="U39"/>
      <c r="V39" s="103"/>
      <c r="W39" s="103"/>
      <c r="X39"/>
      <c r="Y39"/>
      <c r="Z39" s="82" t="s">
        <v>158</v>
      </c>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c r="A40"/>
      <c r="B40" s="97">
        <v>6.5000000000000002E-2</v>
      </c>
      <c r="C40" s="98" t="s">
        <v>114</v>
      </c>
      <c r="D40" s="99">
        <v>200000</v>
      </c>
      <c r="E40" s="97">
        <v>6.5000000000000002E-2</v>
      </c>
      <c r="F40" s="100">
        <f>E39*(D40-D39)+F39</f>
        <v>11050</v>
      </c>
      <c r="G40"/>
      <c r="H40" s="97">
        <v>6.5000000000000002E-2</v>
      </c>
      <c r="I40" s="98" t="s">
        <v>114</v>
      </c>
      <c r="J40" s="99">
        <v>400000</v>
      </c>
      <c r="K40" s="97">
        <v>6.5000000000000002E-2</v>
      </c>
      <c r="L40" s="100">
        <f>K39*(J40-J39)+L39</f>
        <v>22100</v>
      </c>
      <c r="M40"/>
      <c r="N40"/>
      <c r="O40"/>
      <c r="P40"/>
      <c r="Q40"/>
      <c r="R40"/>
      <c r="S40"/>
      <c r="T40"/>
      <c r="U40"/>
      <c r="V40" s="103"/>
      <c r="W40" s="103"/>
      <c r="X40"/>
      <c r="Y40"/>
      <c r="Z40" s="82" t="s">
        <v>159</v>
      </c>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c r="B41" s="97">
        <v>6.7000000000000004E-2</v>
      </c>
      <c r="C41" s="98" t="s">
        <v>114</v>
      </c>
      <c r="D41" s="99">
        <v>250000</v>
      </c>
      <c r="E41" s="97">
        <v>6.7000000000000004E-2</v>
      </c>
      <c r="F41" s="100">
        <f>E40*(D41-D40)+F40</f>
        <v>14300</v>
      </c>
      <c r="G41"/>
      <c r="H41" s="97">
        <v>6.7000000000000004E-2</v>
      </c>
      <c r="I41" s="98" t="s">
        <v>114</v>
      </c>
      <c r="J41" s="99">
        <v>500000</v>
      </c>
      <c r="K41" s="97">
        <v>6.7000000000000004E-2</v>
      </c>
      <c r="L41" s="100">
        <f>K40*(J41-J40)+L40</f>
        <v>28600</v>
      </c>
      <c r="M41"/>
      <c r="N41"/>
      <c r="O41"/>
      <c r="P41"/>
      <c r="Q41"/>
      <c r="R41"/>
      <c r="S41"/>
      <c r="T41"/>
      <c r="U41"/>
      <c r="V41" s="103"/>
      <c r="W41" s="103"/>
      <c r="X41"/>
      <c r="Y41"/>
      <c r="Z41" s="82" t="s">
        <v>160</v>
      </c>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c r="A42"/>
      <c r="B42"/>
      <c r="C42"/>
      <c r="D42"/>
      <c r="E42"/>
      <c r="F42"/>
      <c r="G42"/>
      <c r="H42"/>
      <c r="I42"/>
      <c r="J42"/>
      <c r="K42"/>
      <c r="L42"/>
      <c r="M42"/>
      <c r="N42"/>
      <c r="O42" s="102"/>
      <c r="P42"/>
      <c r="Q42" s="102"/>
      <c r="R42" s="102"/>
      <c r="S42"/>
      <c r="T42"/>
      <c r="U42"/>
      <c r="V42" s="103"/>
      <c r="W42" s="103"/>
      <c r="X42"/>
      <c r="Y42"/>
      <c r="Z42" s="82" t="s">
        <v>161</v>
      </c>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c r="A43" s="82" t="s">
        <v>126</v>
      </c>
      <c r="B43" s="97">
        <v>2.1999999999999999E-2</v>
      </c>
      <c r="C43" s="98" t="s">
        <v>114</v>
      </c>
      <c r="D43" s="99">
        <v>2000</v>
      </c>
      <c r="E43" s="97">
        <v>2.1999999999999999E-2</v>
      </c>
      <c r="F43" s="100">
        <v>0</v>
      </c>
      <c r="G43"/>
      <c r="H43" s="97">
        <v>2.1999999999999999E-2</v>
      </c>
      <c r="I43" s="98" t="s">
        <v>114</v>
      </c>
      <c r="J43" s="99">
        <v>2000</v>
      </c>
      <c r="K43" s="97">
        <v>2.1999999999999999E-2</v>
      </c>
      <c r="L43" s="100">
        <v>0</v>
      </c>
      <c r="M43"/>
      <c r="N43" s="102">
        <v>3250</v>
      </c>
      <c r="O43" s="102">
        <v>6500</v>
      </c>
      <c r="P43"/>
      <c r="Q43" s="102">
        <v>110</v>
      </c>
      <c r="R43" s="102">
        <v>220</v>
      </c>
      <c r="S43" s="102">
        <v>110</v>
      </c>
      <c r="T43" s="94">
        <f>(($T$2-N43-Q43)-VLOOKUP(($T$2-N43-Q43),D43:F48,1,1))*VLOOKUP(($T$2-N43-Q43),D43:F48,2,1)+VLOOKUP(($T$2-N43-Q43),D43:F48,3,1)</f>
        <v>2757.02</v>
      </c>
      <c r="U43" s="94">
        <f>(($U$2-O43-R43)-VLOOKUP(($U$2-O43-R43),J43:L48,1,1))*VLOOKUP(($U$2-O43-R43),J43:L48,2,1)+VLOOKUP(($U$2-O43-R43),J43:L48,3,1)</f>
        <v>2570.54</v>
      </c>
      <c r="V43" s="103">
        <v>6</v>
      </c>
      <c r="W43" s="103">
        <v>6</v>
      </c>
      <c r="X43" s="106" t="s">
        <v>162</v>
      </c>
      <c r="Y43"/>
      <c r="Z43" s="82" t="s">
        <v>163</v>
      </c>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c r="A44"/>
      <c r="B44" s="97">
        <v>3.9E-2</v>
      </c>
      <c r="C44" s="98" t="s">
        <v>114</v>
      </c>
      <c r="D44" s="99">
        <v>5000</v>
      </c>
      <c r="E44" s="97">
        <v>3.9E-2</v>
      </c>
      <c r="F44" s="100">
        <f>E43*(D44-D43)+F43</f>
        <v>66</v>
      </c>
      <c r="G44"/>
      <c r="H44" s="97">
        <v>3.9E-2</v>
      </c>
      <c r="I44" s="98" t="s">
        <v>114</v>
      </c>
      <c r="J44" s="99">
        <v>5000</v>
      </c>
      <c r="K44" s="97">
        <v>3.9E-2</v>
      </c>
      <c r="L44" s="100">
        <f>K43*(J44-J43)+L43</f>
        <v>66</v>
      </c>
      <c r="M44"/>
      <c r="N44"/>
      <c r="O44"/>
      <c r="P44"/>
      <c r="Q44"/>
      <c r="R44"/>
      <c r="S44"/>
      <c r="T44"/>
      <c r="U44"/>
      <c r="V44" s="103"/>
      <c r="W44" s="103"/>
      <c r="X44"/>
      <c r="Y44"/>
      <c r="Z44" s="82" t="s">
        <v>164</v>
      </c>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c r="A45" s="106"/>
      <c r="B45" s="97">
        <v>4.8000000000000001E-2</v>
      </c>
      <c r="C45" s="98" t="s">
        <v>114</v>
      </c>
      <c r="D45" s="99">
        <v>10000</v>
      </c>
      <c r="E45" s="97">
        <v>4.8000000000000001E-2</v>
      </c>
      <c r="F45" s="100">
        <f>E44*(D45-D44)+F44</f>
        <v>261</v>
      </c>
      <c r="G45"/>
      <c r="H45" s="97">
        <v>4.8000000000000001E-2</v>
      </c>
      <c r="I45" s="98" t="s">
        <v>114</v>
      </c>
      <c r="J45" s="99">
        <v>10000</v>
      </c>
      <c r="K45" s="97">
        <v>4.8000000000000001E-2</v>
      </c>
      <c r="L45" s="100">
        <f>K44*(J45-J44)+L44</f>
        <v>261</v>
      </c>
      <c r="M45"/>
      <c r="N45"/>
      <c r="O45"/>
      <c r="P45"/>
      <c r="Q45"/>
      <c r="R45"/>
      <c r="S45"/>
      <c r="T45"/>
      <c r="U45"/>
      <c r="V45" s="103"/>
      <c r="W45" s="103"/>
      <c r="X45"/>
      <c r="Y45"/>
      <c r="Z45" s="82" t="s">
        <v>165</v>
      </c>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c r="A46"/>
      <c r="B46" s="97">
        <v>5.1999999999999998E-2</v>
      </c>
      <c r="C46" s="98" t="s">
        <v>114</v>
      </c>
      <c r="D46" s="99">
        <v>20000</v>
      </c>
      <c r="E46" s="97">
        <v>5.1999999999999998E-2</v>
      </c>
      <c r="F46" s="100">
        <f>E45*(D46-D45)+F45</f>
        <v>741</v>
      </c>
      <c r="G46"/>
      <c r="H46" s="97">
        <v>5.1999999999999998E-2</v>
      </c>
      <c r="I46" s="98" t="s">
        <v>114</v>
      </c>
      <c r="J46" s="99">
        <v>20000</v>
      </c>
      <c r="K46" s="97">
        <v>5.1999999999999998E-2</v>
      </c>
      <c r="L46" s="100">
        <f>K45*(J46-J45)+L45</f>
        <v>741</v>
      </c>
      <c r="M46"/>
      <c r="N46"/>
      <c r="O46"/>
      <c r="P46"/>
      <c r="Q46"/>
      <c r="R46"/>
      <c r="S46"/>
      <c r="T46"/>
      <c r="U46"/>
      <c r="V46" s="103"/>
      <c r="W46" s="103"/>
      <c r="X46"/>
      <c r="Y46"/>
      <c r="Z46" s="82" t="s">
        <v>166</v>
      </c>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c r="A47"/>
      <c r="B47" s="97">
        <v>5.5500000000000001E-2</v>
      </c>
      <c r="C47" s="98" t="s">
        <v>114</v>
      </c>
      <c r="D47" s="99">
        <v>25000</v>
      </c>
      <c r="E47" s="97">
        <v>5.5500000000000001E-2</v>
      </c>
      <c r="F47" s="100">
        <f>E46*(D47-D46)+F46</f>
        <v>1001</v>
      </c>
      <c r="G47"/>
      <c r="H47" s="97">
        <v>5.5500000000000001E-2</v>
      </c>
      <c r="I47" s="98" t="s">
        <v>114</v>
      </c>
      <c r="J47" s="99">
        <v>25000</v>
      </c>
      <c r="K47" s="97">
        <v>5.5500000000000001E-2</v>
      </c>
      <c r="L47" s="100">
        <f>K46*(J47-J46)+L46</f>
        <v>1001</v>
      </c>
      <c r="M47"/>
      <c r="N47"/>
      <c r="O47"/>
      <c r="P47"/>
      <c r="Q47"/>
      <c r="R47"/>
      <c r="S47"/>
      <c r="T47"/>
      <c r="U47"/>
      <c r="V47" s="103"/>
      <c r="W47" s="103"/>
      <c r="X47"/>
      <c r="Y47"/>
      <c r="Z47" s="82" t="s">
        <v>167</v>
      </c>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c r="A48"/>
      <c r="B48" s="97">
        <v>6.6000000000000003E-2</v>
      </c>
      <c r="C48" s="98" t="s">
        <v>114</v>
      </c>
      <c r="D48" s="99">
        <v>60000</v>
      </c>
      <c r="E48" s="97">
        <v>6.6000000000000003E-2</v>
      </c>
      <c r="F48" s="100">
        <f>E47*(D48-D47)+F47</f>
        <v>2943.5</v>
      </c>
      <c r="G48"/>
      <c r="H48" s="97">
        <v>6.6000000000000003E-2</v>
      </c>
      <c r="I48" s="98" t="s">
        <v>114</v>
      </c>
      <c r="J48" s="99">
        <v>60000</v>
      </c>
      <c r="K48" s="97">
        <v>6.6000000000000003E-2</v>
      </c>
      <c r="L48" s="100">
        <f>K47*(J48-J47)+L47</f>
        <v>2943.5</v>
      </c>
      <c r="M48"/>
      <c r="N48"/>
      <c r="O48"/>
      <c r="P48"/>
      <c r="Q48"/>
      <c r="R48"/>
      <c r="S48"/>
      <c r="T48"/>
      <c r="U48"/>
      <c r="V48" s="103"/>
      <c r="W48" s="103"/>
      <c r="X48"/>
      <c r="Y48"/>
      <c r="Z48" s="82" t="s">
        <v>168</v>
      </c>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c r="A49"/>
      <c r="B49"/>
      <c r="C49"/>
      <c r="D49"/>
      <c r="E49"/>
      <c r="F49"/>
      <c r="G49"/>
      <c r="H49"/>
      <c r="I49"/>
      <c r="J49"/>
      <c r="K49"/>
      <c r="L49"/>
      <c r="M49"/>
      <c r="N49"/>
      <c r="O49" s="102"/>
      <c r="P49"/>
      <c r="Q49" s="102"/>
      <c r="R49" s="102"/>
      <c r="S49"/>
      <c r="T49"/>
      <c r="U49"/>
      <c r="V49" s="103"/>
      <c r="W49" s="103"/>
      <c r="X49"/>
      <c r="Y49"/>
      <c r="Z49" s="82" t="s">
        <v>169</v>
      </c>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c r="A50" s="82" t="s">
        <v>127</v>
      </c>
      <c r="B50" s="178" t="s">
        <v>119</v>
      </c>
      <c r="C50" s="178"/>
      <c r="D50" s="178"/>
      <c r="E50" s="98"/>
      <c r="F50" s="105"/>
      <c r="G50" s="101"/>
      <c r="H50" s="178" t="s">
        <v>119</v>
      </c>
      <c r="I50" s="178"/>
      <c r="J50" s="178"/>
      <c r="K50" s="98"/>
      <c r="L50" s="105"/>
      <c r="M50" s="101"/>
      <c r="N50" s="98" t="s">
        <v>120</v>
      </c>
      <c r="O50" s="102" t="s">
        <v>120</v>
      </c>
      <c r="P50" s="101"/>
      <c r="Q50" s="102" t="s">
        <v>120</v>
      </c>
      <c r="R50" s="102" t="s">
        <v>120</v>
      </c>
      <c r="S50" s="98" t="s">
        <v>120</v>
      </c>
      <c r="T50" s="94">
        <v>0</v>
      </c>
      <c r="U50" s="94">
        <v>0</v>
      </c>
      <c r="V50" s="103"/>
      <c r="W50" s="103"/>
      <c r="X50"/>
      <c r="Y50"/>
      <c r="Z50" s="82" t="s">
        <v>170</v>
      </c>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c r="A51"/>
      <c r="B51"/>
      <c r="C51"/>
      <c r="D51"/>
      <c r="E51"/>
      <c r="F51"/>
      <c r="G51"/>
      <c r="H51"/>
      <c r="I51"/>
      <c r="J51"/>
      <c r="K51"/>
      <c r="L51"/>
      <c r="M51"/>
      <c r="N51"/>
      <c r="O51" s="102"/>
      <c r="P51"/>
      <c r="Q51" s="102"/>
      <c r="R51" s="102"/>
      <c r="S51"/>
      <c r="T51"/>
      <c r="U51"/>
      <c r="V51" s="103"/>
      <c r="W51" s="103"/>
      <c r="X51"/>
      <c r="Y51"/>
      <c r="Z51" s="82" t="s">
        <v>171</v>
      </c>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s="82" t="s">
        <v>128</v>
      </c>
      <c r="B52" s="97">
        <v>0.01</v>
      </c>
      <c r="C52" s="98" t="s">
        <v>114</v>
      </c>
      <c r="D52" s="99">
        <v>0</v>
      </c>
      <c r="E52" s="97">
        <v>0.01</v>
      </c>
      <c r="F52" s="100">
        <v>0</v>
      </c>
      <c r="G52" s="87"/>
      <c r="H52" s="97">
        <v>0.01</v>
      </c>
      <c r="I52" s="98" t="s">
        <v>114</v>
      </c>
      <c r="J52" s="99">
        <v>0</v>
      </c>
      <c r="K52" s="97">
        <v>0.01</v>
      </c>
      <c r="L52" s="100">
        <v>0</v>
      </c>
      <c r="M52" s="87"/>
      <c r="N52" s="102">
        <v>2300</v>
      </c>
      <c r="O52" s="102">
        <v>3000</v>
      </c>
      <c r="P52" s="87"/>
      <c r="Q52" s="102">
        <v>2700</v>
      </c>
      <c r="R52" s="102">
        <v>7400</v>
      </c>
      <c r="S52" s="102">
        <v>3000</v>
      </c>
      <c r="T52" s="94">
        <f>(($T$2-N52-Q52)-VLOOKUP(($T$2-N52-Q52),D52:F57,1,1))*VLOOKUP(($T$2-N52-Q52),D52:F57,2,1)+VLOOKUP(($T$2-N52-Q52),D52:F57,3,1)</f>
        <v>3110</v>
      </c>
      <c r="U52" s="94">
        <f>(($U$2-O52-R52)-VLOOKUP(($U$2-O52-R52),J52:L57,1,1))*VLOOKUP(($U$2-O52-R52),J52:L57,2,1)+VLOOKUP(($U$2-O52-R52),J52:L57,3,1)</f>
        <v>2716</v>
      </c>
      <c r="V52" s="103">
        <v>6</v>
      </c>
      <c r="W52" s="103">
        <v>6</v>
      </c>
      <c r="Z52" s="82" t="s">
        <v>172</v>
      </c>
    </row>
    <row r="53" spans="1:1024">
      <c r="A53"/>
      <c r="B53" s="97">
        <v>0.02</v>
      </c>
      <c r="C53" s="98" t="s">
        <v>114</v>
      </c>
      <c r="D53" s="99">
        <v>750</v>
      </c>
      <c r="E53" s="97">
        <v>0.02</v>
      </c>
      <c r="F53" s="100">
        <f>E52*(D53-D52)+F52</f>
        <v>7.5</v>
      </c>
      <c r="G53"/>
      <c r="H53" s="97">
        <v>0.02</v>
      </c>
      <c r="I53" s="98" t="s">
        <v>114</v>
      </c>
      <c r="J53" s="99">
        <v>1000</v>
      </c>
      <c r="K53" s="97">
        <v>0.02</v>
      </c>
      <c r="L53" s="100">
        <f>K52*(J53-J52)+L52</f>
        <v>10</v>
      </c>
      <c r="M53"/>
      <c r="N53"/>
      <c r="O53"/>
      <c r="P53"/>
      <c r="Q53"/>
      <c r="R53"/>
      <c r="S53"/>
      <c r="T53"/>
      <c r="U53"/>
      <c r="V53" s="103"/>
      <c r="W53" s="103"/>
      <c r="X53"/>
      <c r="Z53" s="82" t="s">
        <v>173</v>
      </c>
    </row>
    <row r="54" spans="1:1024">
      <c r="A54"/>
      <c r="B54" s="97">
        <v>0.03</v>
      </c>
      <c r="C54" s="98" t="s">
        <v>114</v>
      </c>
      <c r="D54" s="99">
        <v>2250</v>
      </c>
      <c r="E54" s="97">
        <v>0.03</v>
      </c>
      <c r="F54" s="100">
        <f>E53*(D54-D53)+F53</f>
        <v>37.5</v>
      </c>
      <c r="G54"/>
      <c r="H54" s="97">
        <v>0.03</v>
      </c>
      <c r="I54" s="98" t="s">
        <v>114</v>
      </c>
      <c r="J54" s="99">
        <v>3000</v>
      </c>
      <c r="K54" s="97">
        <v>0.03</v>
      </c>
      <c r="L54" s="100">
        <f>K53*(J54-J53)+L53</f>
        <v>50</v>
      </c>
      <c r="M54"/>
      <c r="N54"/>
      <c r="O54"/>
      <c r="P54"/>
      <c r="Q54"/>
      <c r="R54"/>
      <c r="S54"/>
      <c r="T54"/>
      <c r="U54"/>
      <c r="V54" s="103"/>
      <c r="W54" s="103"/>
      <c r="X54"/>
    </row>
    <row r="55" spans="1:1024">
      <c r="A55"/>
      <c r="B55" s="97">
        <v>0.04</v>
      </c>
      <c r="C55" s="98" t="s">
        <v>114</v>
      </c>
      <c r="D55" s="99">
        <v>3750</v>
      </c>
      <c r="E55" s="97">
        <v>0.04</v>
      </c>
      <c r="F55" s="100">
        <f>E54*(D55-D54)+F54</f>
        <v>82.5</v>
      </c>
      <c r="G55"/>
      <c r="H55" s="97">
        <v>0.04</v>
      </c>
      <c r="I55" s="98" t="s">
        <v>114</v>
      </c>
      <c r="J55" s="99">
        <v>5000</v>
      </c>
      <c r="K55" s="97">
        <v>0.04</v>
      </c>
      <c r="L55" s="100">
        <f>K54*(J55-J54)+L54</f>
        <v>110</v>
      </c>
      <c r="M55"/>
      <c r="N55"/>
      <c r="O55"/>
      <c r="P55"/>
      <c r="Q55"/>
      <c r="R55"/>
      <c r="S55"/>
      <c r="T55"/>
      <c r="U55"/>
      <c r="V55" s="103"/>
      <c r="W55" s="103"/>
      <c r="X55"/>
    </row>
    <row r="56" spans="1:1024">
      <c r="A56"/>
      <c r="B56" s="97">
        <v>0.05</v>
      </c>
      <c r="C56" s="98" t="s">
        <v>114</v>
      </c>
      <c r="D56" s="99">
        <v>5250</v>
      </c>
      <c r="E56" s="97">
        <v>0.05</v>
      </c>
      <c r="F56" s="100">
        <f>E55*(D56-D55)+F55</f>
        <v>142.5</v>
      </c>
      <c r="G56"/>
      <c r="H56" s="97">
        <v>0.05</v>
      </c>
      <c r="I56" s="98" t="s">
        <v>114</v>
      </c>
      <c r="J56" s="99">
        <v>7000</v>
      </c>
      <c r="K56" s="97">
        <v>0.05</v>
      </c>
      <c r="L56" s="100">
        <f>K55*(J56-J55)+L55</f>
        <v>190</v>
      </c>
      <c r="M56"/>
      <c r="N56"/>
      <c r="O56"/>
      <c r="P56"/>
      <c r="Q56"/>
      <c r="R56"/>
      <c r="S56"/>
      <c r="T56"/>
      <c r="U56"/>
      <c r="V56" s="103"/>
      <c r="W56" s="103"/>
      <c r="X56"/>
    </row>
    <row r="57" spans="1:1024">
      <c r="A57"/>
      <c r="B57" s="97">
        <v>0.06</v>
      </c>
      <c r="C57" s="98" t="s">
        <v>114</v>
      </c>
      <c r="D57" s="99">
        <v>7000</v>
      </c>
      <c r="E57" s="97">
        <v>0.06</v>
      </c>
      <c r="F57" s="100">
        <f>E56*(D57-D56)+F56</f>
        <v>230</v>
      </c>
      <c r="G57"/>
      <c r="H57" s="97">
        <v>0.06</v>
      </c>
      <c r="I57" s="98" t="s">
        <v>114</v>
      </c>
      <c r="J57" s="99">
        <v>10000</v>
      </c>
      <c r="K57" s="97">
        <v>0.06</v>
      </c>
      <c r="L57" s="100">
        <f>K56*(J57-J56)+L56</f>
        <v>340</v>
      </c>
      <c r="M57"/>
      <c r="N57"/>
      <c r="O57"/>
      <c r="P57"/>
      <c r="Q57"/>
      <c r="R57"/>
      <c r="S57"/>
      <c r="T57"/>
      <c r="U57"/>
      <c r="V57" s="103"/>
      <c r="W57" s="103"/>
      <c r="X57"/>
    </row>
    <row r="58" spans="1:1024">
      <c r="A58"/>
      <c r="B58"/>
      <c r="C58"/>
      <c r="D58"/>
      <c r="E58"/>
      <c r="F58"/>
      <c r="G58"/>
      <c r="H58"/>
      <c r="I58"/>
      <c r="J58"/>
      <c r="K58"/>
      <c r="L58"/>
      <c r="M58"/>
      <c r="N58"/>
      <c r="O58" s="102"/>
      <c r="P58"/>
      <c r="Q58" s="102"/>
      <c r="R58" s="102"/>
      <c r="S58"/>
      <c r="T58"/>
      <c r="U58"/>
      <c r="V58" s="103"/>
      <c r="W58" s="103"/>
      <c r="X58"/>
    </row>
    <row r="59" spans="1:1024">
      <c r="A59" s="82" t="s">
        <v>129</v>
      </c>
      <c r="B59" s="97">
        <v>1.4E-2</v>
      </c>
      <c r="C59" s="98" t="s">
        <v>114</v>
      </c>
      <c r="D59" s="99">
        <v>0</v>
      </c>
      <c r="E59" s="97">
        <v>1.4E-2</v>
      </c>
      <c r="F59" s="100">
        <v>0</v>
      </c>
      <c r="G59"/>
      <c r="H59" s="97">
        <v>1.4E-2</v>
      </c>
      <c r="I59" s="98" t="s">
        <v>114</v>
      </c>
      <c r="J59" s="99">
        <v>0</v>
      </c>
      <c r="K59" s="97">
        <v>1.4E-2</v>
      </c>
      <c r="L59" s="100">
        <v>0</v>
      </c>
      <c r="M59"/>
      <c r="N59" s="102">
        <v>2200</v>
      </c>
      <c r="O59" s="102">
        <v>4400</v>
      </c>
      <c r="P59"/>
      <c r="Q59" s="102">
        <v>1144</v>
      </c>
      <c r="R59" s="102">
        <v>2288</v>
      </c>
      <c r="S59" s="102">
        <v>1144</v>
      </c>
      <c r="T59" s="94">
        <f>(($T$2-N59-Q59)-VLOOKUP(($T$2-N59-Q59),D59:F70,1,1))*VLOOKUP(($T$2-N59-Q59),D59:F70,2,1)+VLOOKUP(($T$2-N59-Q59),D59:F70,3,1)</f>
        <v>3927.72</v>
      </c>
      <c r="U59" s="94">
        <f>(($U$2-O59-R59)-VLOOKUP(($U$2-O59-R59),J59:L70,1,1))*VLOOKUP(($U$2-O59-R59),J59:L70,2,1)+VLOOKUP(($U$2-O59-R59),J59:L70,3,1)</f>
        <v>3110.9119999999998</v>
      </c>
      <c r="V59" s="103">
        <v>12</v>
      </c>
      <c r="W59" s="103">
        <v>12</v>
      </c>
      <c r="X59" s="106" t="s">
        <v>174</v>
      </c>
    </row>
    <row r="60" spans="1:1024">
      <c r="A60"/>
      <c r="B60" s="97">
        <v>3.2000000000000001E-2</v>
      </c>
      <c r="C60" s="98" t="s">
        <v>114</v>
      </c>
      <c r="D60" s="99">
        <v>2400</v>
      </c>
      <c r="E60" s="97">
        <v>3.2000000000000001E-2</v>
      </c>
      <c r="F60" s="100">
        <f t="shared" ref="F60:F70" si="2">E59*(D60-D59)+F59</f>
        <v>33.6</v>
      </c>
      <c r="G60"/>
      <c r="H60" s="97">
        <v>3.2000000000000001E-2</v>
      </c>
      <c r="I60" s="98" t="s">
        <v>114</v>
      </c>
      <c r="J60" s="99">
        <v>4800</v>
      </c>
      <c r="K60" s="97">
        <v>3.2000000000000001E-2</v>
      </c>
      <c r="L60" s="100">
        <f t="shared" ref="L60:L70" si="3">K59*(J60-J59)+L59</f>
        <v>67.2</v>
      </c>
      <c r="M60"/>
      <c r="N60"/>
      <c r="O60"/>
      <c r="P60"/>
      <c r="Q60"/>
      <c r="R60"/>
      <c r="S60"/>
      <c r="T60"/>
      <c r="U60"/>
      <c r="V60" s="103"/>
      <c r="W60" s="105"/>
      <c r="X60"/>
    </row>
    <row r="61" spans="1:1024">
      <c r="A61"/>
      <c r="B61" s="97">
        <v>5.5E-2</v>
      </c>
      <c r="C61" s="98" t="s">
        <v>114</v>
      </c>
      <c r="D61" s="99">
        <v>4800</v>
      </c>
      <c r="E61" s="97">
        <v>5.5E-2</v>
      </c>
      <c r="F61" s="100">
        <f t="shared" si="2"/>
        <v>110.4</v>
      </c>
      <c r="G61"/>
      <c r="H61" s="97">
        <v>5.5E-2</v>
      </c>
      <c r="I61" s="98" t="s">
        <v>114</v>
      </c>
      <c r="J61" s="99">
        <v>9600</v>
      </c>
      <c r="K61" s="97">
        <v>5.5E-2</v>
      </c>
      <c r="L61" s="100">
        <f t="shared" si="3"/>
        <v>220.8</v>
      </c>
      <c r="M61"/>
      <c r="N61"/>
      <c r="O61"/>
      <c r="P61"/>
      <c r="Q61"/>
      <c r="R61"/>
      <c r="S61"/>
      <c r="T61"/>
      <c r="U61" s="94"/>
      <c r="V61" s="103"/>
      <c r="W61" s="105"/>
      <c r="X61"/>
    </row>
    <row r="62" spans="1:1024">
      <c r="A62"/>
      <c r="B62" s="97">
        <v>6.4000000000000001E-2</v>
      </c>
      <c r="C62" s="98" t="s">
        <v>114</v>
      </c>
      <c r="D62" s="99">
        <v>9600</v>
      </c>
      <c r="E62" s="97">
        <v>6.4000000000000001E-2</v>
      </c>
      <c r="F62" s="100">
        <f t="shared" si="2"/>
        <v>374.4</v>
      </c>
      <c r="G62"/>
      <c r="H62" s="97">
        <v>6.4000000000000001E-2</v>
      </c>
      <c r="I62" s="98" t="s">
        <v>114</v>
      </c>
      <c r="J62" s="99">
        <v>19200</v>
      </c>
      <c r="K62" s="97">
        <v>6.4000000000000001E-2</v>
      </c>
      <c r="L62" s="100">
        <f t="shared" si="3"/>
        <v>748.8</v>
      </c>
      <c r="M62"/>
      <c r="N62"/>
      <c r="O62"/>
      <c r="P62"/>
      <c r="Q62"/>
      <c r="R62"/>
      <c r="S62"/>
      <c r="T62"/>
      <c r="U62" s="94"/>
      <c r="V62" s="103"/>
      <c r="W62" s="105"/>
      <c r="X62"/>
    </row>
    <row r="63" spans="1:1024">
      <c r="A63"/>
      <c r="B63" s="97">
        <v>6.8000000000000005E-2</v>
      </c>
      <c r="C63" s="98" t="s">
        <v>114</v>
      </c>
      <c r="D63" s="99">
        <v>14400</v>
      </c>
      <c r="E63" s="97">
        <v>6.8000000000000005E-2</v>
      </c>
      <c r="F63" s="100">
        <f t="shared" si="2"/>
        <v>681.59999999999991</v>
      </c>
      <c r="G63"/>
      <c r="H63" s="97">
        <v>6.8000000000000005E-2</v>
      </c>
      <c r="I63" s="98" t="s">
        <v>114</v>
      </c>
      <c r="J63" s="99">
        <v>28800</v>
      </c>
      <c r="K63" s="97">
        <v>6.8000000000000005E-2</v>
      </c>
      <c r="L63" s="100">
        <f t="shared" si="3"/>
        <v>1363.1999999999998</v>
      </c>
      <c r="M63"/>
      <c r="N63"/>
      <c r="O63"/>
      <c r="P63"/>
      <c r="Q63"/>
      <c r="R63"/>
      <c r="S63"/>
      <c r="T63"/>
      <c r="U63"/>
      <c r="V63" s="103"/>
      <c r="W63" s="105"/>
      <c r="X63"/>
    </row>
    <row r="64" spans="1:1024">
      <c r="A64"/>
      <c r="B64" s="97">
        <v>7.1999999999999995E-2</v>
      </c>
      <c r="C64" s="98" t="s">
        <v>114</v>
      </c>
      <c r="D64" s="99">
        <v>19200</v>
      </c>
      <c r="E64" s="97">
        <v>7.1999999999999995E-2</v>
      </c>
      <c r="F64" s="100">
        <f t="shared" si="2"/>
        <v>1008</v>
      </c>
      <c r="G64"/>
      <c r="H64" s="97">
        <v>7.1999999999999995E-2</v>
      </c>
      <c r="I64" s="98" t="s">
        <v>114</v>
      </c>
      <c r="J64" s="99">
        <v>38400</v>
      </c>
      <c r="K64" s="97">
        <v>7.1999999999999995E-2</v>
      </c>
      <c r="L64" s="100">
        <f t="shared" si="3"/>
        <v>2016</v>
      </c>
      <c r="M64"/>
      <c r="N64"/>
      <c r="O64"/>
      <c r="P64"/>
      <c r="Q64"/>
      <c r="R64"/>
      <c r="S64"/>
      <c r="T64"/>
      <c r="U64"/>
      <c r="V64" s="103"/>
      <c r="W64" s="105"/>
      <c r="X64"/>
    </row>
    <row r="65" spans="1:24">
      <c r="A65"/>
      <c r="B65" s="97">
        <v>7.5999999999999998E-2</v>
      </c>
      <c r="C65" s="98" t="s">
        <v>114</v>
      </c>
      <c r="D65" s="99">
        <v>24000</v>
      </c>
      <c r="E65" s="97">
        <v>7.5999999999999998E-2</v>
      </c>
      <c r="F65" s="100">
        <f t="shared" si="2"/>
        <v>1353.6</v>
      </c>
      <c r="G65"/>
      <c r="H65" s="97">
        <v>7.5999999999999998E-2</v>
      </c>
      <c r="I65" s="98" t="s">
        <v>114</v>
      </c>
      <c r="J65" s="99">
        <v>48000</v>
      </c>
      <c r="K65" s="97">
        <v>7.5999999999999998E-2</v>
      </c>
      <c r="L65" s="100">
        <f t="shared" si="3"/>
        <v>2707.2</v>
      </c>
      <c r="M65"/>
      <c r="N65"/>
      <c r="O65"/>
      <c r="P65"/>
      <c r="Q65"/>
      <c r="R65"/>
      <c r="S65"/>
      <c r="T65"/>
      <c r="U65"/>
      <c r="V65" s="103"/>
      <c r="W65" s="105"/>
      <c r="X65"/>
    </row>
    <row r="66" spans="1:24">
      <c r="A66"/>
      <c r="B66" s="97">
        <v>7.9000000000000001E-2</v>
      </c>
      <c r="C66" s="98" t="s">
        <v>114</v>
      </c>
      <c r="D66" s="99">
        <v>36000</v>
      </c>
      <c r="E66" s="97">
        <v>7.9000000000000001E-2</v>
      </c>
      <c r="F66" s="100">
        <f t="shared" si="2"/>
        <v>2265.6</v>
      </c>
      <c r="G66"/>
      <c r="H66" s="97">
        <v>7.9000000000000001E-2</v>
      </c>
      <c r="I66" s="98" t="s">
        <v>114</v>
      </c>
      <c r="J66" s="99">
        <v>72000</v>
      </c>
      <c r="K66" s="97">
        <v>7.9000000000000001E-2</v>
      </c>
      <c r="L66" s="100">
        <f t="shared" si="3"/>
        <v>4531.2</v>
      </c>
      <c r="M66"/>
      <c r="N66"/>
      <c r="O66"/>
      <c r="P66"/>
      <c r="Q66"/>
      <c r="R66"/>
      <c r="S66"/>
      <c r="T66"/>
      <c r="U66"/>
      <c r="V66" s="103"/>
      <c r="W66" s="105"/>
      <c r="X66"/>
    </row>
    <row r="67" spans="1:24">
      <c r="A67"/>
      <c r="B67" s="97">
        <v>8.2500000000000004E-2</v>
      </c>
      <c r="C67" s="98" t="s">
        <v>114</v>
      </c>
      <c r="D67" s="99">
        <v>48000</v>
      </c>
      <c r="E67" s="97">
        <v>8.2500000000000004E-2</v>
      </c>
      <c r="F67" s="100">
        <f t="shared" si="2"/>
        <v>3213.6</v>
      </c>
      <c r="G67"/>
      <c r="H67" s="97">
        <v>8.2500000000000004E-2</v>
      </c>
      <c r="I67" s="98" t="s">
        <v>114</v>
      </c>
      <c r="J67" s="99">
        <v>96000</v>
      </c>
      <c r="K67" s="97">
        <v>8.2500000000000004E-2</v>
      </c>
      <c r="L67" s="100">
        <f t="shared" si="3"/>
        <v>6427.2</v>
      </c>
      <c r="M67"/>
      <c r="N67"/>
      <c r="O67"/>
      <c r="P67"/>
      <c r="Q67"/>
      <c r="R67"/>
      <c r="S67"/>
      <c r="T67"/>
      <c r="U67"/>
      <c r="V67" s="103"/>
      <c r="W67" s="105"/>
      <c r="X67"/>
    </row>
    <row r="68" spans="1:24">
      <c r="A68"/>
      <c r="B68" s="97">
        <v>0.09</v>
      </c>
      <c r="C68" s="98" t="s">
        <v>114</v>
      </c>
      <c r="D68" s="99">
        <v>150000</v>
      </c>
      <c r="E68" s="97">
        <v>0.09</v>
      </c>
      <c r="F68" s="100">
        <f t="shared" si="2"/>
        <v>11628.6</v>
      </c>
      <c r="G68"/>
      <c r="H68" s="97">
        <v>0.09</v>
      </c>
      <c r="I68" s="98" t="s">
        <v>114</v>
      </c>
      <c r="J68" s="99">
        <v>300000</v>
      </c>
      <c r="K68" s="97">
        <v>0.09</v>
      </c>
      <c r="L68" s="100">
        <f t="shared" si="3"/>
        <v>23257.200000000001</v>
      </c>
      <c r="M68"/>
      <c r="N68"/>
      <c r="O68"/>
      <c r="P68"/>
      <c r="Q68"/>
      <c r="R68"/>
      <c r="S68"/>
      <c r="T68"/>
      <c r="U68"/>
      <c r="V68" s="103"/>
      <c r="W68" s="105"/>
      <c r="X68"/>
    </row>
    <row r="69" spans="1:24">
      <c r="A69"/>
      <c r="B69" s="97">
        <v>0.1</v>
      </c>
      <c r="C69" s="98" t="s">
        <v>114</v>
      </c>
      <c r="D69" s="99">
        <v>175000</v>
      </c>
      <c r="E69" s="97">
        <v>0.1</v>
      </c>
      <c r="F69" s="100">
        <f t="shared" si="2"/>
        <v>13878.6</v>
      </c>
      <c r="G69"/>
      <c r="H69" s="97">
        <v>0.1</v>
      </c>
      <c r="I69" s="98" t="s">
        <v>114</v>
      </c>
      <c r="J69" s="99">
        <v>350000</v>
      </c>
      <c r="K69" s="97">
        <v>0.1</v>
      </c>
      <c r="L69" s="100">
        <f t="shared" si="3"/>
        <v>27757.200000000001</v>
      </c>
      <c r="M69"/>
      <c r="N69"/>
      <c r="O69"/>
      <c r="P69"/>
      <c r="Q69"/>
      <c r="R69"/>
      <c r="S69"/>
      <c r="T69"/>
      <c r="U69"/>
      <c r="V69" s="103"/>
      <c r="W69" s="105"/>
      <c r="X69"/>
    </row>
    <row r="70" spans="1:24">
      <c r="A70"/>
      <c r="B70" s="97">
        <v>0.11</v>
      </c>
      <c r="C70" s="98" t="s">
        <v>114</v>
      </c>
      <c r="D70" s="99">
        <v>200000</v>
      </c>
      <c r="E70" s="97">
        <v>0.11</v>
      </c>
      <c r="F70" s="100">
        <f t="shared" si="2"/>
        <v>16378.6</v>
      </c>
      <c r="G70"/>
      <c r="H70" s="97">
        <v>0.11</v>
      </c>
      <c r="I70" s="98" t="s">
        <v>114</v>
      </c>
      <c r="J70" s="99">
        <v>400000</v>
      </c>
      <c r="K70" s="97">
        <v>0.11</v>
      </c>
      <c r="L70" s="100">
        <f t="shared" si="3"/>
        <v>32757.200000000001</v>
      </c>
      <c r="M70"/>
      <c r="N70"/>
      <c r="O70"/>
      <c r="P70"/>
      <c r="Q70"/>
      <c r="R70"/>
      <c r="S70"/>
      <c r="T70"/>
      <c r="U70"/>
      <c r="V70" s="103"/>
      <c r="W70" s="105"/>
      <c r="X70"/>
    </row>
    <row r="71" spans="1:24">
      <c r="A71"/>
      <c r="B71"/>
      <c r="C71"/>
      <c r="D71"/>
      <c r="E71"/>
      <c r="F71"/>
      <c r="G71"/>
      <c r="H71"/>
      <c r="I71"/>
      <c r="J71"/>
      <c r="K71"/>
      <c r="L71"/>
      <c r="M71"/>
      <c r="N71"/>
      <c r="O71" s="102"/>
      <c r="P71"/>
      <c r="Q71" s="102"/>
      <c r="R71" s="102"/>
      <c r="S71"/>
      <c r="T71"/>
      <c r="U71"/>
      <c r="V71" s="103"/>
      <c r="W71" s="105"/>
      <c r="X71"/>
    </row>
    <row r="72" spans="1:24">
      <c r="A72" s="82" t="s">
        <v>132</v>
      </c>
      <c r="B72" s="97">
        <v>1.6E-2</v>
      </c>
      <c r="C72" s="98" t="s">
        <v>114</v>
      </c>
      <c r="D72" s="99">
        <v>0</v>
      </c>
      <c r="E72" s="97">
        <v>1.6E-2</v>
      </c>
      <c r="F72" s="100">
        <v>0</v>
      </c>
      <c r="G72"/>
      <c r="H72" s="97">
        <v>1.6E-2</v>
      </c>
      <c r="I72" s="98" t="s">
        <v>114</v>
      </c>
      <c r="J72" s="99">
        <v>0</v>
      </c>
      <c r="K72" s="97">
        <v>1.6E-2</v>
      </c>
      <c r="L72" s="100">
        <v>0</v>
      </c>
      <c r="M72"/>
      <c r="N72" s="102">
        <v>6300</v>
      </c>
      <c r="O72" s="102">
        <v>12600</v>
      </c>
      <c r="P72"/>
      <c r="Q72" s="102">
        <v>4000</v>
      </c>
      <c r="R72" s="102">
        <v>8000</v>
      </c>
      <c r="S72" s="102">
        <v>4000</v>
      </c>
      <c r="T72" s="94">
        <f>(($T$2-N72-Q72)-VLOOKUP(($T$2-N72-Q72),D72:F78,1,1))*VLOOKUP(($T$2-N72-Q72),D72:F78,2,1)+VLOOKUP(($T$2-N72-Q72),D72:F78,3,1)</f>
        <v>3431.3539999999998</v>
      </c>
      <c r="U72" s="94">
        <f>(($U$2-O72-R72)-VLOOKUP(($U$2-O72-R72),J72:L78,1,1))*VLOOKUP(($U$2-O72-R72),J72:L78,2,1)+VLOOKUP(($U$2-O72-R72),J72:L78,3,1)</f>
        <v>2422.6469999999999</v>
      </c>
      <c r="V72" s="103">
        <v>7</v>
      </c>
      <c r="W72" s="103">
        <v>7</v>
      </c>
      <c r="X72" s="106" t="s">
        <v>175</v>
      </c>
    </row>
    <row r="73" spans="1:24">
      <c r="A73"/>
      <c r="B73" s="97">
        <v>3.5999999999999997E-2</v>
      </c>
      <c r="C73" s="98" t="s">
        <v>114</v>
      </c>
      <c r="D73" s="99">
        <v>1428</v>
      </c>
      <c r="E73" s="97">
        <v>3.5999999999999997E-2</v>
      </c>
      <c r="F73" s="100">
        <f t="shared" ref="F73:F78" si="4">E72*(D73-D72)+F72</f>
        <v>22.847999999999999</v>
      </c>
      <c r="G73"/>
      <c r="H73" s="97">
        <v>3.5999999999999997E-2</v>
      </c>
      <c r="I73" s="98" t="s">
        <v>114</v>
      </c>
      <c r="J73" s="99">
        <v>2857</v>
      </c>
      <c r="K73" s="97">
        <v>3.5999999999999997E-2</v>
      </c>
      <c r="L73" s="100">
        <f t="shared" ref="L73:L78" si="5">K72*(J73-J72)+L72</f>
        <v>45.712000000000003</v>
      </c>
      <c r="M73"/>
      <c r="N73"/>
      <c r="O73"/>
      <c r="P73"/>
      <c r="Q73"/>
      <c r="R73"/>
      <c r="S73"/>
      <c r="T73"/>
      <c r="U73"/>
      <c r="V73" s="103"/>
      <c r="W73" s="105"/>
      <c r="X73"/>
    </row>
    <row r="74" spans="1:24">
      <c r="A74"/>
      <c r="B74" s="97">
        <v>4.1000000000000002E-2</v>
      </c>
      <c r="C74" s="98" t="s">
        <v>114</v>
      </c>
      <c r="D74" s="99">
        <v>2857</v>
      </c>
      <c r="E74" s="97">
        <v>4.1000000000000002E-2</v>
      </c>
      <c r="F74" s="100">
        <f t="shared" si="4"/>
        <v>74.292000000000002</v>
      </c>
      <c r="G74"/>
      <c r="H74" s="97">
        <v>4.1000000000000002E-2</v>
      </c>
      <c r="I74" s="98" t="s">
        <v>114</v>
      </c>
      <c r="J74" s="99">
        <v>5715</v>
      </c>
      <c r="K74" s="97">
        <v>4.1000000000000002E-2</v>
      </c>
      <c r="L74" s="100">
        <f t="shared" si="5"/>
        <v>148.6</v>
      </c>
      <c r="M74"/>
      <c r="N74"/>
      <c r="O74"/>
      <c r="P74"/>
      <c r="Q74"/>
      <c r="R74"/>
      <c r="S74"/>
      <c r="T74"/>
      <c r="U74"/>
      <c r="V74" s="103"/>
      <c r="W74" s="105"/>
      <c r="X74"/>
    </row>
    <row r="75" spans="1:24">
      <c r="A75"/>
      <c r="B75" s="97">
        <v>5.0999999999999997E-2</v>
      </c>
      <c r="C75" s="98" t="s">
        <v>114</v>
      </c>
      <c r="D75" s="99">
        <v>4286</v>
      </c>
      <c r="E75" s="97">
        <v>5.0999999999999997E-2</v>
      </c>
      <c r="F75" s="100">
        <f t="shared" si="4"/>
        <v>132.881</v>
      </c>
      <c r="G75"/>
      <c r="H75" s="97">
        <v>5.0999999999999997E-2</v>
      </c>
      <c r="I75" s="98" t="s">
        <v>114</v>
      </c>
      <c r="J75" s="99">
        <v>8573</v>
      </c>
      <c r="K75" s="97">
        <v>5.0999999999999997E-2</v>
      </c>
      <c r="L75" s="100">
        <f t="shared" si="5"/>
        <v>265.77800000000002</v>
      </c>
      <c r="M75"/>
      <c r="N75"/>
      <c r="O75"/>
      <c r="P75"/>
      <c r="Q75"/>
      <c r="R75"/>
      <c r="S75"/>
      <c r="T75"/>
      <c r="U75"/>
      <c r="V75" s="103"/>
      <c r="W75" s="105"/>
      <c r="X75"/>
    </row>
    <row r="76" spans="1:24">
      <c r="A76"/>
      <c r="B76" s="97">
        <v>6.0999999999999999E-2</v>
      </c>
      <c r="C76" s="98" t="s">
        <v>114</v>
      </c>
      <c r="D76" s="99">
        <v>5715</v>
      </c>
      <c r="E76" s="97">
        <v>6.0999999999999999E-2</v>
      </c>
      <c r="F76" s="100">
        <f t="shared" si="4"/>
        <v>205.76</v>
      </c>
      <c r="G76"/>
      <c r="H76" s="97">
        <v>6.0999999999999999E-2</v>
      </c>
      <c r="I76" s="98" t="s">
        <v>114</v>
      </c>
      <c r="J76" s="99">
        <v>11431</v>
      </c>
      <c r="K76" s="97">
        <v>6.0999999999999999E-2</v>
      </c>
      <c r="L76" s="100">
        <f t="shared" si="5"/>
        <v>411.536</v>
      </c>
      <c r="M76"/>
      <c r="N76"/>
      <c r="O76"/>
      <c r="P76"/>
      <c r="Q76"/>
      <c r="R76"/>
      <c r="S76"/>
      <c r="T76"/>
      <c r="U76"/>
      <c r="V76" s="103"/>
      <c r="W76" s="105"/>
      <c r="X76"/>
    </row>
    <row r="77" spans="1:24">
      <c r="A77"/>
      <c r="B77" s="97">
        <v>7.0999999999999994E-2</v>
      </c>
      <c r="C77" s="98" t="s">
        <v>114</v>
      </c>
      <c r="D77" s="99">
        <v>7144</v>
      </c>
      <c r="E77" s="97">
        <v>7.0999999999999994E-2</v>
      </c>
      <c r="F77" s="100">
        <f t="shared" si="4"/>
        <v>292.92899999999997</v>
      </c>
      <c r="G77"/>
      <c r="H77" s="97">
        <v>7.0999999999999994E-2</v>
      </c>
      <c r="I77" s="98" t="s">
        <v>114</v>
      </c>
      <c r="J77" s="99">
        <v>14289</v>
      </c>
      <c r="K77" s="97">
        <v>7.0999999999999994E-2</v>
      </c>
      <c r="L77" s="100">
        <f t="shared" si="5"/>
        <v>585.87400000000002</v>
      </c>
      <c r="M77"/>
      <c r="N77"/>
      <c r="O77"/>
      <c r="P77"/>
      <c r="Q77"/>
      <c r="R77"/>
      <c r="S77"/>
      <c r="T77"/>
      <c r="U77"/>
      <c r="V77" s="103"/>
      <c r="W77" s="105"/>
      <c r="X77"/>
    </row>
    <row r="78" spans="1:24">
      <c r="A78"/>
      <c r="B78" s="97">
        <v>7.3999999999999996E-2</v>
      </c>
      <c r="C78" s="98" t="s">
        <v>114</v>
      </c>
      <c r="D78" s="99">
        <v>10717</v>
      </c>
      <c r="E78" s="97">
        <v>7.3999999999999996E-2</v>
      </c>
      <c r="F78" s="100">
        <f t="shared" si="4"/>
        <v>546.61199999999997</v>
      </c>
      <c r="G78"/>
      <c r="H78" s="97">
        <v>7.3999999999999996E-2</v>
      </c>
      <c r="I78" s="98" t="s">
        <v>114</v>
      </c>
      <c r="J78" s="99">
        <v>21436</v>
      </c>
      <c r="K78" s="97">
        <v>7.3999999999999996E-2</v>
      </c>
      <c r="L78" s="100">
        <f t="shared" si="5"/>
        <v>1093.3109999999999</v>
      </c>
      <c r="M78"/>
      <c r="N78"/>
      <c r="O78"/>
      <c r="P78"/>
      <c r="Q78"/>
      <c r="R78"/>
      <c r="S78"/>
      <c r="T78"/>
      <c r="U78"/>
      <c r="V78" s="103"/>
      <c r="W78" s="105"/>
      <c r="X78"/>
    </row>
    <row r="79" spans="1:24">
      <c r="A79"/>
      <c r="B79"/>
      <c r="C79"/>
      <c r="D79"/>
      <c r="E79"/>
      <c r="F79"/>
      <c r="G79"/>
      <c r="H79"/>
      <c r="I79"/>
      <c r="J79"/>
      <c r="K79"/>
      <c r="L79"/>
      <c r="M79"/>
      <c r="N79"/>
      <c r="O79" s="102"/>
      <c r="P79"/>
      <c r="Q79" s="102"/>
      <c r="R79" s="102"/>
      <c r="S79"/>
      <c r="T79"/>
      <c r="U79"/>
      <c r="V79" s="103"/>
      <c r="W79" s="105"/>
      <c r="X79"/>
    </row>
    <row r="80" spans="1:24">
      <c r="A80" s="82" t="s">
        <v>133</v>
      </c>
      <c r="B80" s="178" t="s">
        <v>176</v>
      </c>
      <c r="C80" s="178"/>
      <c r="D80" s="178"/>
      <c r="E80"/>
      <c r="F80" s="107"/>
      <c r="G80" s="101"/>
      <c r="H80" s="178" t="s">
        <v>176</v>
      </c>
      <c r="I80" s="178"/>
      <c r="J80" s="178"/>
      <c r="K80"/>
      <c r="L80" s="107"/>
      <c r="M80" s="101"/>
      <c r="N80" s="98">
        <v>6300</v>
      </c>
      <c r="O80" s="102">
        <v>12600</v>
      </c>
      <c r="P80" s="101"/>
      <c r="Q80" s="102">
        <v>2125</v>
      </c>
      <c r="R80" s="102">
        <v>4250</v>
      </c>
      <c r="S80" s="102">
        <v>2125</v>
      </c>
      <c r="T80" s="94">
        <f>($T$2-N80-Q80)*0.0375</f>
        <v>1934.0625</v>
      </c>
      <c r="U80" s="94">
        <f>($U$2-O80-R80)*0.0375</f>
        <v>1618.125</v>
      </c>
      <c r="V80" s="103">
        <v>1</v>
      </c>
      <c r="W80" s="103">
        <v>1</v>
      </c>
      <c r="X80"/>
    </row>
    <row r="81" spans="1:24">
      <c r="A81"/>
      <c r="B81" s="178" t="s">
        <v>151</v>
      </c>
      <c r="C81" s="178"/>
      <c r="D81" s="178"/>
      <c r="E81"/>
      <c r="F81" s="107"/>
      <c r="G81"/>
      <c r="H81" s="178" t="s">
        <v>151</v>
      </c>
      <c r="I81" s="178"/>
      <c r="J81" s="178"/>
      <c r="K81"/>
      <c r="L81" s="107"/>
      <c r="M81"/>
      <c r="N81"/>
      <c r="O81"/>
      <c r="P81"/>
      <c r="Q81"/>
      <c r="R81"/>
      <c r="S81"/>
      <c r="T81"/>
      <c r="U81"/>
      <c r="V81" s="103"/>
      <c r="W81" s="105"/>
      <c r="X81"/>
    </row>
    <row r="82" spans="1:24">
      <c r="A82"/>
      <c r="B82"/>
      <c r="C82"/>
      <c r="D82"/>
      <c r="E82"/>
      <c r="F82"/>
      <c r="G82"/>
      <c r="H82"/>
      <c r="I82"/>
      <c r="J82"/>
      <c r="K82"/>
      <c r="L82"/>
      <c r="M82"/>
      <c r="N82"/>
      <c r="O82" s="102"/>
      <c r="P82"/>
      <c r="Q82" s="102"/>
      <c r="R82" s="102"/>
      <c r="S82"/>
      <c r="T82"/>
      <c r="U82"/>
      <c r="V82" s="103"/>
      <c r="W82" s="105"/>
      <c r="X82"/>
    </row>
    <row r="83" spans="1:24">
      <c r="A83" s="82" t="s">
        <v>4</v>
      </c>
      <c r="B83" s="178" t="s">
        <v>177</v>
      </c>
      <c r="C83" s="178"/>
      <c r="D83" s="178"/>
      <c r="E83"/>
      <c r="F83" s="107"/>
      <c r="G83" s="101"/>
      <c r="H83" s="178" t="s">
        <v>177</v>
      </c>
      <c r="I83" s="178"/>
      <c r="J83" s="178"/>
      <c r="K83"/>
      <c r="L83" s="107"/>
      <c r="M83" s="101"/>
      <c r="N83" s="98">
        <v>6300</v>
      </c>
      <c r="O83" s="102">
        <v>12600</v>
      </c>
      <c r="P83" s="101"/>
      <c r="Q83" s="102">
        <v>1000</v>
      </c>
      <c r="R83" s="102">
        <v>2000</v>
      </c>
      <c r="S83" s="102">
        <v>1500</v>
      </c>
      <c r="T83" s="94">
        <f>($T$2-N83-Q83)*0.033</f>
        <v>1739.1000000000001</v>
      </c>
      <c r="U83" s="94">
        <f>($U$2-O83-R83)*0.033</f>
        <v>1498.2</v>
      </c>
      <c r="V83" s="103">
        <v>1</v>
      </c>
      <c r="W83" s="103">
        <v>1</v>
      </c>
      <c r="X83" s="106" t="s">
        <v>178</v>
      </c>
    </row>
    <row r="84" spans="1:24">
      <c r="A84"/>
      <c r="B84" s="178" t="s">
        <v>151</v>
      </c>
      <c r="C84" s="178"/>
      <c r="D84" s="178"/>
      <c r="E84"/>
      <c r="F84" s="107"/>
      <c r="G84"/>
      <c r="H84" s="178" t="s">
        <v>151</v>
      </c>
      <c r="I84" s="178"/>
      <c r="J84" s="178"/>
      <c r="K84"/>
      <c r="L84" s="107"/>
      <c r="M84"/>
      <c r="N84"/>
      <c r="O84"/>
      <c r="P84"/>
      <c r="Q84"/>
      <c r="R84"/>
      <c r="S84"/>
      <c r="T84"/>
      <c r="U84"/>
      <c r="V84" s="103"/>
      <c r="W84" s="105"/>
      <c r="X84"/>
    </row>
    <row r="85" spans="1:24">
      <c r="A85"/>
      <c r="B85"/>
      <c r="C85"/>
      <c r="D85"/>
      <c r="E85"/>
      <c r="F85"/>
      <c r="G85"/>
      <c r="H85"/>
      <c r="I85"/>
      <c r="J85"/>
      <c r="K85"/>
      <c r="L85"/>
      <c r="M85"/>
      <c r="N85"/>
      <c r="O85" s="102"/>
      <c r="P85"/>
      <c r="Q85" s="102"/>
      <c r="R85" s="102"/>
      <c r="S85"/>
      <c r="T85"/>
      <c r="U85"/>
      <c r="V85" s="103"/>
      <c r="W85" s="105"/>
      <c r="X85"/>
    </row>
    <row r="86" spans="1:24">
      <c r="A86" s="82" t="s">
        <v>131</v>
      </c>
      <c r="B86" s="97">
        <v>3.5999999999999999E-3</v>
      </c>
      <c r="C86" s="98" t="s">
        <v>114</v>
      </c>
      <c r="D86" s="99">
        <v>0</v>
      </c>
      <c r="E86" s="97">
        <v>3.5999999999999999E-3</v>
      </c>
      <c r="F86" s="100">
        <v>0</v>
      </c>
      <c r="G86"/>
      <c r="H86" s="97">
        <v>3.5999999999999999E-3</v>
      </c>
      <c r="I86" s="98" t="s">
        <v>114</v>
      </c>
      <c r="J86" s="99">
        <v>0</v>
      </c>
      <c r="K86" s="97">
        <v>3.5999999999999999E-3</v>
      </c>
      <c r="L86" s="100">
        <v>0</v>
      </c>
      <c r="M86"/>
      <c r="N86" s="102">
        <v>1950</v>
      </c>
      <c r="O86" s="102">
        <v>4810</v>
      </c>
      <c r="P86"/>
      <c r="Q86" s="102">
        <v>40</v>
      </c>
      <c r="R86" s="102">
        <v>80</v>
      </c>
      <c r="S86" s="102">
        <v>40</v>
      </c>
      <c r="T86" s="94">
        <f>(($T$2-N86-Q86)-VLOOKUP(($T$2-N86-Q86),D86:F94,1,1))*VLOOKUP(($T$2-N86-Q86),D86:F94,2,1)+VLOOKUP(($T$2-N86-Q86),D86:F94,3,1)</f>
        <v>3485.6963999999998</v>
      </c>
      <c r="U86" s="94">
        <f>(($U$2-O86-R86)-VLOOKUP(($U$2-O86-R86),J86:L94,1,1))*VLOOKUP(($U$2-O86-R86),J86:L94,2,1)+VLOOKUP(($U$2-O86-R86),J86:L94,3,1)</f>
        <v>3256.0163999999995</v>
      </c>
      <c r="V86" s="103">
        <v>9</v>
      </c>
      <c r="W86" s="103">
        <v>9</v>
      </c>
      <c r="X86" s="106" t="s">
        <v>179</v>
      </c>
    </row>
    <row r="87" spans="1:24">
      <c r="A87"/>
      <c r="B87" s="97">
        <v>7.1999999999999998E-3</v>
      </c>
      <c r="C87" s="98" t="s">
        <v>114</v>
      </c>
      <c r="D87" s="99">
        <v>1539</v>
      </c>
      <c r="E87" s="97">
        <v>7.1999999999999998E-3</v>
      </c>
      <c r="F87" s="100">
        <f t="shared" ref="F87:F94" si="6">E86*(D87-D86)+F86</f>
        <v>5.5404</v>
      </c>
      <c r="G87"/>
      <c r="H87" s="97">
        <v>7.1999999999999998E-3</v>
      </c>
      <c r="I87" s="98" t="s">
        <v>114</v>
      </c>
      <c r="J87" s="99">
        <v>1539</v>
      </c>
      <c r="K87" s="97">
        <v>7.1999999999999998E-3</v>
      </c>
      <c r="L87" s="100">
        <f t="shared" ref="L87:L94" si="7">K86*(J87-J86)+L86</f>
        <v>5.5404</v>
      </c>
      <c r="M87"/>
      <c r="N87"/>
      <c r="O87"/>
      <c r="P87"/>
      <c r="Q87"/>
      <c r="R87"/>
      <c r="S87"/>
      <c r="T87"/>
      <c r="U87"/>
      <c r="V87" s="103"/>
      <c r="W87" s="105"/>
      <c r="X87"/>
    </row>
    <row r="88" spans="1:24">
      <c r="A88" s="106"/>
      <c r="B88" s="97">
        <v>2.4299999999999999E-2</v>
      </c>
      <c r="C88" s="98" t="s">
        <v>114</v>
      </c>
      <c r="D88" s="99">
        <v>3078</v>
      </c>
      <c r="E88" s="97">
        <v>2.4299999999999999E-2</v>
      </c>
      <c r="F88" s="100">
        <f t="shared" si="6"/>
        <v>16.621200000000002</v>
      </c>
      <c r="G88"/>
      <c r="H88" s="97">
        <v>2.4299999999999999E-2</v>
      </c>
      <c r="I88" s="98" t="s">
        <v>114</v>
      </c>
      <c r="J88" s="99">
        <v>3078</v>
      </c>
      <c r="K88" s="97">
        <v>2.4299999999999999E-2</v>
      </c>
      <c r="L88" s="100">
        <f t="shared" si="7"/>
        <v>16.621200000000002</v>
      </c>
      <c r="M88"/>
      <c r="N88"/>
      <c r="O88"/>
      <c r="P88"/>
      <c r="Q88"/>
      <c r="R88"/>
      <c r="S88"/>
      <c r="T88"/>
      <c r="U88"/>
      <c r="V88" s="103"/>
      <c r="W88" s="105"/>
      <c r="X88"/>
    </row>
    <row r="89" spans="1:24">
      <c r="A89"/>
      <c r="B89" s="97">
        <v>4.4999999999999998E-2</v>
      </c>
      <c r="C89" s="98" t="s">
        <v>114</v>
      </c>
      <c r="D89" s="99">
        <v>6156</v>
      </c>
      <c r="E89" s="97">
        <v>4.4999999999999998E-2</v>
      </c>
      <c r="F89" s="100">
        <f t="shared" si="6"/>
        <v>91.416600000000003</v>
      </c>
      <c r="G89"/>
      <c r="H89" s="97">
        <v>4.4999999999999998E-2</v>
      </c>
      <c r="I89" s="98" t="s">
        <v>114</v>
      </c>
      <c r="J89" s="99">
        <v>6156</v>
      </c>
      <c r="K89" s="97">
        <v>4.4999999999999998E-2</v>
      </c>
      <c r="L89" s="100">
        <f t="shared" si="7"/>
        <v>91.416600000000003</v>
      </c>
      <c r="M89"/>
      <c r="N89"/>
      <c r="O89"/>
      <c r="P89"/>
      <c r="Q89"/>
      <c r="R89"/>
      <c r="S89"/>
      <c r="T89"/>
      <c r="U89"/>
      <c r="V89" s="103"/>
      <c r="W89" s="105"/>
      <c r="X89"/>
    </row>
    <row r="90" spans="1:24">
      <c r="A90"/>
      <c r="B90" s="97">
        <v>6.1199999999999997E-2</v>
      </c>
      <c r="C90" s="98" t="s">
        <v>114</v>
      </c>
      <c r="D90" s="99">
        <v>13851</v>
      </c>
      <c r="E90" s="97">
        <v>6.1199999999999997E-2</v>
      </c>
      <c r="F90" s="100">
        <f t="shared" si="6"/>
        <v>437.69159999999999</v>
      </c>
      <c r="G90"/>
      <c r="H90" s="97">
        <v>6.1199999999999997E-2</v>
      </c>
      <c r="I90" s="98" t="s">
        <v>114</v>
      </c>
      <c r="J90" s="99">
        <v>13851</v>
      </c>
      <c r="K90" s="97">
        <v>6.1199999999999997E-2</v>
      </c>
      <c r="L90" s="100">
        <f t="shared" si="7"/>
        <v>437.69159999999999</v>
      </c>
      <c r="M90"/>
      <c r="N90"/>
      <c r="O90"/>
      <c r="P90"/>
      <c r="Q90"/>
      <c r="R90"/>
      <c r="S90"/>
      <c r="T90"/>
      <c r="U90"/>
      <c r="V90" s="103"/>
      <c r="W90" s="105"/>
      <c r="X90"/>
    </row>
    <row r="91" spans="1:24">
      <c r="A91"/>
      <c r="B91" s="97">
        <v>6.4799999999999996E-2</v>
      </c>
      <c r="C91" s="98" t="s">
        <v>114</v>
      </c>
      <c r="D91" s="99">
        <v>23085</v>
      </c>
      <c r="E91" s="97">
        <v>6.4799999999999996E-2</v>
      </c>
      <c r="F91" s="100">
        <f t="shared" si="6"/>
        <v>1002.8124</v>
      </c>
      <c r="G91"/>
      <c r="H91" s="97">
        <v>6.4799999999999996E-2</v>
      </c>
      <c r="I91" s="98" t="s">
        <v>114</v>
      </c>
      <c r="J91" s="99">
        <v>23085</v>
      </c>
      <c r="K91" s="97">
        <v>6.4799999999999996E-2</v>
      </c>
      <c r="L91" s="100">
        <f t="shared" si="7"/>
        <v>1002.8124</v>
      </c>
      <c r="M91"/>
      <c r="N91"/>
      <c r="O91"/>
      <c r="P91"/>
      <c r="Q91"/>
      <c r="R91"/>
      <c r="S91"/>
      <c r="T91"/>
      <c r="U91"/>
      <c r="V91" s="103"/>
      <c r="W91" s="105"/>
      <c r="X91"/>
    </row>
    <row r="92" spans="1:24">
      <c r="A92"/>
      <c r="B92" s="97">
        <v>6.8000000000000005E-2</v>
      </c>
      <c r="C92" s="98" t="s">
        <v>114</v>
      </c>
      <c r="D92" s="99">
        <v>30780</v>
      </c>
      <c r="E92" s="97">
        <v>6.8000000000000005E-2</v>
      </c>
      <c r="F92" s="100">
        <f t="shared" si="6"/>
        <v>1501.4484</v>
      </c>
      <c r="G92"/>
      <c r="H92" s="97">
        <v>6.8000000000000005E-2</v>
      </c>
      <c r="I92" s="98" t="s">
        <v>114</v>
      </c>
      <c r="J92" s="99">
        <v>30780</v>
      </c>
      <c r="K92" s="97">
        <v>6.8000000000000005E-2</v>
      </c>
      <c r="L92" s="100">
        <f t="shared" si="7"/>
        <v>1501.4484</v>
      </c>
      <c r="M92"/>
      <c r="N92"/>
      <c r="O92"/>
      <c r="P92"/>
      <c r="Q92"/>
      <c r="R92"/>
      <c r="S92"/>
      <c r="T92"/>
      <c r="U92"/>
      <c r="V92" s="103"/>
      <c r="W92" s="105"/>
      <c r="X92"/>
    </row>
    <row r="93" spans="1:24">
      <c r="A93"/>
      <c r="B93" s="97">
        <v>7.9200000000000007E-2</v>
      </c>
      <c r="C93" s="98" t="s">
        <v>114</v>
      </c>
      <c r="D93" s="99">
        <v>46170</v>
      </c>
      <c r="E93" s="97">
        <v>7.9200000000000007E-2</v>
      </c>
      <c r="F93" s="100">
        <f t="shared" si="6"/>
        <v>2547.9683999999997</v>
      </c>
      <c r="G93"/>
      <c r="H93" s="97">
        <v>7.9200000000000007E-2</v>
      </c>
      <c r="I93" s="98" t="s">
        <v>114</v>
      </c>
      <c r="J93" s="99">
        <v>46170</v>
      </c>
      <c r="K93" s="97">
        <v>7.9200000000000007E-2</v>
      </c>
      <c r="L93" s="100">
        <f t="shared" si="7"/>
        <v>2547.9683999999997</v>
      </c>
      <c r="M93"/>
      <c r="N93"/>
      <c r="O93"/>
      <c r="P93"/>
      <c r="Q93"/>
      <c r="R93"/>
      <c r="S93"/>
      <c r="T93"/>
      <c r="U93"/>
      <c r="V93" s="103"/>
      <c r="W93" s="105"/>
      <c r="X93"/>
    </row>
    <row r="94" spans="1:24">
      <c r="A94"/>
      <c r="B94" s="97">
        <v>8.9800000000000005E-2</v>
      </c>
      <c r="C94" s="98" t="s">
        <v>114</v>
      </c>
      <c r="D94" s="99">
        <v>69255</v>
      </c>
      <c r="E94" s="97">
        <v>8.9800000000000005E-2</v>
      </c>
      <c r="F94" s="100">
        <f t="shared" si="6"/>
        <v>4376.3004000000001</v>
      </c>
      <c r="G94"/>
      <c r="H94" s="97">
        <v>8.9800000000000005E-2</v>
      </c>
      <c r="I94" s="98" t="s">
        <v>114</v>
      </c>
      <c r="J94" s="99">
        <v>69255</v>
      </c>
      <c r="K94" s="97">
        <v>8.9800000000000005E-2</v>
      </c>
      <c r="L94" s="100">
        <f t="shared" si="7"/>
        <v>4376.3004000000001</v>
      </c>
      <c r="M94"/>
      <c r="N94"/>
      <c r="O94"/>
      <c r="P94"/>
      <c r="Q94"/>
      <c r="R94"/>
      <c r="S94"/>
      <c r="T94" s="94"/>
      <c r="U94"/>
      <c r="V94" s="103"/>
      <c r="W94" s="105"/>
      <c r="X94"/>
    </row>
    <row r="95" spans="1:24">
      <c r="A95"/>
      <c r="B95"/>
      <c r="C95"/>
      <c r="D95"/>
      <c r="E95"/>
      <c r="F95"/>
      <c r="G95"/>
      <c r="H95"/>
      <c r="I95"/>
      <c r="J95"/>
      <c r="K95"/>
      <c r="L95"/>
      <c r="M95"/>
      <c r="N95"/>
      <c r="O95" s="102"/>
      <c r="P95"/>
      <c r="Q95" s="102"/>
      <c r="R95" s="102"/>
      <c r="S95"/>
      <c r="T95"/>
      <c r="U95"/>
      <c r="V95" s="103"/>
      <c r="W95" s="105"/>
      <c r="X95"/>
    </row>
    <row r="96" spans="1:24">
      <c r="A96" s="82" t="s">
        <v>134</v>
      </c>
      <c r="B96" s="97">
        <v>2.7E-2</v>
      </c>
      <c r="C96" s="98" t="s">
        <v>114</v>
      </c>
      <c r="D96" s="99">
        <v>0</v>
      </c>
      <c r="E96" s="97">
        <v>2.7E-2</v>
      </c>
      <c r="F96" s="100">
        <v>0</v>
      </c>
      <c r="G96"/>
      <c r="H96" s="97">
        <v>2.7E-2</v>
      </c>
      <c r="I96" s="98" t="s">
        <v>114</v>
      </c>
      <c r="J96" s="99">
        <v>0</v>
      </c>
      <c r="K96" s="97">
        <v>2.7E-2</v>
      </c>
      <c r="L96" s="100">
        <v>0</v>
      </c>
      <c r="M96"/>
      <c r="N96" s="102">
        <v>3000</v>
      </c>
      <c r="O96" s="102">
        <v>7500</v>
      </c>
      <c r="P96"/>
      <c r="Q96" s="102">
        <v>2250</v>
      </c>
      <c r="R96" s="102">
        <v>4500</v>
      </c>
      <c r="S96" s="102">
        <v>2250</v>
      </c>
      <c r="T96" s="94">
        <f>(($T$2-N96-Q96)-VLOOKUP(($T$2-N96-Q96),D96:F97,1,1))*VLOOKUP(($T$2-N96-Q96),D96:F97,2,1)+VLOOKUP(($T$2-N96-Q96),D96:F97,3,1)</f>
        <v>2233.5</v>
      </c>
      <c r="U96" s="94">
        <f>(($U$2-O96-R96)-VLOOKUP(($U$2-O96-R96),J96:L97,1,1))*VLOOKUP(($U$2-O96-R96),J96:L97,2,1)+VLOOKUP(($U$2-O96-R96),J96:L97,3,1)</f>
        <v>1638</v>
      </c>
      <c r="V96" s="103">
        <v>2</v>
      </c>
      <c r="W96" s="103">
        <v>2</v>
      </c>
      <c r="X96"/>
    </row>
    <row r="97" spans="1:24">
      <c r="A97"/>
      <c r="B97" s="97">
        <v>4.5999999999999999E-2</v>
      </c>
      <c r="C97" s="98" t="s">
        <v>114</v>
      </c>
      <c r="D97" s="99">
        <v>15000</v>
      </c>
      <c r="E97" s="97">
        <v>4.5999999999999999E-2</v>
      </c>
      <c r="F97" s="100">
        <f>E96*(D97-D96)+F96</f>
        <v>405</v>
      </c>
      <c r="G97"/>
      <c r="H97" s="97">
        <v>4.5999999999999999E-2</v>
      </c>
      <c r="I97" s="98" t="s">
        <v>114</v>
      </c>
      <c r="J97" s="99">
        <v>30000</v>
      </c>
      <c r="K97" s="97">
        <v>4.5999999999999999E-2</v>
      </c>
      <c r="L97" s="100">
        <f>K96*(J97-J96)+L96</f>
        <v>810</v>
      </c>
      <c r="M97"/>
      <c r="N97"/>
      <c r="O97"/>
      <c r="P97"/>
      <c r="Q97"/>
      <c r="R97"/>
      <c r="S97"/>
      <c r="T97"/>
      <c r="U97"/>
      <c r="V97" s="103"/>
      <c r="W97" s="105"/>
      <c r="X97"/>
    </row>
    <row r="98" spans="1:24">
      <c r="A98"/>
      <c r="B98"/>
      <c r="C98"/>
      <c r="D98"/>
      <c r="E98"/>
      <c r="F98"/>
      <c r="G98"/>
      <c r="H98"/>
      <c r="I98"/>
      <c r="J98"/>
      <c r="K98"/>
      <c r="L98"/>
      <c r="M98"/>
      <c r="N98"/>
      <c r="O98" s="102"/>
      <c r="P98"/>
      <c r="Q98" s="102"/>
      <c r="R98" s="102"/>
      <c r="S98"/>
      <c r="T98"/>
      <c r="U98"/>
      <c r="V98" s="103"/>
      <c r="W98" s="105"/>
      <c r="X98"/>
    </row>
    <row r="99" spans="1:24">
      <c r="A99" s="82" t="s">
        <v>135</v>
      </c>
      <c r="B99" s="97">
        <v>0.02</v>
      </c>
      <c r="C99" s="98" t="s">
        <v>114</v>
      </c>
      <c r="D99" s="99">
        <v>0</v>
      </c>
      <c r="E99" s="97">
        <v>0.02</v>
      </c>
      <c r="F99" s="100">
        <v>0</v>
      </c>
      <c r="G99"/>
      <c r="H99" s="97">
        <v>0.02</v>
      </c>
      <c r="I99" s="98" t="s">
        <v>114</v>
      </c>
      <c r="J99" s="99">
        <v>0</v>
      </c>
      <c r="K99" s="97">
        <v>0.02</v>
      </c>
      <c r="L99" s="100">
        <v>0</v>
      </c>
      <c r="M99"/>
      <c r="N99" s="102">
        <v>2440</v>
      </c>
      <c r="O99" s="102">
        <v>2440</v>
      </c>
      <c r="P99"/>
      <c r="Q99" s="102">
        <v>20</v>
      </c>
      <c r="R99" s="102">
        <v>40</v>
      </c>
      <c r="S99" s="102">
        <v>20</v>
      </c>
      <c r="T99" s="94">
        <f>(($T$2-N99-Q99)-VLOOKUP(($T$2-N99-Q99),D99:F104,1,1))*VLOOKUP(($T$2-N99-Q99),D99:F104,2,1)+VLOOKUP(($T$2-N99-Q99),D99:F104,3,1)</f>
        <v>3153.32</v>
      </c>
      <c r="U99" s="94">
        <f>(($U$2-O99-R99)-VLOOKUP(($U$2-O99-R99),J99:L104,1,1))*VLOOKUP(($U$2-O99-R99),J99:L104,2,1)+VLOOKUP(($U$2-O99-R99),J99:L104,3,1)</f>
        <v>3152.1600000000003</v>
      </c>
      <c r="V99" s="103">
        <v>6</v>
      </c>
      <c r="W99" s="103">
        <v>6</v>
      </c>
      <c r="X99" s="106" t="s">
        <v>180</v>
      </c>
    </row>
    <row r="100" spans="1:24">
      <c r="A100"/>
      <c r="B100" s="97">
        <v>0.03</v>
      </c>
      <c r="C100" s="98" t="s">
        <v>114</v>
      </c>
      <c r="D100" s="99">
        <v>3000</v>
      </c>
      <c r="E100" s="97">
        <v>0.03</v>
      </c>
      <c r="F100" s="100">
        <f>E99*(D100-D99)+F99</f>
        <v>60</v>
      </c>
      <c r="G100"/>
      <c r="H100" s="97">
        <v>0.03</v>
      </c>
      <c r="I100" s="98" t="s">
        <v>114</v>
      </c>
      <c r="J100" s="99">
        <v>3000</v>
      </c>
      <c r="K100" s="97">
        <v>0.03</v>
      </c>
      <c r="L100" s="100">
        <f>K99*(J100-J99)+L99</f>
        <v>60</v>
      </c>
      <c r="M100"/>
      <c r="N100"/>
      <c r="O100"/>
      <c r="P100"/>
      <c r="Q100"/>
      <c r="R100"/>
      <c r="S100"/>
      <c r="T100"/>
      <c r="U100"/>
      <c r="V100" s="103"/>
      <c r="W100" s="105"/>
      <c r="X100"/>
    </row>
    <row r="101" spans="1:24">
      <c r="A101"/>
      <c r="B101" s="97">
        <v>0.04</v>
      </c>
      <c r="C101" s="98" t="s">
        <v>114</v>
      </c>
      <c r="D101" s="99">
        <v>4000</v>
      </c>
      <c r="E101" s="97">
        <v>0.04</v>
      </c>
      <c r="F101" s="100">
        <f>E100*(D101-D100)+F100</f>
        <v>90</v>
      </c>
      <c r="G101"/>
      <c r="H101" s="97">
        <v>0.04</v>
      </c>
      <c r="I101" s="98" t="s">
        <v>114</v>
      </c>
      <c r="J101" s="99">
        <v>4000</v>
      </c>
      <c r="K101" s="97">
        <v>0.04</v>
      </c>
      <c r="L101" s="100">
        <f>K100*(J101-J100)+L100</f>
        <v>90</v>
      </c>
      <c r="M101"/>
      <c r="N101"/>
      <c r="O101"/>
      <c r="P101"/>
      <c r="Q101"/>
      <c r="R101"/>
      <c r="S101"/>
      <c r="T101"/>
      <c r="U101"/>
      <c r="V101" s="103"/>
      <c r="W101" s="105"/>
      <c r="X101"/>
    </row>
    <row r="102" spans="1:24">
      <c r="A102"/>
      <c r="B102" s="97">
        <v>0.05</v>
      </c>
      <c r="C102" s="98" t="s">
        <v>114</v>
      </c>
      <c r="D102" s="99">
        <v>5000</v>
      </c>
      <c r="E102" s="97">
        <v>0.05</v>
      </c>
      <c r="F102" s="100">
        <f>E101*(D102-D101)+F101</f>
        <v>130</v>
      </c>
      <c r="G102"/>
      <c r="H102" s="97">
        <v>0.05</v>
      </c>
      <c r="I102" s="98" t="s">
        <v>114</v>
      </c>
      <c r="J102" s="99">
        <v>5000</v>
      </c>
      <c r="K102" s="97">
        <v>0.05</v>
      </c>
      <c r="L102" s="100">
        <f>K101*(J102-J101)+L101</f>
        <v>130</v>
      </c>
      <c r="M102"/>
      <c r="N102"/>
      <c r="O102"/>
      <c r="P102"/>
      <c r="Q102"/>
      <c r="R102"/>
      <c r="S102"/>
      <c r="T102"/>
      <c r="U102"/>
      <c r="V102" s="103"/>
      <c r="W102" s="105"/>
      <c r="X102"/>
    </row>
    <row r="103" spans="1:24">
      <c r="A103"/>
      <c r="B103" s="97">
        <v>5.8000000000000003E-2</v>
      </c>
      <c r="C103" s="98" t="s">
        <v>114</v>
      </c>
      <c r="D103" s="99">
        <v>8000</v>
      </c>
      <c r="E103" s="97">
        <v>5.8000000000000003E-2</v>
      </c>
      <c r="F103" s="100">
        <f>E102*(D103-D102)+F102</f>
        <v>280</v>
      </c>
      <c r="G103"/>
      <c r="H103" s="97">
        <v>5.8000000000000003E-2</v>
      </c>
      <c r="I103" s="98" t="s">
        <v>114</v>
      </c>
      <c r="J103" s="99">
        <v>8000</v>
      </c>
      <c r="K103" s="97">
        <v>5.8000000000000003E-2</v>
      </c>
      <c r="L103" s="100">
        <f>K102*(J103-J102)+L102</f>
        <v>280</v>
      </c>
      <c r="M103"/>
      <c r="N103"/>
      <c r="O103"/>
      <c r="P103"/>
      <c r="Q103"/>
      <c r="R103"/>
      <c r="S103"/>
      <c r="T103"/>
      <c r="U103"/>
      <c r="V103" s="103"/>
      <c r="W103" s="105"/>
      <c r="X103"/>
    </row>
    <row r="104" spans="1:24">
      <c r="A104"/>
      <c r="B104" s="97">
        <v>0.06</v>
      </c>
      <c r="C104" s="98" t="s">
        <v>114</v>
      </c>
      <c r="D104" s="99">
        <v>75000</v>
      </c>
      <c r="E104" s="97">
        <v>0.06</v>
      </c>
      <c r="F104" s="100">
        <f>E103*(D104-D103)+F103</f>
        <v>4166</v>
      </c>
      <c r="G104"/>
      <c r="H104" s="97">
        <v>0.06</v>
      </c>
      <c r="I104" s="98" t="s">
        <v>114</v>
      </c>
      <c r="J104" s="99">
        <v>75000</v>
      </c>
      <c r="K104" s="97">
        <v>0.06</v>
      </c>
      <c r="L104" s="100">
        <f>K103*(J104-J103)+L103</f>
        <v>4166</v>
      </c>
      <c r="M104"/>
      <c r="N104"/>
      <c r="O104"/>
      <c r="P104"/>
      <c r="Q104"/>
      <c r="R104"/>
      <c r="S104"/>
      <c r="T104"/>
      <c r="U104"/>
      <c r="V104" s="103"/>
      <c r="W104" s="105"/>
      <c r="X104"/>
    </row>
    <row r="105" spans="1:24">
      <c r="A105"/>
      <c r="B105"/>
      <c r="C105"/>
      <c r="D105"/>
      <c r="E105"/>
      <c r="F105"/>
      <c r="G105"/>
      <c r="H105"/>
      <c r="I105"/>
      <c r="J105"/>
      <c r="K105"/>
      <c r="L105"/>
      <c r="M105"/>
      <c r="N105"/>
      <c r="O105" s="102"/>
      <c r="P105"/>
      <c r="Q105" s="102"/>
      <c r="R105" s="102"/>
      <c r="S105"/>
      <c r="T105"/>
      <c r="U105"/>
      <c r="V105" s="103"/>
      <c r="W105" s="105"/>
      <c r="X105"/>
    </row>
    <row r="106" spans="1:24">
      <c r="A106" s="82" t="s">
        <v>136</v>
      </c>
      <c r="B106" s="97">
        <v>0.02</v>
      </c>
      <c r="C106" s="98" t="s">
        <v>114</v>
      </c>
      <c r="D106" s="99">
        <v>0</v>
      </c>
      <c r="E106" s="97">
        <v>0.02</v>
      </c>
      <c r="F106" s="100">
        <v>0</v>
      </c>
      <c r="G106"/>
      <c r="H106" s="97">
        <v>0.02</v>
      </c>
      <c r="I106" s="98" t="s">
        <v>114</v>
      </c>
      <c r="J106" s="99">
        <v>0</v>
      </c>
      <c r="K106" s="97">
        <v>0.02</v>
      </c>
      <c r="L106" s="100">
        <v>0</v>
      </c>
      <c r="M106"/>
      <c r="N106" s="98">
        <v>0</v>
      </c>
      <c r="O106" s="102">
        <v>0</v>
      </c>
      <c r="P106"/>
      <c r="Q106" s="102">
        <v>4500</v>
      </c>
      <c r="R106" s="102">
        <v>9000</v>
      </c>
      <c r="S106" s="102">
        <v>1000</v>
      </c>
      <c r="T106" s="94">
        <f>(($T$2-N106-Q106)-VLOOKUP(($T$2-N106-Q106),D106:F108,1,1))*VLOOKUP(($T$2-N106-Q106),D106:F108,2,1)+VLOOKUP(($T$2-N106-Q106),D106:F108,3,1)</f>
        <v>2080</v>
      </c>
      <c r="U106" s="94">
        <f>(($U$2-O106-R106)-VLOOKUP(($U$2-O106-R106),J106:L108,1,1))*VLOOKUP(($U$2-O106-R106),J106:L108,2,1)+VLOOKUP(($U$2-O106-R106),J106:L108,3,1)</f>
        <v>1540</v>
      </c>
      <c r="V106" s="103">
        <v>3</v>
      </c>
      <c r="W106" s="103">
        <v>3</v>
      </c>
      <c r="X106" s="106" t="s">
        <v>181</v>
      </c>
    </row>
    <row r="107" spans="1:24">
      <c r="A107"/>
      <c r="B107" s="97">
        <v>0.04</v>
      </c>
      <c r="C107" s="98" t="s">
        <v>114</v>
      </c>
      <c r="D107" s="99">
        <v>12500</v>
      </c>
      <c r="E107" s="97">
        <v>0.04</v>
      </c>
      <c r="F107" s="100">
        <f>E106*(D107-D106)+F106</f>
        <v>250</v>
      </c>
      <c r="G107"/>
      <c r="H107" s="97">
        <v>0.04</v>
      </c>
      <c r="I107" s="98" t="s">
        <v>114</v>
      </c>
      <c r="J107" s="99">
        <v>25000</v>
      </c>
      <c r="K107" s="97">
        <v>0.04</v>
      </c>
      <c r="L107" s="100">
        <f>K106*(J107-J106)+L106</f>
        <v>500</v>
      </c>
      <c r="M107"/>
      <c r="N107"/>
      <c r="O107"/>
      <c r="P107"/>
      <c r="Q107"/>
      <c r="R107"/>
      <c r="S107"/>
      <c r="T107"/>
      <c r="U107"/>
      <c r="V107" s="103"/>
      <c r="W107" s="105"/>
      <c r="X107"/>
    </row>
    <row r="108" spans="1:24">
      <c r="A108"/>
      <c r="B108" s="97">
        <v>0.06</v>
      </c>
      <c r="C108" s="98" t="s">
        <v>114</v>
      </c>
      <c r="D108" s="99">
        <v>50000</v>
      </c>
      <c r="E108" s="97">
        <v>0.06</v>
      </c>
      <c r="F108" s="100">
        <f>E107*(D108-D107)+F107</f>
        <v>1750</v>
      </c>
      <c r="G108"/>
      <c r="H108" s="97">
        <v>0.06</v>
      </c>
      <c r="I108" s="98" t="s">
        <v>114</v>
      </c>
      <c r="J108" s="99">
        <v>100000</v>
      </c>
      <c r="K108" s="97">
        <v>0.06</v>
      </c>
      <c r="L108" s="100">
        <f>K107*(J108-J107)+L107</f>
        <v>3500</v>
      </c>
      <c r="M108"/>
      <c r="N108"/>
      <c r="O108"/>
      <c r="P108"/>
      <c r="Q108"/>
      <c r="R108"/>
      <c r="S108"/>
      <c r="T108"/>
      <c r="U108"/>
      <c r="V108" s="103"/>
      <c r="W108" s="105"/>
      <c r="X108"/>
    </row>
    <row r="109" spans="1:24">
      <c r="A109"/>
      <c r="B109"/>
      <c r="C109"/>
      <c r="D109"/>
      <c r="E109"/>
      <c r="F109" s="100"/>
      <c r="G109"/>
      <c r="H109"/>
      <c r="I109"/>
      <c r="J109"/>
      <c r="K109"/>
      <c r="L109" s="100"/>
      <c r="M109"/>
      <c r="N109"/>
      <c r="O109" s="102"/>
      <c r="P109"/>
      <c r="Q109" s="102"/>
      <c r="R109" s="102"/>
      <c r="S109"/>
      <c r="T109"/>
      <c r="U109"/>
      <c r="V109" s="103"/>
      <c r="W109" s="105"/>
      <c r="X109"/>
    </row>
    <row r="110" spans="1:24">
      <c r="A110" s="82" t="s">
        <v>140</v>
      </c>
      <c r="B110" s="97">
        <v>6.5000000000000002E-2</v>
      </c>
      <c r="C110" s="98" t="s">
        <v>114</v>
      </c>
      <c r="D110" s="99">
        <v>5199</v>
      </c>
      <c r="E110" s="97">
        <v>6.5000000000000002E-2</v>
      </c>
      <c r="F110" s="100">
        <v>0</v>
      </c>
      <c r="G110"/>
      <c r="H110" s="97">
        <v>6.5000000000000002E-2</v>
      </c>
      <c r="I110" s="98" t="s">
        <v>114</v>
      </c>
      <c r="J110" s="99">
        <v>10449</v>
      </c>
      <c r="K110" s="97">
        <v>6.5000000000000002E-2</v>
      </c>
      <c r="L110" s="100">
        <v>0</v>
      </c>
      <c r="M110"/>
      <c r="N110" s="102">
        <v>6300</v>
      </c>
      <c r="O110" s="102">
        <v>12600</v>
      </c>
      <c r="P110"/>
      <c r="Q110" s="102">
        <v>4000</v>
      </c>
      <c r="R110" s="102">
        <v>8000</v>
      </c>
      <c r="S110" s="102">
        <v>4000</v>
      </c>
      <c r="T110" s="94">
        <f>(($T$2-N110-Q110)-VLOOKUP(($T$2-N110-Q110),D110:F111,1,1))*VLOOKUP(($T$2-N110-Q110),D110:F111,2,1)+VLOOKUP(($T$2-N110-Q110),D110:F111,3,1)</f>
        <v>3310.1795000000002</v>
      </c>
      <c r="U110" s="94">
        <f>(($U$2-O110-R110)-VLOOKUP(($U$2-O110-R110),J110:L111,1,1))*VLOOKUP(($U$2-O110-R110),J110:L111,2,1)+VLOOKUP(($U$2-O110-R110),J110:L111,3,1)</f>
        <v>1881.8150000000001</v>
      </c>
      <c r="V110" s="103">
        <v>2</v>
      </c>
      <c r="W110" s="105">
        <v>2</v>
      </c>
      <c r="X110" s="106" t="s">
        <v>175</v>
      </c>
    </row>
    <row r="111" spans="1:24">
      <c r="A111"/>
      <c r="B111" s="97">
        <v>7.9500000000000001E-2</v>
      </c>
      <c r="C111" s="98" t="s">
        <v>114</v>
      </c>
      <c r="D111" s="99">
        <v>20899</v>
      </c>
      <c r="E111" s="97">
        <v>7.9500000000000001E-2</v>
      </c>
      <c r="F111" s="100">
        <f>E110*(D111-D110)+F110</f>
        <v>1020.5</v>
      </c>
      <c r="G111"/>
      <c r="H111" s="97">
        <v>7.9500000000000001E-2</v>
      </c>
      <c r="I111" s="98" t="s">
        <v>114</v>
      </c>
      <c r="J111" s="99">
        <v>41849</v>
      </c>
      <c r="K111" s="97">
        <v>7.9500000000000001E-2</v>
      </c>
      <c r="L111" s="100">
        <f>K110*(J111-J110)+L110</f>
        <v>2041</v>
      </c>
      <c r="M111"/>
      <c r="N111"/>
      <c r="O111"/>
      <c r="P111"/>
      <c r="Q111"/>
      <c r="R111"/>
      <c r="S111"/>
      <c r="T111"/>
      <c r="U111"/>
      <c r="V111" s="103"/>
      <c r="W111" s="105"/>
      <c r="X111"/>
    </row>
    <row r="112" spans="1:24">
      <c r="A112"/>
      <c r="B112"/>
      <c r="C112"/>
      <c r="D112"/>
      <c r="E112"/>
      <c r="F112"/>
      <c r="G112"/>
      <c r="H112"/>
      <c r="I112"/>
      <c r="J112"/>
      <c r="K112"/>
      <c r="L112"/>
      <c r="M112"/>
      <c r="N112"/>
      <c r="O112" s="102"/>
      <c r="P112"/>
      <c r="Q112" s="102"/>
      <c r="R112" s="102"/>
      <c r="S112"/>
      <c r="T112"/>
      <c r="U112"/>
      <c r="V112" s="103"/>
      <c r="W112" s="105"/>
      <c r="X112"/>
    </row>
    <row r="113" spans="1:24">
      <c r="A113" s="82" t="s">
        <v>139</v>
      </c>
      <c r="B113" s="97">
        <v>0.02</v>
      </c>
      <c r="C113" s="98" t="s">
        <v>114</v>
      </c>
      <c r="D113" s="99">
        <v>0</v>
      </c>
      <c r="E113" s="97">
        <v>0.02</v>
      </c>
      <c r="F113" s="100">
        <v>0</v>
      </c>
      <c r="G113"/>
      <c r="H113" s="97">
        <v>0.02</v>
      </c>
      <c r="I113" s="98" t="s">
        <v>114</v>
      </c>
      <c r="J113" s="99">
        <v>0</v>
      </c>
      <c r="K113" s="97">
        <v>0.02</v>
      </c>
      <c r="L113" s="100">
        <v>0</v>
      </c>
      <c r="M113"/>
      <c r="N113" s="102">
        <v>2000</v>
      </c>
      <c r="O113" s="102">
        <v>4000</v>
      </c>
      <c r="P113"/>
      <c r="Q113" s="102">
        <v>3200</v>
      </c>
      <c r="R113" s="102">
        <v>6400</v>
      </c>
      <c r="S113" s="102">
        <v>3200</v>
      </c>
      <c r="T113" s="94">
        <f>(($T$2-N113-Q113)-VLOOKUP(($T$2-N113-Q113),D113:F120,1,1))*VLOOKUP(($T$2-N113-Q113),D113:F120,2,1)+VLOOKUP(($T$2-N113-Q113),D113:F120,3,1)</f>
        <v>2550.5</v>
      </c>
      <c r="U113" s="94">
        <f>(($U$2-O113-R113)-VLOOKUP(($U$2-O113-R113),J113:L120,1,1))*VLOOKUP(($U$2-O113-R113),J113:L120,2,1)+VLOOKUP(($U$2-O113-R113),J113:L120,3,1)</f>
        <v>2303.5</v>
      </c>
      <c r="V113" s="103">
        <v>8</v>
      </c>
      <c r="W113" s="105">
        <v>8</v>
      </c>
      <c r="X113" s="106" t="s">
        <v>182</v>
      </c>
    </row>
    <row r="114" spans="1:24">
      <c r="A114"/>
      <c r="B114" s="97">
        <v>0.03</v>
      </c>
      <c r="C114" s="98" t="s">
        <v>114</v>
      </c>
      <c r="D114" s="99">
        <v>1000</v>
      </c>
      <c r="E114" s="97">
        <v>0.03</v>
      </c>
      <c r="F114" s="100">
        <f t="shared" ref="F114:F120" si="8">E113*(D114-D113)+F113</f>
        <v>20</v>
      </c>
      <c r="G114"/>
      <c r="H114" s="97">
        <v>0.03</v>
      </c>
      <c r="I114" s="98" t="s">
        <v>114</v>
      </c>
      <c r="J114" s="99">
        <v>1000</v>
      </c>
      <c r="K114" s="97">
        <v>0.03</v>
      </c>
      <c r="L114" s="100">
        <f t="shared" ref="L114:L120" si="9">K113*(J114-J113)+L113</f>
        <v>20</v>
      </c>
      <c r="M114"/>
      <c r="N114"/>
      <c r="O114"/>
      <c r="P114"/>
      <c r="Q114"/>
      <c r="R114"/>
      <c r="S114"/>
      <c r="T114"/>
      <c r="U114"/>
      <c r="V114" s="103"/>
      <c r="W114" s="105"/>
      <c r="X114"/>
    </row>
    <row r="115" spans="1:24">
      <c r="A115"/>
      <c r="B115" s="97">
        <v>0.04</v>
      </c>
      <c r="C115" s="98" t="s">
        <v>114</v>
      </c>
      <c r="D115" s="99">
        <v>2000</v>
      </c>
      <c r="E115" s="97">
        <v>0.04</v>
      </c>
      <c r="F115" s="100">
        <f t="shared" si="8"/>
        <v>50</v>
      </c>
      <c r="G115"/>
      <c r="H115" s="97">
        <v>0.04</v>
      </c>
      <c r="I115" s="98" t="s">
        <v>114</v>
      </c>
      <c r="J115" s="99">
        <v>2000</v>
      </c>
      <c r="K115" s="97">
        <v>0.04</v>
      </c>
      <c r="L115" s="100">
        <f t="shared" si="9"/>
        <v>50</v>
      </c>
      <c r="M115"/>
      <c r="N115"/>
      <c r="O115"/>
      <c r="P115"/>
      <c r="Q115"/>
      <c r="R115"/>
      <c r="S115"/>
      <c r="T115"/>
      <c r="U115"/>
      <c r="V115" s="103"/>
      <c r="W115" s="105"/>
      <c r="X115"/>
    </row>
    <row r="116" spans="1:24">
      <c r="A116"/>
      <c r="B116" s="97">
        <v>4.7500000000000001E-2</v>
      </c>
      <c r="C116" s="98" t="s">
        <v>114</v>
      </c>
      <c r="D116" s="99">
        <v>3000</v>
      </c>
      <c r="E116" s="97">
        <v>4.7500000000000001E-2</v>
      </c>
      <c r="F116" s="100">
        <f t="shared" si="8"/>
        <v>90</v>
      </c>
      <c r="G116"/>
      <c r="H116" s="97">
        <v>4.7500000000000001E-2</v>
      </c>
      <c r="I116" s="98" t="s">
        <v>114</v>
      </c>
      <c r="J116" s="99">
        <v>3000</v>
      </c>
      <c r="K116" s="97">
        <v>4.7500000000000001E-2</v>
      </c>
      <c r="L116" s="100">
        <f t="shared" si="9"/>
        <v>90</v>
      </c>
      <c r="M116"/>
      <c r="N116"/>
      <c r="O116"/>
      <c r="P116"/>
      <c r="Q116"/>
      <c r="R116"/>
      <c r="S116"/>
      <c r="T116"/>
      <c r="U116"/>
      <c r="V116" s="103"/>
      <c r="W116" s="105"/>
      <c r="X116"/>
    </row>
    <row r="117" spans="1:24">
      <c r="A117"/>
      <c r="B117" s="97">
        <v>0.05</v>
      </c>
      <c r="C117" s="98" t="s">
        <v>114</v>
      </c>
      <c r="D117" s="99">
        <v>100000</v>
      </c>
      <c r="E117" s="97">
        <v>0.05</v>
      </c>
      <c r="F117" s="100">
        <f t="shared" si="8"/>
        <v>4697.5</v>
      </c>
      <c r="G117"/>
      <c r="H117" s="97">
        <v>0.05</v>
      </c>
      <c r="I117" s="98" t="s">
        <v>114</v>
      </c>
      <c r="J117" s="99">
        <v>150000</v>
      </c>
      <c r="K117" s="97">
        <v>0.05</v>
      </c>
      <c r="L117" s="100">
        <f t="shared" si="9"/>
        <v>7072.5</v>
      </c>
      <c r="M117"/>
      <c r="N117"/>
      <c r="O117"/>
      <c r="P117"/>
      <c r="Q117"/>
      <c r="R117"/>
      <c r="S117"/>
      <c r="T117"/>
      <c r="U117"/>
      <c r="V117" s="103"/>
      <c r="W117" s="105"/>
      <c r="X117"/>
    </row>
    <row r="118" spans="1:24">
      <c r="A118"/>
      <c r="B118" s="97">
        <v>5.2499999999999998E-2</v>
      </c>
      <c r="C118" s="98" t="s">
        <v>114</v>
      </c>
      <c r="D118" s="99">
        <v>125000</v>
      </c>
      <c r="E118" s="97">
        <v>5.2499999999999998E-2</v>
      </c>
      <c r="F118" s="100">
        <f t="shared" si="8"/>
        <v>5947.5</v>
      </c>
      <c r="G118"/>
      <c r="H118" s="97">
        <v>5.2499999999999998E-2</v>
      </c>
      <c r="I118" s="98" t="s">
        <v>114</v>
      </c>
      <c r="J118" s="99">
        <v>175000</v>
      </c>
      <c r="K118" s="97">
        <v>5.2499999999999998E-2</v>
      </c>
      <c r="L118" s="100">
        <f t="shared" si="9"/>
        <v>8322.5</v>
      </c>
      <c r="M118"/>
      <c r="N118"/>
      <c r="O118"/>
      <c r="P118"/>
      <c r="Q118"/>
      <c r="R118"/>
      <c r="S118"/>
      <c r="T118"/>
      <c r="U118"/>
      <c r="V118" s="103"/>
      <c r="W118" s="105"/>
      <c r="X118"/>
    </row>
    <row r="119" spans="1:24">
      <c r="A119"/>
      <c r="B119" s="97">
        <v>5.5E-2</v>
      </c>
      <c r="C119" s="98" t="s">
        <v>114</v>
      </c>
      <c r="D119" s="99">
        <v>150000</v>
      </c>
      <c r="E119" s="97">
        <v>5.5E-2</v>
      </c>
      <c r="F119" s="100">
        <f t="shared" si="8"/>
        <v>7260</v>
      </c>
      <c r="G119"/>
      <c r="H119" s="97">
        <v>5.5E-2</v>
      </c>
      <c r="I119" s="98" t="s">
        <v>114</v>
      </c>
      <c r="J119" s="99">
        <v>225000</v>
      </c>
      <c r="K119" s="97">
        <v>5.5E-2</v>
      </c>
      <c r="L119" s="100">
        <f t="shared" si="9"/>
        <v>10947.5</v>
      </c>
      <c r="M119"/>
      <c r="N119"/>
      <c r="O119"/>
      <c r="P119"/>
      <c r="Q119"/>
      <c r="R119"/>
      <c r="S119"/>
      <c r="T119"/>
      <c r="U119"/>
      <c r="V119" s="103"/>
      <c r="W119" s="105"/>
      <c r="X119"/>
    </row>
    <row r="120" spans="1:24">
      <c r="A120"/>
      <c r="B120" s="97">
        <v>5.7500000000000002E-2</v>
      </c>
      <c r="C120" s="98" t="s">
        <v>114</v>
      </c>
      <c r="D120" s="99">
        <v>250000</v>
      </c>
      <c r="E120" s="97">
        <v>5.7500000000000002E-2</v>
      </c>
      <c r="F120" s="100">
        <f t="shared" si="8"/>
        <v>12760</v>
      </c>
      <c r="G120"/>
      <c r="H120" s="97">
        <v>5.7500000000000002E-2</v>
      </c>
      <c r="I120" s="98" t="s">
        <v>114</v>
      </c>
      <c r="J120" s="99">
        <v>300000</v>
      </c>
      <c r="K120" s="97">
        <v>5.7500000000000002E-2</v>
      </c>
      <c r="L120" s="100">
        <f t="shared" si="9"/>
        <v>15072.5</v>
      </c>
      <c r="M120"/>
      <c r="N120"/>
      <c r="O120"/>
      <c r="P120"/>
      <c r="Q120"/>
      <c r="R120"/>
      <c r="S120"/>
      <c r="T120"/>
      <c r="U120"/>
      <c r="V120" s="103"/>
      <c r="W120" s="105"/>
      <c r="X120"/>
    </row>
    <row r="121" spans="1:24">
      <c r="A121"/>
      <c r="B121"/>
      <c r="C121"/>
      <c r="D121"/>
      <c r="E121"/>
      <c r="F121"/>
      <c r="G121"/>
      <c r="H121"/>
      <c r="I121"/>
      <c r="J121"/>
      <c r="K121"/>
      <c r="L121"/>
      <c r="M121"/>
      <c r="N121"/>
      <c r="O121" s="102"/>
      <c r="P121"/>
      <c r="Q121" s="102"/>
      <c r="R121" s="102"/>
      <c r="S121"/>
      <c r="T121"/>
      <c r="U121"/>
      <c r="V121" s="103"/>
      <c r="W121" s="105"/>
      <c r="X121"/>
    </row>
    <row r="122" spans="1:24">
      <c r="A122" s="82" t="s">
        <v>138</v>
      </c>
      <c r="B122" s="97">
        <v>5.1499999999999997E-2</v>
      </c>
      <c r="C122" s="98" t="s">
        <v>114</v>
      </c>
      <c r="D122" s="99">
        <v>0</v>
      </c>
      <c r="E122" s="97">
        <v>5.1499999999999997E-2</v>
      </c>
      <c r="F122"/>
      <c r="G122" s="101"/>
      <c r="H122" s="97">
        <v>5.1499999999999997E-2</v>
      </c>
      <c r="I122" s="98" t="s">
        <v>114</v>
      </c>
      <c r="J122" s="99">
        <v>0</v>
      </c>
      <c r="K122" s="97">
        <v>5.1499999999999997E-2</v>
      </c>
      <c r="L122"/>
      <c r="M122" s="101"/>
      <c r="N122" s="102">
        <v>0</v>
      </c>
      <c r="O122" s="102">
        <v>0</v>
      </c>
      <c r="P122" s="101"/>
      <c r="Q122" s="102">
        <v>4400</v>
      </c>
      <c r="R122" s="102">
        <v>8800</v>
      </c>
      <c r="S122" s="102">
        <v>1000</v>
      </c>
      <c r="T122" s="94">
        <f>($T$2-N122-Q122)*0.0515</f>
        <v>2863.3999999999996</v>
      </c>
      <c r="U122" s="94">
        <f>($U$2-O122-R122)*0.0515</f>
        <v>2636.7999999999997</v>
      </c>
      <c r="V122" s="103">
        <v>1</v>
      </c>
      <c r="W122" s="105">
        <v>1</v>
      </c>
      <c r="X122"/>
    </row>
    <row r="123" spans="1:24">
      <c r="A123"/>
      <c r="B123"/>
      <c r="C123"/>
      <c r="D123"/>
      <c r="E123"/>
      <c r="F123"/>
      <c r="G123"/>
      <c r="H123"/>
      <c r="I123"/>
      <c r="J123"/>
      <c r="K123"/>
      <c r="L123"/>
      <c r="M123"/>
      <c r="N123" s="102"/>
      <c r="O123" s="102"/>
      <c r="P123"/>
      <c r="Q123" s="102"/>
      <c r="R123" s="102"/>
      <c r="S123"/>
      <c r="T123"/>
      <c r="U123"/>
      <c r="V123" s="103"/>
      <c r="W123" s="105"/>
      <c r="X123"/>
    </row>
    <row r="124" spans="1:24">
      <c r="A124" s="82" t="s">
        <v>141</v>
      </c>
      <c r="B124" s="178" t="s">
        <v>183</v>
      </c>
      <c r="C124" s="178"/>
      <c r="D124" s="178"/>
      <c r="E124"/>
      <c r="F124" s="107"/>
      <c r="G124" s="101"/>
      <c r="H124" s="178" t="s">
        <v>183</v>
      </c>
      <c r="I124" s="178"/>
      <c r="J124" s="178"/>
      <c r="K124"/>
      <c r="L124" s="107"/>
      <c r="M124" s="101"/>
      <c r="N124" s="102">
        <v>0</v>
      </c>
      <c r="O124" s="102">
        <v>0</v>
      </c>
      <c r="P124" s="101"/>
      <c r="Q124" s="102">
        <v>4000</v>
      </c>
      <c r="R124" s="102">
        <v>4000</v>
      </c>
      <c r="S124" s="102" t="s">
        <v>120</v>
      </c>
      <c r="T124" s="94">
        <f>($T$2-N124-Q124)*0.0425</f>
        <v>2380</v>
      </c>
      <c r="U124" s="94">
        <f>($U$2-O124-R124)*0.0425</f>
        <v>2380</v>
      </c>
      <c r="V124" s="103">
        <v>1</v>
      </c>
      <c r="W124" s="105">
        <v>1</v>
      </c>
      <c r="X124"/>
    </row>
    <row r="125" spans="1:24">
      <c r="A125" s="106"/>
      <c r="B125" s="178" t="s">
        <v>184</v>
      </c>
      <c r="C125" s="178"/>
      <c r="D125" s="178"/>
      <c r="E125"/>
      <c r="F125" s="107"/>
      <c r="G125"/>
      <c r="H125" s="178" t="s">
        <v>184</v>
      </c>
      <c r="I125" s="178"/>
      <c r="J125" s="178"/>
      <c r="K125"/>
      <c r="L125" s="107"/>
      <c r="M125"/>
      <c r="N125"/>
      <c r="O125"/>
      <c r="P125"/>
      <c r="Q125"/>
      <c r="R125"/>
      <c r="S125"/>
      <c r="T125"/>
      <c r="U125"/>
      <c r="V125" s="103"/>
      <c r="W125" s="105"/>
      <c r="X125"/>
    </row>
    <row r="126" spans="1:24">
      <c r="A126"/>
      <c r="B126"/>
      <c r="C126"/>
      <c r="D126"/>
      <c r="E126"/>
      <c r="F126"/>
      <c r="G126"/>
      <c r="H126"/>
      <c r="I126"/>
      <c r="J126"/>
      <c r="K126"/>
      <c r="L126"/>
      <c r="M126"/>
      <c r="N126"/>
      <c r="O126" s="102"/>
      <c r="P126"/>
      <c r="Q126" s="102"/>
      <c r="R126" s="102"/>
      <c r="S126"/>
      <c r="T126"/>
      <c r="U126"/>
      <c r="V126" s="103"/>
      <c r="W126" s="105"/>
      <c r="X126"/>
    </row>
    <row r="127" spans="1:24">
      <c r="A127" s="82" t="s">
        <v>142</v>
      </c>
      <c r="B127" s="97">
        <v>5.3499999999999999E-2</v>
      </c>
      <c r="C127" s="98" t="s">
        <v>114</v>
      </c>
      <c r="D127" s="99">
        <v>0</v>
      </c>
      <c r="E127" s="97">
        <v>5.3499999999999999E-2</v>
      </c>
      <c r="F127" s="100">
        <v>0</v>
      </c>
      <c r="G127"/>
      <c r="H127" s="97">
        <v>5.3499999999999999E-2</v>
      </c>
      <c r="I127" s="98" t="s">
        <v>114</v>
      </c>
      <c r="J127" s="99">
        <v>0</v>
      </c>
      <c r="K127" s="97">
        <v>5.3499999999999999E-2</v>
      </c>
      <c r="L127" s="100">
        <v>0</v>
      </c>
      <c r="M127"/>
      <c r="N127" s="102">
        <v>6300</v>
      </c>
      <c r="O127" s="102">
        <v>12600</v>
      </c>
      <c r="P127"/>
      <c r="Q127" s="102">
        <v>4000</v>
      </c>
      <c r="R127" s="102">
        <v>8000</v>
      </c>
      <c r="S127" s="102">
        <v>4000</v>
      </c>
      <c r="T127" s="94">
        <f>(($T$2-N127-Q127)-VLOOKUP(($T$2-N127-Q127),D127:F130,1,1))*VLOOKUP(($T$2-N127-Q127),D127:F130,2,1)+VLOOKUP(($T$2-N127-Q127),D127:F130,3,1)</f>
        <v>3077.66</v>
      </c>
      <c r="U127" s="94">
        <f>(($U$2-O127-R127)-VLOOKUP(($U$2-O127-R127),J127:L130,1,1))*VLOOKUP(($U$2-O127-R127),J127:L130,2,1)+VLOOKUP(($U$2-O127-R127),J127:L130,3,1)</f>
        <v>2154.6499999999996</v>
      </c>
      <c r="V127" s="103">
        <v>4</v>
      </c>
      <c r="W127" s="105">
        <v>4</v>
      </c>
      <c r="X127" s="106" t="s">
        <v>175</v>
      </c>
    </row>
    <row r="128" spans="1:24">
      <c r="A128"/>
      <c r="B128" s="97">
        <v>7.0499999999999993E-2</v>
      </c>
      <c r="C128" s="98" t="s">
        <v>114</v>
      </c>
      <c r="D128" s="99">
        <v>25070</v>
      </c>
      <c r="E128" s="97">
        <v>7.0499999999999993E-2</v>
      </c>
      <c r="F128" s="100">
        <f>E127*(D128-D127)+F127</f>
        <v>1341.2449999999999</v>
      </c>
      <c r="G128"/>
      <c r="H128" s="97">
        <v>7.0499999999999993E-2</v>
      </c>
      <c r="I128" s="98" t="s">
        <v>114</v>
      </c>
      <c r="J128" s="99">
        <v>36650</v>
      </c>
      <c r="K128" s="97">
        <v>7.0499999999999993E-2</v>
      </c>
      <c r="L128" s="100">
        <f>K127*(J128-J127)+L127</f>
        <v>1960.7749999999999</v>
      </c>
      <c r="M128"/>
      <c r="N128"/>
      <c r="O128"/>
      <c r="P128"/>
      <c r="Q128"/>
      <c r="R128"/>
      <c r="S128"/>
      <c r="T128"/>
      <c r="U128"/>
      <c r="V128" s="103"/>
      <c r="W128" s="105"/>
      <c r="X128"/>
    </row>
    <row r="129" spans="1:24">
      <c r="A129"/>
      <c r="B129" s="97">
        <v>7.85E-2</v>
      </c>
      <c r="C129" s="98" t="s">
        <v>114</v>
      </c>
      <c r="D129" s="99">
        <v>82360</v>
      </c>
      <c r="E129" s="97">
        <v>7.85E-2</v>
      </c>
      <c r="F129" s="100">
        <f>E128*(D129-D128)+F128</f>
        <v>5380.19</v>
      </c>
      <c r="G129"/>
      <c r="H129" s="97">
        <v>7.85E-2</v>
      </c>
      <c r="I129" s="98" t="s">
        <v>114</v>
      </c>
      <c r="J129" s="99">
        <v>145620</v>
      </c>
      <c r="K129" s="97">
        <v>7.85E-2</v>
      </c>
      <c r="L129" s="100">
        <f>K128*(J129-J128)+L128</f>
        <v>9643.16</v>
      </c>
      <c r="M129"/>
      <c r="N129"/>
      <c r="O129"/>
      <c r="P129"/>
      <c r="Q129"/>
      <c r="R129"/>
      <c r="S129"/>
      <c r="T129"/>
      <c r="U129"/>
      <c r="V129" s="103"/>
      <c r="W129" s="105"/>
      <c r="X129"/>
    </row>
    <row r="130" spans="1:24">
      <c r="A130"/>
      <c r="B130" s="97">
        <v>9.8500000000000004E-2</v>
      </c>
      <c r="C130" s="98" t="s">
        <v>114</v>
      </c>
      <c r="D130" s="99">
        <v>154950</v>
      </c>
      <c r="E130" s="97">
        <v>9.8500000000000004E-2</v>
      </c>
      <c r="F130" s="100">
        <f>E129*(D130-D129)+F129</f>
        <v>11078.504999999999</v>
      </c>
      <c r="G130"/>
      <c r="H130" s="97">
        <v>9.8500000000000004E-2</v>
      </c>
      <c r="I130" s="98" t="s">
        <v>114</v>
      </c>
      <c r="J130" s="99">
        <v>258260</v>
      </c>
      <c r="K130" s="97">
        <v>9.8500000000000004E-2</v>
      </c>
      <c r="L130" s="100">
        <f>K129*(J130-J129)+L129</f>
        <v>18485.400000000001</v>
      </c>
      <c r="M130"/>
      <c r="N130"/>
      <c r="O130"/>
      <c r="P130"/>
      <c r="Q130"/>
      <c r="R130"/>
      <c r="S130"/>
      <c r="T130"/>
      <c r="U130"/>
      <c r="V130" s="103"/>
      <c r="W130" s="105"/>
      <c r="X130"/>
    </row>
    <row r="131" spans="1:24">
      <c r="A131"/>
      <c r="B131"/>
      <c r="C131"/>
      <c r="D131"/>
      <c r="E131"/>
      <c r="F131"/>
      <c r="G131"/>
      <c r="H131"/>
      <c r="I131"/>
      <c r="J131"/>
      <c r="K131"/>
      <c r="L131"/>
      <c r="M131"/>
      <c r="N131"/>
      <c r="O131" s="102"/>
      <c r="P131"/>
      <c r="Q131" s="102"/>
      <c r="R131" s="102"/>
      <c r="S131"/>
      <c r="T131"/>
      <c r="U131"/>
      <c r="V131" s="103"/>
      <c r="W131" s="105"/>
      <c r="X131"/>
    </row>
    <row r="132" spans="1:24">
      <c r="A132" s="82" t="s">
        <v>144</v>
      </c>
      <c r="B132" s="97">
        <v>0.03</v>
      </c>
      <c r="C132" s="98" t="s">
        <v>114</v>
      </c>
      <c r="D132" s="99">
        <v>0</v>
      </c>
      <c r="E132" s="97">
        <v>0.03</v>
      </c>
      <c r="F132" s="100">
        <v>0</v>
      </c>
      <c r="G132"/>
      <c r="H132" s="97">
        <v>0.03</v>
      </c>
      <c r="I132" s="98" t="s">
        <v>114</v>
      </c>
      <c r="J132" s="99">
        <v>0</v>
      </c>
      <c r="K132" s="97">
        <v>0.03</v>
      </c>
      <c r="L132" s="100">
        <v>0</v>
      </c>
      <c r="M132"/>
      <c r="N132" s="102">
        <v>2300</v>
      </c>
      <c r="O132" s="102">
        <v>4600</v>
      </c>
      <c r="P132"/>
      <c r="Q132" s="102">
        <v>6000</v>
      </c>
      <c r="R132" s="102">
        <v>12000</v>
      </c>
      <c r="S132" s="102">
        <v>1500</v>
      </c>
      <c r="T132" s="94">
        <f>(($T$2-N132-Q132)-VLOOKUP(($T$2-N132-Q132),D132:F134,1,1))*VLOOKUP(($T$2-N132-Q132),D132:F134,2,1)+VLOOKUP(($T$2-N132-Q132),D132:F134,3,1)</f>
        <v>2435</v>
      </c>
      <c r="U132" s="94">
        <f>(($U$2-O132-R132)-VLOOKUP(($U$2-O132-R132),J132:L134,1,1))*VLOOKUP(($U$2-O132-R132),J132:L134,2,1)+VLOOKUP(($U$2-O132-R132),J132:L134,3,1)</f>
        <v>2020</v>
      </c>
      <c r="V132" s="103">
        <v>3</v>
      </c>
      <c r="W132" s="103">
        <v>3</v>
      </c>
      <c r="X132"/>
    </row>
    <row r="133" spans="1:24">
      <c r="A133"/>
      <c r="B133" s="97">
        <v>0.04</v>
      </c>
      <c r="C133" s="98" t="s">
        <v>114</v>
      </c>
      <c r="D133" s="99">
        <v>5000</v>
      </c>
      <c r="E133" s="97">
        <v>0.04</v>
      </c>
      <c r="F133" s="100">
        <f>E132*(D133-D132)+F132</f>
        <v>150</v>
      </c>
      <c r="G133"/>
      <c r="H133" s="97">
        <v>0.04</v>
      </c>
      <c r="I133" s="98" t="s">
        <v>114</v>
      </c>
      <c r="J133" s="99">
        <v>5000</v>
      </c>
      <c r="K133" s="97">
        <v>0.04</v>
      </c>
      <c r="L133" s="100">
        <f>K132*(J133-J132)+L132</f>
        <v>150</v>
      </c>
      <c r="M133"/>
      <c r="N133"/>
      <c r="O133"/>
      <c r="P133"/>
      <c r="Q133"/>
      <c r="R133"/>
      <c r="S133"/>
      <c r="T133"/>
      <c r="U133"/>
      <c r="V133" s="103"/>
      <c r="W133" s="105"/>
      <c r="X133"/>
    </row>
    <row r="134" spans="1:24">
      <c r="A134"/>
      <c r="B134" s="97">
        <v>0.05</v>
      </c>
      <c r="C134" s="98" t="s">
        <v>114</v>
      </c>
      <c r="D134" s="99">
        <v>10000</v>
      </c>
      <c r="E134" s="97">
        <v>0.05</v>
      </c>
      <c r="F134" s="100">
        <f>E133*(D134-D133)+F133</f>
        <v>350</v>
      </c>
      <c r="G134"/>
      <c r="H134" s="97">
        <v>0.05</v>
      </c>
      <c r="I134" s="98" t="s">
        <v>114</v>
      </c>
      <c r="J134" s="99">
        <v>10000</v>
      </c>
      <c r="K134" s="97">
        <v>0.05</v>
      </c>
      <c r="L134" s="100">
        <f>K133*(J134-J133)+L133</f>
        <v>350</v>
      </c>
      <c r="M134"/>
      <c r="N134"/>
      <c r="O134"/>
      <c r="P134"/>
      <c r="Q134"/>
      <c r="R134"/>
      <c r="S134"/>
      <c r="T134"/>
      <c r="U134"/>
      <c r="V134" s="103"/>
      <c r="W134" s="105"/>
      <c r="X134"/>
    </row>
    <row r="135" spans="1:24">
      <c r="A135"/>
      <c r="B135"/>
      <c r="C135"/>
      <c r="D135"/>
      <c r="E135"/>
      <c r="F135"/>
      <c r="G135"/>
      <c r="H135"/>
      <c r="I135"/>
      <c r="J135"/>
      <c r="K135"/>
      <c r="L135"/>
      <c r="M135"/>
      <c r="N135"/>
      <c r="O135" s="102"/>
      <c r="P135"/>
      <c r="Q135" s="102"/>
      <c r="R135" s="102"/>
      <c r="S135"/>
      <c r="T135"/>
      <c r="U135"/>
      <c r="V135" s="103"/>
      <c r="W135" s="105"/>
      <c r="X135"/>
    </row>
    <row r="136" spans="1:24">
      <c r="A136" s="82" t="s">
        <v>143</v>
      </c>
      <c r="B136" s="97">
        <v>1.4999999999999999E-2</v>
      </c>
      <c r="C136" s="98" t="s">
        <v>114</v>
      </c>
      <c r="D136" s="99">
        <v>0</v>
      </c>
      <c r="E136" s="97">
        <v>1.4999999999999999E-2</v>
      </c>
      <c r="F136" s="100">
        <v>0</v>
      </c>
      <c r="G136"/>
      <c r="H136" s="97">
        <v>1.4999999999999999E-2</v>
      </c>
      <c r="I136" s="98" t="s">
        <v>114</v>
      </c>
      <c r="J136" s="99">
        <v>0</v>
      </c>
      <c r="K136" s="97">
        <v>1.4999999999999999E-2</v>
      </c>
      <c r="L136" s="100">
        <v>0</v>
      </c>
      <c r="M136"/>
      <c r="N136" s="102">
        <v>6300</v>
      </c>
      <c r="O136" s="102">
        <v>12600</v>
      </c>
      <c r="P136"/>
      <c r="Q136" s="102">
        <v>2100</v>
      </c>
      <c r="R136" s="102">
        <v>4200</v>
      </c>
      <c r="S136" s="102">
        <v>1200</v>
      </c>
      <c r="T136" s="94">
        <f>(($T$2-N136-Q136)-VLOOKUP(($T$2-N136-Q136),D136:F145,1,1))*VLOOKUP(($T$2-N136-Q136),D136:F145,2,1)+VLOOKUP(($T$2-N136-Q136),D136:F145,3,1)</f>
        <v>2871</v>
      </c>
      <c r="U136" s="94">
        <f>(($U$2-O136-R136)-VLOOKUP(($U$2-O136-R136),J136:L145,1,1))*VLOOKUP(($U$2-O136-R136),J136:L145,2,1)+VLOOKUP(($U$2-O136-R136),J136:L145,3,1)</f>
        <v>2367</v>
      </c>
      <c r="V136" s="103">
        <v>10</v>
      </c>
      <c r="W136" s="103">
        <v>10</v>
      </c>
      <c r="X136" s="106" t="s">
        <v>185</v>
      </c>
    </row>
    <row r="137" spans="1:24">
      <c r="A137"/>
      <c r="B137" s="97">
        <v>0.02</v>
      </c>
      <c r="C137" s="98" t="s">
        <v>114</v>
      </c>
      <c r="D137" s="99">
        <v>1000</v>
      </c>
      <c r="E137" s="97">
        <v>0.02</v>
      </c>
      <c r="F137" s="100">
        <f t="shared" ref="F137:F145" si="10">E136*(D137-D136)+F136</f>
        <v>15</v>
      </c>
      <c r="G137"/>
      <c r="H137" s="97">
        <v>0.02</v>
      </c>
      <c r="I137" s="98" t="s">
        <v>114</v>
      </c>
      <c r="J137" s="99">
        <v>1000</v>
      </c>
      <c r="K137" s="97">
        <v>0.02</v>
      </c>
      <c r="L137" s="100">
        <f t="shared" ref="L137:L145" si="11">K136*(J137-J136)+L136</f>
        <v>15</v>
      </c>
      <c r="M137"/>
      <c r="N137"/>
      <c r="O137"/>
      <c r="P137"/>
      <c r="Q137"/>
      <c r="R137"/>
      <c r="S137"/>
      <c r="T137"/>
      <c r="U137"/>
      <c r="V137" s="103"/>
      <c r="W137" s="105"/>
      <c r="X137"/>
    </row>
    <row r="138" spans="1:24">
      <c r="A138"/>
      <c r="B138" s="97">
        <v>2.5000000000000001E-2</v>
      </c>
      <c r="C138" s="98" t="s">
        <v>114</v>
      </c>
      <c r="D138" s="99">
        <v>2000</v>
      </c>
      <c r="E138" s="97">
        <v>2.5000000000000001E-2</v>
      </c>
      <c r="F138" s="100">
        <f t="shared" si="10"/>
        <v>35</v>
      </c>
      <c r="G138"/>
      <c r="H138" s="97">
        <v>2.5000000000000001E-2</v>
      </c>
      <c r="I138" s="98" t="s">
        <v>114</v>
      </c>
      <c r="J138" s="99">
        <v>2000</v>
      </c>
      <c r="K138" s="97">
        <v>2.5000000000000001E-2</v>
      </c>
      <c r="L138" s="100">
        <f t="shared" si="11"/>
        <v>35</v>
      </c>
      <c r="M138"/>
      <c r="N138"/>
      <c r="O138"/>
      <c r="P138"/>
      <c r="Q138"/>
      <c r="R138"/>
      <c r="S138"/>
      <c r="T138"/>
      <c r="U138"/>
      <c r="V138" s="103"/>
      <c r="W138" s="105"/>
      <c r="X138"/>
    </row>
    <row r="139" spans="1:24">
      <c r="A139"/>
      <c r="B139" s="97">
        <v>0.03</v>
      </c>
      <c r="C139" s="98" t="s">
        <v>114</v>
      </c>
      <c r="D139" s="99">
        <v>3000</v>
      </c>
      <c r="E139" s="97">
        <v>0.03</v>
      </c>
      <c r="F139" s="100">
        <f t="shared" si="10"/>
        <v>60</v>
      </c>
      <c r="G139"/>
      <c r="H139" s="97">
        <v>0.03</v>
      </c>
      <c r="I139" s="98" t="s">
        <v>114</v>
      </c>
      <c r="J139" s="99">
        <v>3000</v>
      </c>
      <c r="K139" s="97">
        <v>0.03</v>
      </c>
      <c r="L139" s="100">
        <f t="shared" si="11"/>
        <v>60</v>
      </c>
      <c r="M139"/>
      <c r="N139"/>
      <c r="O139"/>
      <c r="P139"/>
      <c r="Q139"/>
      <c r="R139"/>
      <c r="S139"/>
      <c r="T139"/>
      <c r="U139"/>
      <c r="V139" s="103"/>
      <c r="W139" s="105"/>
      <c r="X139"/>
    </row>
    <row r="140" spans="1:24">
      <c r="A140"/>
      <c r="B140" s="97">
        <v>3.5000000000000003E-2</v>
      </c>
      <c r="C140" s="98" t="s">
        <v>114</v>
      </c>
      <c r="D140" s="99">
        <v>4000</v>
      </c>
      <c r="E140" s="97">
        <v>3.5000000000000003E-2</v>
      </c>
      <c r="F140" s="100">
        <f t="shared" si="10"/>
        <v>90</v>
      </c>
      <c r="G140"/>
      <c r="H140" s="97">
        <v>3.5000000000000003E-2</v>
      </c>
      <c r="I140" s="98" t="s">
        <v>114</v>
      </c>
      <c r="J140" s="99">
        <v>4000</v>
      </c>
      <c r="K140" s="97">
        <v>3.5000000000000003E-2</v>
      </c>
      <c r="L140" s="100">
        <f t="shared" si="11"/>
        <v>90</v>
      </c>
      <c r="M140"/>
      <c r="N140"/>
      <c r="O140"/>
      <c r="P140"/>
      <c r="Q140"/>
      <c r="R140"/>
      <c r="S140"/>
      <c r="T140"/>
      <c r="U140"/>
      <c r="V140" s="103"/>
      <c r="W140" s="105"/>
      <c r="X140"/>
    </row>
    <row r="141" spans="1:24">
      <c r="A141"/>
      <c r="B141" s="97">
        <v>0.04</v>
      </c>
      <c r="C141" s="98" t="s">
        <v>114</v>
      </c>
      <c r="D141" s="99">
        <v>5000</v>
      </c>
      <c r="E141" s="97">
        <v>0.04</v>
      </c>
      <c r="F141" s="100">
        <f t="shared" si="10"/>
        <v>125</v>
      </c>
      <c r="G141"/>
      <c r="H141" s="97">
        <v>0.04</v>
      </c>
      <c r="I141" s="98" t="s">
        <v>114</v>
      </c>
      <c r="J141" s="99">
        <v>5000</v>
      </c>
      <c r="K141" s="97">
        <v>0.04</v>
      </c>
      <c r="L141" s="100">
        <f t="shared" si="11"/>
        <v>125</v>
      </c>
      <c r="M141"/>
      <c r="N141"/>
      <c r="O141"/>
      <c r="P141"/>
      <c r="Q141"/>
      <c r="R141"/>
      <c r="S141"/>
      <c r="T141"/>
      <c r="U141"/>
      <c r="V141" s="103"/>
      <c r="W141" s="105"/>
      <c r="X141"/>
    </row>
    <row r="142" spans="1:24">
      <c r="A142"/>
      <c r="B142" s="97">
        <v>4.4999999999999998E-2</v>
      </c>
      <c r="C142" s="98" t="s">
        <v>114</v>
      </c>
      <c r="D142" s="99">
        <v>6000</v>
      </c>
      <c r="E142" s="97">
        <v>4.4999999999999998E-2</v>
      </c>
      <c r="F142" s="100">
        <f t="shared" si="10"/>
        <v>165</v>
      </c>
      <c r="G142"/>
      <c r="H142" s="97">
        <v>4.4999999999999998E-2</v>
      </c>
      <c r="I142" s="98" t="s">
        <v>114</v>
      </c>
      <c r="J142" s="99">
        <v>6000</v>
      </c>
      <c r="K142" s="97">
        <v>4.4999999999999998E-2</v>
      </c>
      <c r="L142" s="100">
        <f t="shared" si="11"/>
        <v>165</v>
      </c>
      <c r="M142"/>
      <c r="N142"/>
      <c r="O142"/>
      <c r="P142"/>
      <c r="Q142"/>
      <c r="R142"/>
      <c r="S142"/>
      <c r="T142"/>
      <c r="U142"/>
      <c r="V142" s="103"/>
      <c r="W142" s="105"/>
      <c r="X142"/>
    </row>
    <row r="143" spans="1:24">
      <c r="A143"/>
      <c r="B143" s="97">
        <v>0.05</v>
      </c>
      <c r="C143" s="98" t="s">
        <v>114</v>
      </c>
      <c r="D143" s="99">
        <v>7000</v>
      </c>
      <c r="E143" s="97">
        <v>0.05</v>
      </c>
      <c r="F143" s="100">
        <f t="shared" si="10"/>
        <v>210</v>
      </c>
      <c r="G143"/>
      <c r="H143" s="97">
        <v>0.05</v>
      </c>
      <c r="I143" s="98" t="s">
        <v>114</v>
      </c>
      <c r="J143" s="99">
        <v>7000</v>
      </c>
      <c r="K143" s="97">
        <v>0.05</v>
      </c>
      <c r="L143" s="100">
        <f t="shared" si="11"/>
        <v>210</v>
      </c>
      <c r="M143"/>
      <c r="N143"/>
      <c r="O143"/>
      <c r="P143"/>
      <c r="Q143"/>
      <c r="R143"/>
      <c r="S143"/>
      <c r="T143"/>
      <c r="U143"/>
      <c r="V143" s="103"/>
      <c r="W143" s="105"/>
      <c r="X143"/>
    </row>
    <row r="144" spans="1:24">
      <c r="A144"/>
      <c r="B144" s="97">
        <v>5.5E-2</v>
      </c>
      <c r="C144" s="98" t="s">
        <v>114</v>
      </c>
      <c r="D144" s="99">
        <v>8000</v>
      </c>
      <c r="E144" s="97">
        <v>5.5E-2</v>
      </c>
      <c r="F144" s="100">
        <f t="shared" si="10"/>
        <v>260</v>
      </c>
      <c r="G144"/>
      <c r="H144" s="97">
        <v>5.5E-2</v>
      </c>
      <c r="I144" s="98" t="s">
        <v>114</v>
      </c>
      <c r="J144" s="99">
        <v>8000</v>
      </c>
      <c r="K144" s="97">
        <v>5.5E-2</v>
      </c>
      <c r="L144" s="100">
        <f t="shared" si="11"/>
        <v>260</v>
      </c>
      <c r="M144"/>
      <c r="N144"/>
      <c r="O144"/>
      <c r="P144"/>
      <c r="Q144"/>
      <c r="R144"/>
      <c r="S144"/>
      <c r="T144"/>
      <c r="U144"/>
      <c r="V144" s="103"/>
      <c r="W144" s="105"/>
      <c r="X144"/>
    </row>
    <row r="145" spans="1:24">
      <c r="A145"/>
      <c r="B145" s="97">
        <v>0.06</v>
      </c>
      <c r="C145" s="98" t="s">
        <v>114</v>
      </c>
      <c r="D145" s="99">
        <v>9000</v>
      </c>
      <c r="E145" s="97">
        <v>0.06</v>
      </c>
      <c r="F145" s="100">
        <f t="shared" si="10"/>
        <v>315</v>
      </c>
      <c r="G145"/>
      <c r="H145" s="97">
        <v>0.06</v>
      </c>
      <c r="I145" s="98" t="s">
        <v>114</v>
      </c>
      <c r="J145" s="99">
        <v>9000</v>
      </c>
      <c r="K145" s="97">
        <v>0.06</v>
      </c>
      <c r="L145" s="100">
        <f t="shared" si="11"/>
        <v>315</v>
      </c>
      <c r="M145"/>
      <c r="N145"/>
      <c r="O145"/>
      <c r="P145"/>
      <c r="Q145"/>
      <c r="R145"/>
      <c r="S145"/>
      <c r="T145"/>
      <c r="U145"/>
      <c r="V145" s="103"/>
      <c r="W145" s="105"/>
      <c r="X145"/>
    </row>
    <row r="146" spans="1:24">
      <c r="A146"/>
      <c r="B146"/>
      <c r="C146"/>
      <c r="D146"/>
      <c r="E146"/>
      <c r="F146"/>
      <c r="G146"/>
      <c r="H146"/>
      <c r="I146"/>
      <c r="J146"/>
      <c r="K146"/>
      <c r="L146"/>
      <c r="M146"/>
      <c r="N146"/>
      <c r="O146" s="102"/>
      <c r="P146"/>
      <c r="Q146" s="102"/>
      <c r="R146" s="102"/>
      <c r="S146"/>
      <c r="T146"/>
      <c r="U146"/>
      <c r="V146" s="103"/>
      <c r="W146" s="105"/>
      <c r="X146"/>
    </row>
    <row r="147" spans="1:24">
      <c r="A147" s="82" t="s">
        <v>145</v>
      </c>
      <c r="B147" s="97">
        <v>0.01</v>
      </c>
      <c r="C147" s="98" t="s">
        <v>114</v>
      </c>
      <c r="D147" s="99">
        <v>0</v>
      </c>
      <c r="E147" s="97">
        <v>0.01</v>
      </c>
      <c r="F147" s="100">
        <v>0</v>
      </c>
      <c r="G147"/>
      <c r="H147" s="97">
        <v>0.01</v>
      </c>
      <c r="I147" s="98" t="s">
        <v>114</v>
      </c>
      <c r="J147" s="99">
        <v>0</v>
      </c>
      <c r="K147" s="97">
        <v>0.01</v>
      </c>
      <c r="L147" s="100">
        <v>0</v>
      </c>
      <c r="M147"/>
      <c r="N147" s="102">
        <v>4370</v>
      </c>
      <c r="O147" s="102">
        <v>8740</v>
      </c>
      <c r="P147"/>
      <c r="Q147" s="102">
        <v>2330</v>
      </c>
      <c r="R147" s="102">
        <v>4660</v>
      </c>
      <c r="S147" s="102">
        <v>2330</v>
      </c>
      <c r="T147" s="94">
        <f>(($T$2-N147-Q147)-VLOOKUP(($T$2-N147-Q147),D147:F153,1,1))*VLOOKUP(($T$2-N147-Q147),D147:F153,2,1)+VLOOKUP(($T$2-N147-Q147),D147:F153,3,1)</f>
        <v>3134.7000000000003</v>
      </c>
      <c r="U147" s="94">
        <f>(($U$2-O147-R147)-VLOOKUP(($U$2-O147-R147),J147:L153,1,1))*VLOOKUP(($U$2-O147-R147),J147:L153,2,1)+VLOOKUP(($U$2-O147-R147),J147:L153,3,1)</f>
        <v>2672.4</v>
      </c>
      <c r="V147" s="103">
        <v>7</v>
      </c>
      <c r="W147" s="103">
        <v>7</v>
      </c>
      <c r="X147" s="106" t="s">
        <v>186</v>
      </c>
    </row>
    <row r="148" spans="1:24">
      <c r="A148"/>
      <c r="B148" s="97">
        <v>0.02</v>
      </c>
      <c r="C148" s="98" t="s">
        <v>114</v>
      </c>
      <c r="D148" s="99">
        <v>2800</v>
      </c>
      <c r="E148" s="97">
        <v>0.02</v>
      </c>
      <c r="F148" s="100">
        <f t="shared" ref="F148:F153" si="12">E147*(D148-D147)+F147</f>
        <v>28</v>
      </c>
      <c r="G148"/>
      <c r="H148" s="97">
        <v>0.02</v>
      </c>
      <c r="I148" s="98" t="s">
        <v>114</v>
      </c>
      <c r="J148" s="99">
        <v>2800</v>
      </c>
      <c r="K148" s="97">
        <v>0.02</v>
      </c>
      <c r="L148" s="100">
        <f t="shared" ref="L148:L153" si="13">K147*(J148-J147)+L147</f>
        <v>28</v>
      </c>
      <c r="M148"/>
      <c r="N148"/>
      <c r="O148"/>
      <c r="P148"/>
      <c r="Q148"/>
      <c r="R148"/>
      <c r="S148"/>
      <c r="T148"/>
      <c r="U148"/>
      <c r="V148" s="103"/>
      <c r="W148" s="105"/>
      <c r="X148"/>
    </row>
    <row r="149" spans="1:24">
      <c r="A149" s="106"/>
      <c r="B149" s="97">
        <v>0.03</v>
      </c>
      <c r="C149" s="98" t="s">
        <v>114</v>
      </c>
      <c r="D149" s="99">
        <v>5000</v>
      </c>
      <c r="E149" s="97">
        <v>0.03</v>
      </c>
      <c r="F149" s="100">
        <f t="shared" si="12"/>
        <v>72</v>
      </c>
      <c r="G149"/>
      <c r="H149" s="97">
        <v>0.03</v>
      </c>
      <c r="I149" s="98" t="s">
        <v>114</v>
      </c>
      <c r="J149" s="99">
        <v>5000</v>
      </c>
      <c r="K149" s="97">
        <v>0.03</v>
      </c>
      <c r="L149" s="100">
        <f t="shared" si="13"/>
        <v>72</v>
      </c>
      <c r="M149"/>
      <c r="N149"/>
      <c r="O149"/>
      <c r="P149"/>
      <c r="Q149"/>
      <c r="R149"/>
      <c r="S149"/>
      <c r="T149"/>
      <c r="U149"/>
      <c r="V149" s="103"/>
      <c r="W149" s="105"/>
      <c r="X149"/>
    </row>
    <row r="150" spans="1:24">
      <c r="A150"/>
      <c r="B150" s="97">
        <v>0.04</v>
      </c>
      <c r="C150" s="98" t="s">
        <v>114</v>
      </c>
      <c r="D150" s="99">
        <v>7600</v>
      </c>
      <c r="E150" s="97">
        <v>0.04</v>
      </c>
      <c r="F150" s="100">
        <f t="shared" si="12"/>
        <v>150</v>
      </c>
      <c r="G150"/>
      <c r="H150" s="97">
        <v>0.04</v>
      </c>
      <c r="I150" s="98" t="s">
        <v>114</v>
      </c>
      <c r="J150" s="99">
        <v>7600</v>
      </c>
      <c r="K150" s="97">
        <v>0.04</v>
      </c>
      <c r="L150" s="100">
        <f t="shared" si="13"/>
        <v>150</v>
      </c>
      <c r="M150"/>
      <c r="N150"/>
      <c r="O150"/>
      <c r="P150"/>
      <c r="Q150"/>
      <c r="R150"/>
      <c r="S150"/>
      <c r="T150"/>
      <c r="U150"/>
      <c r="V150" s="103"/>
      <c r="W150" s="105"/>
      <c r="X150"/>
    </row>
    <row r="151" spans="1:24">
      <c r="A151"/>
      <c r="B151" s="97">
        <v>0.05</v>
      </c>
      <c r="C151" s="98" t="s">
        <v>114</v>
      </c>
      <c r="D151" s="99">
        <v>10300</v>
      </c>
      <c r="E151" s="97">
        <v>0.05</v>
      </c>
      <c r="F151" s="100">
        <f t="shared" si="12"/>
        <v>258</v>
      </c>
      <c r="G151"/>
      <c r="H151" s="97">
        <v>0.05</v>
      </c>
      <c r="I151" s="98" t="s">
        <v>114</v>
      </c>
      <c r="J151" s="99">
        <v>10300</v>
      </c>
      <c r="K151" s="97">
        <v>0.05</v>
      </c>
      <c r="L151" s="100">
        <f t="shared" si="13"/>
        <v>258</v>
      </c>
      <c r="M151"/>
      <c r="N151"/>
      <c r="O151"/>
      <c r="P151"/>
      <c r="Q151"/>
      <c r="R151"/>
      <c r="S151"/>
      <c r="T151"/>
      <c r="U151"/>
      <c r="V151" s="103"/>
      <c r="W151" s="105"/>
      <c r="X151"/>
    </row>
    <row r="152" spans="1:24">
      <c r="A152"/>
      <c r="B152" s="97">
        <v>0.06</v>
      </c>
      <c r="C152" s="98" t="s">
        <v>114</v>
      </c>
      <c r="D152" s="99">
        <v>13300</v>
      </c>
      <c r="E152" s="97">
        <v>0.06</v>
      </c>
      <c r="F152" s="100">
        <f t="shared" si="12"/>
        <v>408</v>
      </c>
      <c r="G152"/>
      <c r="H152" s="97">
        <v>0.06</v>
      </c>
      <c r="I152" s="98" t="s">
        <v>114</v>
      </c>
      <c r="J152" s="99">
        <v>13300</v>
      </c>
      <c r="K152" s="97">
        <v>0.06</v>
      </c>
      <c r="L152" s="100">
        <f t="shared" si="13"/>
        <v>408</v>
      </c>
      <c r="M152"/>
      <c r="N152"/>
      <c r="O152"/>
      <c r="P152"/>
      <c r="Q152"/>
      <c r="R152"/>
      <c r="S152"/>
      <c r="T152"/>
      <c r="U152"/>
      <c r="V152" s="103"/>
      <c r="W152" s="105"/>
      <c r="X152"/>
    </row>
    <row r="153" spans="1:24">
      <c r="A153"/>
      <c r="B153" s="97">
        <v>6.9000000000000006E-2</v>
      </c>
      <c r="C153" s="98" t="s">
        <v>114</v>
      </c>
      <c r="D153" s="99">
        <v>17000</v>
      </c>
      <c r="E153" s="97">
        <v>6.9000000000000006E-2</v>
      </c>
      <c r="F153" s="100">
        <f t="shared" si="12"/>
        <v>630</v>
      </c>
      <c r="G153"/>
      <c r="H153" s="97">
        <v>6.9000000000000006E-2</v>
      </c>
      <c r="I153" s="98" t="s">
        <v>114</v>
      </c>
      <c r="J153" s="99">
        <v>17000</v>
      </c>
      <c r="K153" s="97">
        <v>6.9000000000000006E-2</v>
      </c>
      <c r="L153" s="100">
        <f t="shared" si="13"/>
        <v>630</v>
      </c>
      <c r="M153"/>
      <c r="N153"/>
      <c r="O153"/>
      <c r="P153"/>
      <c r="Q153"/>
      <c r="R153"/>
      <c r="S153"/>
      <c r="T153"/>
      <c r="U153"/>
      <c r="V153" s="103"/>
      <c r="W153" s="105"/>
      <c r="X153"/>
    </row>
    <row r="154" spans="1:24">
      <c r="A154"/>
      <c r="B154"/>
      <c r="C154"/>
      <c r="D154"/>
      <c r="E154"/>
      <c r="F154"/>
      <c r="G154"/>
      <c r="H154"/>
      <c r="I154"/>
      <c r="J154"/>
      <c r="K154"/>
      <c r="L154"/>
      <c r="M154"/>
      <c r="N154"/>
      <c r="O154" s="102"/>
      <c r="P154"/>
      <c r="Q154" s="102"/>
      <c r="R154" s="102"/>
      <c r="S154"/>
      <c r="T154"/>
      <c r="U154"/>
      <c r="V154" s="103"/>
      <c r="W154" s="105"/>
      <c r="X154"/>
    </row>
    <row r="155" spans="1:24">
      <c r="A155" s="82" t="s">
        <v>148</v>
      </c>
      <c r="B155" s="97">
        <v>2.46E-2</v>
      </c>
      <c r="C155" s="98" t="s">
        <v>114</v>
      </c>
      <c r="D155" s="99">
        <v>0</v>
      </c>
      <c r="E155" s="97">
        <v>2.46E-2</v>
      </c>
      <c r="F155" s="100">
        <v>0</v>
      </c>
      <c r="G155"/>
      <c r="H155" s="97">
        <v>2.46E-2</v>
      </c>
      <c r="I155" s="98" t="s">
        <v>114</v>
      </c>
      <c r="J155" s="99">
        <v>0</v>
      </c>
      <c r="K155" s="97">
        <v>2.46E-2</v>
      </c>
      <c r="L155" s="100">
        <v>0</v>
      </c>
      <c r="M155"/>
      <c r="N155" s="102">
        <v>5800</v>
      </c>
      <c r="O155" s="102">
        <v>11600</v>
      </c>
      <c r="P155"/>
      <c r="Q155" s="102">
        <v>130</v>
      </c>
      <c r="R155" s="102">
        <v>260</v>
      </c>
      <c r="S155" s="102">
        <v>130</v>
      </c>
      <c r="T155" s="94">
        <f>(($T$2-N155-Q155)-VLOOKUP(($T$2-N155-Q155),D155:F158,1,1))*VLOOKUP(($T$2-N155-Q155),D155:F158,2,1)+VLOOKUP(($T$2-N155-Q155),D155:F158,3,1)</f>
        <v>2853.0450000000001</v>
      </c>
      <c r="U155" s="94">
        <f>(($U$2-O155-R155)-VLOOKUP(($U$2-O155-R155),J155:L158,1,1))*VLOOKUP(($U$2-O155-R155),J155:L158,2,1)+VLOOKUP(($U$2-O155-R155),J155:L158,3,1)</f>
        <v>1799.319</v>
      </c>
      <c r="V155" s="103">
        <v>4</v>
      </c>
      <c r="W155" s="105">
        <v>4</v>
      </c>
      <c r="X155" s="106" t="s">
        <v>187</v>
      </c>
    </row>
    <row r="156" spans="1:24">
      <c r="A156"/>
      <c r="B156" s="97">
        <v>3.5099999999999999E-2</v>
      </c>
      <c r="C156" s="98" t="s">
        <v>114</v>
      </c>
      <c r="D156" s="99">
        <v>3050</v>
      </c>
      <c r="E156" s="97">
        <v>3.5099999999999999E-2</v>
      </c>
      <c r="F156" s="100">
        <f>E155*(D156-D155)+F155</f>
        <v>75.03</v>
      </c>
      <c r="G156"/>
      <c r="H156" s="97">
        <v>3.5099999999999999E-2</v>
      </c>
      <c r="I156" s="98" t="s">
        <v>114</v>
      </c>
      <c r="J156" s="99">
        <v>6090</v>
      </c>
      <c r="K156" s="97">
        <v>3.5099999999999999E-2</v>
      </c>
      <c r="L156" s="100">
        <f>K155*(J156-J155)+L155</f>
        <v>149.81399999999999</v>
      </c>
      <c r="M156"/>
      <c r="N156"/>
      <c r="O156"/>
      <c r="P156"/>
      <c r="Q156"/>
      <c r="R156"/>
      <c r="S156"/>
      <c r="T156"/>
      <c r="U156"/>
      <c r="V156" s="103"/>
      <c r="W156" s="105"/>
      <c r="X156"/>
    </row>
    <row r="157" spans="1:24">
      <c r="A157"/>
      <c r="B157" s="97">
        <v>5.0099999999999999E-2</v>
      </c>
      <c r="C157" s="98" t="s">
        <v>114</v>
      </c>
      <c r="D157" s="99">
        <v>18280</v>
      </c>
      <c r="E157" s="97">
        <v>5.0099999999999999E-2</v>
      </c>
      <c r="F157" s="100">
        <f>E156*(D157-D156)+F156</f>
        <v>609.60299999999995</v>
      </c>
      <c r="G157"/>
      <c r="H157" s="97">
        <v>5.0099999999999999E-2</v>
      </c>
      <c r="I157" s="98" t="s">
        <v>114</v>
      </c>
      <c r="J157" s="99">
        <v>36570</v>
      </c>
      <c r="K157" s="97">
        <v>5.0099999999999999E-2</v>
      </c>
      <c r="L157" s="100">
        <f>K156*(J157-J156)+L156</f>
        <v>1219.662</v>
      </c>
      <c r="M157"/>
      <c r="N157"/>
      <c r="O157"/>
      <c r="P157"/>
      <c r="Q157"/>
      <c r="R157"/>
      <c r="S157"/>
      <c r="T157"/>
      <c r="U157"/>
      <c r="V157" s="103"/>
      <c r="W157" s="105"/>
      <c r="X157"/>
    </row>
    <row r="158" spans="1:24">
      <c r="A158"/>
      <c r="B158" s="97">
        <v>6.8400000000000002E-2</v>
      </c>
      <c r="C158" s="98" t="s">
        <v>114</v>
      </c>
      <c r="D158" s="99">
        <v>29460</v>
      </c>
      <c r="E158" s="97">
        <v>6.8400000000000002E-2</v>
      </c>
      <c r="F158" s="100">
        <f>E157*(D158-D157)+F157</f>
        <v>1169.721</v>
      </c>
      <c r="G158"/>
      <c r="H158" s="97">
        <v>6.8400000000000002E-2</v>
      </c>
      <c r="I158" s="98" t="s">
        <v>114</v>
      </c>
      <c r="J158" s="99">
        <v>58920</v>
      </c>
      <c r="K158" s="97">
        <v>6.8400000000000002E-2</v>
      </c>
      <c r="L158" s="100">
        <f>K157*(J158-J157)+L157</f>
        <v>2339.3969999999999</v>
      </c>
      <c r="M158"/>
      <c r="N158"/>
      <c r="O158"/>
      <c r="P158"/>
      <c r="Q158"/>
      <c r="R158"/>
      <c r="S158"/>
      <c r="T158"/>
      <c r="U158"/>
      <c r="V158" s="103"/>
      <c r="W158" s="105"/>
      <c r="X158"/>
    </row>
    <row r="159" spans="1:24">
      <c r="A159"/>
      <c r="B159"/>
      <c r="C159"/>
      <c r="D159"/>
      <c r="E159"/>
      <c r="F159"/>
      <c r="G159"/>
      <c r="H159"/>
      <c r="I159"/>
      <c r="J159"/>
      <c r="K159"/>
      <c r="L159"/>
      <c r="M159"/>
      <c r="N159"/>
      <c r="O159" s="102"/>
      <c r="P159"/>
      <c r="Q159" s="102"/>
      <c r="R159" s="102"/>
      <c r="S159"/>
      <c r="T159"/>
      <c r="U159"/>
      <c r="V159" s="103"/>
      <c r="W159" s="105"/>
      <c r="X159"/>
    </row>
    <row r="160" spans="1:24">
      <c r="A160" s="82" t="s">
        <v>155</v>
      </c>
      <c r="B160" s="178" t="s">
        <v>119</v>
      </c>
      <c r="C160" s="178"/>
      <c r="D160" s="178"/>
      <c r="E160" s="98"/>
      <c r="F160" s="105"/>
      <c r="G160" s="101"/>
      <c r="H160" s="178" t="s">
        <v>119</v>
      </c>
      <c r="I160" s="178"/>
      <c r="J160" s="178"/>
      <c r="K160" s="98"/>
      <c r="L160" s="105"/>
      <c r="M160" s="101"/>
      <c r="N160" s="98" t="s">
        <v>120</v>
      </c>
      <c r="O160" s="102" t="s">
        <v>120</v>
      </c>
      <c r="P160" s="101"/>
      <c r="Q160" s="102" t="s">
        <v>120</v>
      </c>
      <c r="R160" s="102" t="s">
        <v>120</v>
      </c>
      <c r="S160" s="98" t="s">
        <v>120</v>
      </c>
      <c r="T160" s="94">
        <v>0</v>
      </c>
      <c r="U160" s="94">
        <v>0</v>
      </c>
      <c r="V160" s="103"/>
      <c r="W160" s="105"/>
      <c r="X160"/>
    </row>
    <row r="161" spans="1:24">
      <c r="A161"/>
      <c r="B161"/>
      <c r="C161"/>
      <c r="D161"/>
      <c r="E161"/>
      <c r="F161"/>
      <c r="G161"/>
      <c r="H161"/>
      <c r="I161"/>
      <c r="J161"/>
      <c r="K161"/>
      <c r="L161"/>
      <c r="M161"/>
      <c r="N161"/>
      <c r="O161" s="102"/>
      <c r="P161"/>
      <c r="Q161" s="102"/>
      <c r="R161" s="102"/>
      <c r="S161"/>
      <c r="T161"/>
      <c r="U161"/>
      <c r="V161" s="103"/>
      <c r="W161" s="105"/>
      <c r="X161"/>
    </row>
    <row r="162" spans="1:24">
      <c r="A162" s="82" t="s">
        <v>150</v>
      </c>
      <c r="B162" s="97">
        <v>0.05</v>
      </c>
      <c r="C162" s="98" t="s">
        <v>114</v>
      </c>
      <c r="D162" s="99">
        <v>0</v>
      </c>
      <c r="E162" s="97">
        <v>0.05</v>
      </c>
      <c r="F162"/>
      <c r="G162"/>
      <c r="H162" s="97">
        <v>0.05</v>
      </c>
      <c r="I162" s="98" t="s">
        <v>114</v>
      </c>
      <c r="J162" s="99">
        <v>0</v>
      </c>
      <c r="K162" s="97">
        <v>0.05</v>
      </c>
      <c r="L162"/>
      <c r="M162"/>
      <c r="N162" s="102">
        <v>0</v>
      </c>
      <c r="O162" s="102">
        <v>0</v>
      </c>
      <c r="P162"/>
      <c r="Q162" s="102">
        <v>2400</v>
      </c>
      <c r="R162" s="102">
        <v>4800</v>
      </c>
      <c r="S162" s="102" t="s">
        <v>120</v>
      </c>
      <c r="T162" s="94">
        <f>($T$2-N162-Q162)*0.0425</f>
        <v>2448</v>
      </c>
      <c r="U162" s="94">
        <f>($U$2-O162-R162)*0.0425</f>
        <v>2346</v>
      </c>
      <c r="V162" s="103">
        <v>1</v>
      </c>
      <c r="W162" s="105">
        <v>1</v>
      </c>
      <c r="X162"/>
    </row>
    <row r="163" spans="1:24">
      <c r="A163"/>
      <c r="B163"/>
      <c r="C163"/>
      <c r="D163"/>
      <c r="E163"/>
      <c r="F163"/>
      <c r="G163"/>
      <c r="H163"/>
      <c r="I163"/>
      <c r="J163"/>
      <c r="K163"/>
      <c r="L163"/>
      <c r="M163"/>
      <c r="N163"/>
      <c r="O163" s="102"/>
      <c r="P163"/>
      <c r="Q163" s="102"/>
      <c r="R163" s="102"/>
      <c r="S163"/>
      <c r="T163"/>
      <c r="U163"/>
      <c r="V163" s="103"/>
      <c r="W163" s="105"/>
      <c r="X163"/>
    </row>
    <row r="164" spans="1:24">
      <c r="A164" s="82" t="s">
        <v>152</v>
      </c>
      <c r="B164" s="97">
        <v>1.4E-2</v>
      </c>
      <c r="C164" s="98" t="s">
        <v>114</v>
      </c>
      <c r="D164" s="99">
        <v>0</v>
      </c>
      <c r="E164" s="97">
        <v>1.4E-2</v>
      </c>
      <c r="F164" s="100">
        <v>0</v>
      </c>
      <c r="G164"/>
      <c r="H164" s="97">
        <v>1.4E-2</v>
      </c>
      <c r="I164" s="98" t="s">
        <v>114</v>
      </c>
      <c r="J164" s="99">
        <v>0</v>
      </c>
      <c r="K164" s="97">
        <v>1.4E-2</v>
      </c>
      <c r="L164" s="100">
        <v>0</v>
      </c>
      <c r="M164"/>
      <c r="N164" s="102">
        <v>0</v>
      </c>
      <c r="O164" s="102">
        <v>0</v>
      </c>
      <c r="P164"/>
      <c r="Q164" s="102">
        <v>1000</v>
      </c>
      <c r="R164" s="102">
        <v>2000</v>
      </c>
      <c r="S164" s="102">
        <v>1500</v>
      </c>
      <c r="T164" s="94">
        <f>(($T$2-N164-Q164)-VLOOKUP(($T$2-N164-Q164),D164:F169,1,1))*VLOOKUP(($T$2-N164-Q164),D164:F169,2,1)+VLOOKUP(($T$2-N164-Q164),D164:F169,3,1)</f>
        <v>1767.25</v>
      </c>
      <c r="U164" s="94">
        <f>(($U$2-O164-R164)-VLOOKUP(($U$2-O164-R164),J164:L170,1,1))*VLOOKUP(($U$2-O164-R164),J164:L170,2,1)+VLOOKUP(($U$2-O164-R164),J164:L170,3,1)</f>
        <v>1001</v>
      </c>
      <c r="V164" s="103">
        <v>6</v>
      </c>
      <c r="W164" s="103">
        <v>7</v>
      </c>
      <c r="X164"/>
    </row>
    <row r="165" spans="1:24">
      <c r="A165"/>
      <c r="B165" s="97">
        <v>1.7500000000000002E-2</v>
      </c>
      <c r="C165" s="98" t="s">
        <v>114</v>
      </c>
      <c r="D165" s="99">
        <v>20000</v>
      </c>
      <c r="E165" s="97">
        <v>1.7500000000000002E-2</v>
      </c>
      <c r="F165" s="100">
        <f>E164*(D165-D164)+F164</f>
        <v>280</v>
      </c>
      <c r="G165"/>
      <c r="H165" s="97">
        <v>1.7500000000000002E-2</v>
      </c>
      <c r="I165" s="98" t="s">
        <v>114</v>
      </c>
      <c r="J165" s="99">
        <v>20000</v>
      </c>
      <c r="K165" s="97">
        <v>1.7500000000000002E-2</v>
      </c>
      <c r="L165" s="100">
        <f>K164*(J165-J164)+L164</f>
        <v>280</v>
      </c>
      <c r="M165"/>
      <c r="N165"/>
      <c r="O165"/>
      <c r="P165"/>
      <c r="Q165"/>
      <c r="R165"/>
      <c r="S165"/>
      <c r="T165"/>
      <c r="U165"/>
      <c r="V165" s="103"/>
      <c r="W165" s="105"/>
      <c r="X165"/>
    </row>
    <row r="166" spans="1:24">
      <c r="A166"/>
      <c r="B166" s="97">
        <v>3.5000000000000003E-2</v>
      </c>
      <c r="C166" s="98" t="s">
        <v>114</v>
      </c>
      <c r="D166" s="99">
        <v>35000</v>
      </c>
      <c r="E166" s="97">
        <v>3.5000000000000003E-2</v>
      </c>
      <c r="F166" s="100">
        <f>E165*(D166-D165)+F165</f>
        <v>542.5</v>
      </c>
      <c r="G166"/>
      <c r="H166" s="97">
        <v>2.4500000000000001E-2</v>
      </c>
      <c r="I166" s="98" t="s">
        <v>114</v>
      </c>
      <c r="J166" s="99">
        <v>50000</v>
      </c>
      <c r="K166" s="97">
        <v>2.4500000000000001E-2</v>
      </c>
      <c r="L166" s="100">
        <f>K165*(J166-J165)+L165</f>
        <v>805</v>
      </c>
      <c r="M166"/>
      <c r="N166"/>
      <c r="O166"/>
      <c r="P166"/>
      <c r="Q166"/>
      <c r="R166"/>
      <c r="S166"/>
      <c r="T166"/>
      <c r="U166"/>
      <c r="V166" s="103"/>
      <c r="W166" s="105"/>
      <c r="X166"/>
    </row>
    <row r="167" spans="1:24">
      <c r="A167"/>
      <c r="B167" s="108">
        <v>5.525E-2</v>
      </c>
      <c r="C167" s="98" t="s">
        <v>114</v>
      </c>
      <c r="D167" s="99">
        <v>40000</v>
      </c>
      <c r="E167" s="108">
        <v>5.525E-2</v>
      </c>
      <c r="F167" s="100">
        <f>E166*(D167-D166)+F166</f>
        <v>717.5</v>
      </c>
      <c r="G167"/>
      <c r="H167" s="97">
        <v>3.5000000000000003E-2</v>
      </c>
      <c r="I167" s="98" t="s">
        <v>114</v>
      </c>
      <c r="J167" s="99">
        <v>70000</v>
      </c>
      <c r="K167" s="97">
        <v>3.5000000000000003E-2</v>
      </c>
      <c r="L167" s="100">
        <f>K166*(J167-J166)+L166</f>
        <v>1295</v>
      </c>
      <c r="M167"/>
      <c r="N167"/>
      <c r="O167"/>
      <c r="P167"/>
      <c r="Q167"/>
      <c r="R167"/>
      <c r="S167"/>
      <c r="T167"/>
      <c r="U167"/>
      <c r="V167" s="103"/>
      <c r="W167" s="105"/>
      <c r="X167"/>
    </row>
    <row r="168" spans="1:24">
      <c r="A168"/>
      <c r="B168" s="97">
        <v>6.3700000000000007E-2</v>
      </c>
      <c r="C168" s="98" t="s">
        <v>114</v>
      </c>
      <c r="D168" s="99">
        <v>75000</v>
      </c>
      <c r="E168" s="97">
        <v>6.3700000000000007E-2</v>
      </c>
      <c r="F168" s="100">
        <f>E167*(D168-D167)+F167</f>
        <v>2651.25</v>
      </c>
      <c r="G168"/>
      <c r="H168" s="108">
        <v>5.525E-2</v>
      </c>
      <c r="I168" s="98" t="s">
        <v>114</v>
      </c>
      <c r="J168" s="99">
        <v>80000</v>
      </c>
      <c r="K168" s="108">
        <v>5.525E-2</v>
      </c>
      <c r="L168" s="100">
        <f>K167*(J168-J167)+L167</f>
        <v>1645</v>
      </c>
      <c r="M168"/>
      <c r="N168"/>
      <c r="O168"/>
      <c r="P168"/>
      <c r="Q168"/>
      <c r="R168"/>
      <c r="S168"/>
      <c r="T168"/>
      <c r="U168"/>
      <c r="V168" s="103"/>
      <c r="W168" s="105"/>
      <c r="X168"/>
    </row>
    <row r="169" spans="1:24">
      <c r="A169"/>
      <c r="B169" s="97">
        <v>8.9700000000000002E-2</v>
      </c>
      <c r="C169" s="98" t="s">
        <v>114</v>
      </c>
      <c r="D169" s="99">
        <v>500000</v>
      </c>
      <c r="E169" s="97">
        <v>8.9700000000000002E-2</v>
      </c>
      <c r="F169" s="100">
        <f>E168*(D169-D168)+F168</f>
        <v>29723.750000000004</v>
      </c>
      <c r="G169"/>
      <c r="H169" s="97">
        <v>6.3700000000000007E-2</v>
      </c>
      <c r="I169" s="98" t="s">
        <v>114</v>
      </c>
      <c r="J169" s="99">
        <v>150000</v>
      </c>
      <c r="K169" s="97">
        <v>6.3700000000000007E-2</v>
      </c>
      <c r="L169" s="100">
        <f>K168*(J169-J168)+L168</f>
        <v>5512.5</v>
      </c>
      <c r="M169"/>
      <c r="N169"/>
      <c r="O169"/>
      <c r="P169"/>
      <c r="Q169"/>
      <c r="R169"/>
      <c r="S169"/>
      <c r="T169"/>
      <c r="U169"/>
      <c r="V169" s="103"/>
      <c r="W169" s="105"/>
      <c r="X169"/>
    </row>
    <row r="170" spans="1:24">
      <c r="A170"/>
      <c r="B170"/>
      <c r="C170"/>
      <c r="D170"/>
      <c r="E170"/>
      <c r="F170"/>
      <c r="G170"/>
      <c r="H170" s="97">
        <v>8.9700000000000002E-2</v>
      </c>
      <c r="I170" s="98" t="s">
        <v>114</v>
      </c>
      <c r="J170" s="99">
        <v>500000</v>
      </c>
      <c r="K170" s="97">
        <v>8.9700000000000002E-2</v>
      </c>
      <c r="L170"/>
      <c r="M170"/>
      <c r="N170"/>
      <c r="O170"/>
      <c r="P170"/>
      <c r="Q170"/>
      <c r="R170"/>
      <c r="S170"/>
      <c r="T170"/>
      <c r="U170"/>
      <c r="V170" s="103"/>
      <c r="W170" s="105"/>
      <c r="X170"/>
    </row>
    <row r="171" spans="1:24">
      <c r="A171"/>
      <c r="B171"/>
      <c r="C171"/>
      <c r="D171"/>
      <c r="E171"/>
      <c r="F171"/>
      <c r="G171"/>
      <c r="H171"/>
      <c r="I171"/>
      <c r="J171"/>
      <c r="K171"/>
      <c r="L171"/>
      <c r="M171"/>
      <c r="N171"/>
      <c r="O171" s="102"/>
      <c r="P171"/>
      <c r="Q171" s="102"/>
      <c r="R171" s="102"/>
      <c r="S171"/>
      <c r="T171"/>
      <c r="U171"/>
      <c r="V171" s="103"/>
      <c r="W171" s="105"/>
      <c r="X171"/>
    </row>
    <row r="172" spans="1:24">
      <c r="A172" s="82" t="s">
        <v>153</v>
      </c>
      <c r="B172" s="97">
        <v>1.7000000000000001E-2</v>
      </c>
      <c r="C172" s="98" t="s">
        <v>114</v>
      </c>
      <c r="D172" s="99">
        <v>0</v>
      </c>
      <c r="E172" s="97">
        <v>1.7000000000000001E-2</v>
      </c>
      <c r="F172" s="100">
        <v>0</v>
      </c>
      <c r="G172"/>
      <c r="H172" s="97">
        <v>1.7000000000000001E-2</v>
      </c>
      <c r="I172" s="98" t="s">
        <v>114</v>
      </c>
      <c r="J172" s="99">
        <v>0</v>
      </c>
      <c r="K172" s="97">
        <v>1.7000000000000001E-2</v>
      </c>
      <c r="L172" s="100">
        <v>0</v>
      </c>
      <c r="M172"/>
      <c r="N172" s="102">
        <v>6300</v>
      </c>
      <c r="O172" s="102">
        <v>12600</v>
      </c>
      <c r="P172"/>
      <c r="Q172" s="102">
        <v>4000</v>
      </c>
      <c r="R172" s="102">
        <v>4000</v>
      </c>
      <c r="S172" s="102">
        <v>4000</v>
      </c>
      <c r="T172" s="94">
        <f>(($T$2-N172-Q172)-VLOOKUP(($T$2-N172-Q172),D172:F175,1,1))*VLOOKUP(($T$2-N172-Q172),D172:F175,2,1)+VLOOKUP(($T$2-N172-Q172),D172:F175,3,1)</f>
        <v>2155.8000000000002</v>
      </c>
      <c r="U172" s="94">
        <f>(($U$2-O172-R172)-VLOOKUP(($U$2-O172-R172),J172:L175,1,1))*VLOOKUP(($U$2-O172-R172),J172:L175,2,1)+VLOOKUP(($U$2-O172-R172),J172:L175,3,1)</f>
        <v>1718.6</v>
      </c>
      <c r="V172" s="103">
        <v>4</v>
      </c>
      <c r="W172" s="105">
        <v>4</v>
      </c>
      <c r="X172" s="82" t="s">
        <v>188</v>
      </c>
    </row>
    <row r="173" spans="1:24">
      <c r="A173"/>
      <c r="B173" s="97">
        <v>3.2000000000000001E-2</v>
      </c>
      <c r="C173" s="98" t="s">
        <v>114</v>
      </c>
      <c r="D173" s="99">
        <v>5500</v>
      </c>
      <c r="E173" s="97">
        <v>3.2000000000000001E-2</v>
      </c>
      <c r="F173" s="100">
        <f>E172*(D173-D172)+F172</f>
        <v>93.5</v>
      </c>
      <c r="G173"/>
      <c r="H173" s="97">
        <v>3.2000000000000001E-2</v>
      </c>
      <c r="I173" s="98" t="s">
        <v>114</v>
      </c>
      <c r="J173" s="99">
        <v>8000</v>
      </c>
      <c r="K173" s="97">
        <v>3.2000000000000001E-2</v>
      </c>
      <c r="L173" s="100">
        <f>K172*(J173-J172)+L172</f>
        <v>136</v>
      </c>
      <c r="M173"/>
      <c r="N173"/>
      <c r="O173"/>
      <c r="P173"/>
      <c r="Q173"/>
      <c r="R173"/>
      <c r="S173"/>
      <c r="T173"/>
      <c r="U173"/>
      <c r="V173" s="103"/>
      <c r="W173" s="105"/>
      <c r="X173"/>
    </row>
    <row r="174" spans="1:24">
      <c r="A174"/>
      <c r="B174" s="97">
        <v>4.7E-2</v>
      </c>
      <c r="C174" s="98" t="s">
        <v>114</v>
      </c>
      <c r="D174" s="99">
        <v>11000</v>
      </c>
      <c r="E174" s="97">
        <v>4.7E-2</v>
      </c>
      <c r="F174" s="100">
        <f>E173*(D174-D173)+F173</f>
        <v>269.5</v>
      </c>
      <c r="G174"/>
      <c r="H174" s="97">
        <v>4.7E-2</v>
      </c>
      <c r="I174" s="98" t="s">
        <v>114</v>
      </c>
      <c r="J174" s="99">
        <v>16000</v>
      </c>
      <c r="K174" s="97">
        <v>4.7E-2</v>
      </c>
      <c r="L174" s="100">
        <f>K173*(J174-J173)+L173</f>
        <v>392</v>
      </c>
      <c r="M174"/>
      <c r="N174"/>
      <c r="O174"/>
      <c r="P174"/>
      <c r="Q174"/>
      <c r="R174"/>
      <c r="S174"/>
      <c r="T174"/>
      <c r="U174"/>
      <c r="V174" s="103"/>
      <c r="W174" s="105"/>
      <c r="X174"/>
    </row>
    <row r="175" spans="1:24">
      <c r="A175"/>
      <c r="B175" s="97">
        <v>4.9000000000000002E-2</v>
      </c>
      <c r="C175" s="98" t="s">
        <v>114</v>
      </c>
      <c r="D175" s="99">
        <v>16000</v>
      </c>
      <c r="E175" s="97">
        <v>4.9000000000000002E-2</v>
      </c>
      <c r="F175" s="100">
        <f>E174*(D175-D174)+F174</f>
        <v>504.5</v>
      </c>
      <c r="G175"/>
      <c r="H175" s="97">
        <v>4.9000000000000002E-2</v>
      </c>
      <c r="I175" s="98" t="s">
        <v>114</v>
      </c>
      <c r="J175" s="99">
        <v>24000</v>
      </c>
      <c r="K175" s="97">
        <v>4.9000000000000002E-2</v>
      </c>
      <c r="L175" s="100">
        <f>K174*(J175-J174)+L174</f>
        <v>768</v>
      </c>
      <c r="M175"/>
      <c r="N175"/>
      <c r="O175"/>
      <c r="P175"/>
      <c r="Q175"/>
      <c r="R175"/>
      <c r="S175"/>
      <c r="T175"/>
      <c r="U175"/>
      <c r="V175" s="103"/>
      <c r="W175" s="105"/>
      <c r="X175"/>
    </row>
    <row r="176" spans="1:24">
      <c r="A176"/>
      <c r="B176"/>
      <c r="C176"/>
      <c r="D176"/>
      <c r="E176"/>
      <c r="F176"/>
      <c r="G176"/>
      <c r="H176"/>
      <c r="I176"/>
      <c r="J176"/>
      <c r="K176"/>
      <c r="L176"/>
      <c r="M176"/>
      <c r="N176"/>
      <c r="O176" s="102"/>
      <c r="P176"/>
      <c r="Q176" s="102"/>
      <c r="R176" s="102"/>
      <c r="S176"/>
      <c r="T176"/>
      <c r="U176"/>
      <c r="V176" s="103"/>
      <c r="W176" s="105"/>
      <c r="X176"/>
    </row>
    <row r="177" spans="1:24">
      <c r="A177" s="82" t="s">
        <v>156</v>
      </c>
      <c r="B177" s="97">
        <v>0.04</v>
      </c>
      <c r="C177" s="98" t="s">
        <v>114</v>
      </c>
      <c r="D177" s="99">
        <v>0</v>
      </c>
      <c r="E177" s="97">
        <v>0.04</v>
      </c>
      <c r="F177" s="100">
        <v>0</v>
      </c>
      <c r="G177"/>
      <c r="H177" s="97">
        <v>0.04</v>
      </c>
      <c r="I177" s="98" t="s">
        <v>114</v>
      </c>
      <c r="J177" s="99">
        <v>0</v>
      </c>
      <c r="K177" s="97">
        <v>0.04</v>
      </c>
      <c r="L177" s="100">
        <v>0</v>
      </c>
      <c r="M177"/>
      <c r="N177" s="102">
        <v>7900</v>
      </c>
      <c r="O177" s="102">
        <v>15850</v>
      </c>
      <c r="P177"/>
      <c r="Q177" s="102">
        <v>0</v>
      </c>
      <c r="R177" s="102">
        <v>0</v>
      </c>
      <c r="S177" s="102">
        <v>1000</v>
      </c>
      <c r="T177" s="94">
        <f>(($T$2-N177-Q177)-VLOOKUP(($T$2-N177-Q177),D177:F184,1,1))*VLOOKUP(($T$2-N177-Q177),D177:F184,2,1)+VLOOKUP(($T$2-N177-Q177),D177:F184,3,1)</f>
        <v>3025.75</v>
      </c>
      <c r="U177" s="94">
        <f>(($U$2-O177-R177)-VLOOKUP(($U$2-O177-R177),J177:L184,1,1))*VLOOKUP(($U$2-O177-R177),J177:L184,2,1)+VLOOKUP(($U$2-O177-R177),J177:L184,3,1)</f>
        <v>2175.625</v>
      </c>
      <c r="V177" s="103">
        <v>8</v>
      </c>
      <c r="W177" s="105">
        <v>8</v>
      </c>
      <c r="X177" s="106" t="s">
        <v>189</v>
      </c>
    </row>
    <row r="178" spans="1:24">
      <c r="A178"/>
      <c r="B178" s="97">
        <v>4.4999999999999998E-2</v>
      </c>
      <c r="C178" s="98" t="s">
        <v>114</v>
      </c>
      <c r="D178" s="99">
        <v>8400</v>
      </c>
      <c r="E178" s="97">
        <v>4.4999999999999998E-2</v>
      </c>
      <c r="F178" s="100">
        <f t="shared" ref="F178:F184" si="14">E177*(D178-D177)+F177</f>
        <v>336</v>
      </c>
      <c r="G178"/>
      <c r="H178" s="97">
        <v>4.4999999999999998E-2</v>
      </c>
      <c r="I178" s="98" t="s">
        <v>114</v>
      </c>
      <c r="J178" s="99">
        <v>16950</v>
      </c>
      <c r="K178" s="97">
        <v>4.4999999999999998E-2</v>
      </c>
      <c r="L178" s="100">
        <f t="shared" ref="L178:L184" si="15">K177*(J178-J177)+L177</f>
        <v>678</v>
      </c>
      <c r="M178"/>
      <c r="N178"/>
      <c r="O178"/>
      <c r="P178"/>
      <c r="Q178"/>
      <c r="R178"/>
      <c r="S178"/>
      <c r="T178"/>
      <c r="U178"/>
      <c r="V178" s="103"/>
      <c r="W178" s="105"/>
      <c r="X178"/>
    </row>
    <row r="179" spans="1:24">
      <c r="A179"/>
      <c r="B179" s="97">
        <v>5.2499999999999998E-2</v>
      </c>
      <c r="C179" s="98" t="s">
        <v>114</v>
      </c>
      <c r="D179" s="99">
        <v>11600</v>
      </c>
      <c r="E179" s="97">
        <v>5.2499999999999998E-2</v>
      </c>
      <c r="F179" s="100">
        <f t="shared" si="14"/>
        <v>480</v>
      </c>
      <c r="G179"/>
      <c r="H179" s="97">
        <v>5.2499999999999998E-2</v>
      </c>
      <c r="I179" s="98" t="s">
        <v>114</v>
      </c>
      <c r="J179" s="99">
        <v>23300</v>
      </c>
      <c r="K179" s="97">
        <v>5.2499999999999998E-2</v>
      </c>
      <c r="L179" s="100">
        <f t="shared" si="15"/>
        <v>963.75</v>
      </c>
      <c r="M179"/>
      <c r="N179"/>
      <c r="O179"/>
      <c r="P179"/>
      <c r="Q179"/>
      <c r="R179"/>
      <c r="S179"/>
      <c r="T179"/>
      <c r="U179"/>
      <c r="V179" s="103"/>
      <c r="W179" s="105"/>
      <c r="X179"/>
    </row>
    <row r="180" spans="1:24">
      <c r="A180"/>
      <c r="B180" s="97">
        <v>5.8999999999999997E-2</v>
      </c>
      <c r="C180" s="98" t="s">
        <v>114</v>
      </c>
      <c r="D180" s="99">
        <v>13750</v>
      </c>
      <c r="E180" s="97">
        <v>5.8999999999999997E-2</v>
      </c>
      <c r="F180" s="100">
        <f t="shared" si="14"/>
        <v>592.875</v>
      </c>
      <c r="G180"/>
      <c r="H180" s="97">
        <v>5.8999999999999997E-2</v>
      </c>
      <c r="I180" s="98" t="s">
        <v>114</v>
      </c>
      <c r="J180" s="99">
        <v>27550</v>
      </c>
      <c r="K180" s="97">
        <v>5.8999999999999997E-2</v>
      </c>
      <c r="L180" s="100">
        <f t="shared" si="15"/>
        <v>1186.875</v>
      </c>
      <c r="M180"/>
      <c r="N180"/>
      <c r="O180"/>
      <c r="P180"/>
      <c r="Q180"/>
      <c r="R180"/>
      <c r="S180"/>
      <c r="T180"/>
      <c r="U180"/>
      <c r="V180" s="103"/>
      <c r="W180" s="105"/>
      <c r="X180"/>
    </row>
    <row r="181" spans="1:24">
      <c r="A181"/>
      <c r="B181" s="97">
        <v>6.4500000000000002E-2</v>
      </c>
      <c r="C181" s="98" t="s">
        <v>114</v>
      </c>
      <c r="D181" s="99">
        <v>21150</v>
      </c>
      <c r="E181" s="97">
        <v>6.4500000000000002E-2</v>
      </c>
      <c r="F181" s="100">
        <f t="shared" si="14"/>
        <v>1029.4749999999999</v>
      </c>
      <c r="G181"/>
      <c r="H181" s="97">
        <v>6.4500000000000002E-2</v>
      </c>
      <c r="I181" s="98" t="s">
        <v>114</v>
      </c>
      <c r="J181" s="99">
        <v>42450</v>
      </c>
      <c r="K181" s="97">
        <v>6.4500000000000002E-2</v>
      </c>
      <c r="L181" s="100">
        <f t="shared" si="15"/>
        <v>2065.9749999999999</v>
      </c>
      <c r="M181"/>
      <c r="N181"/>
      <c r="O181"/>
      <c r="P181"/>
      <c r="Q181"/>
      <c r="R181"/>
      <c r="S181"/>
      <c r="T181"/>
      <c r="U181"/>
      <c r="V181" s="103"/>
      <c r="W181" s="105"/>
      <c r="X181"/>
    </row>
    <row r="182" spans="1:24">
      <c r="A182"/>
      <c r="B182" s="97">
        <v>6.6500000000000004E-2</v>
      </c>
      <c r="C182" s="98" t="s">
        <v>114</v>
      </c>
      <c r="D182" s="99">
        <v>79600</v>
      </c>
      <c r="E182" s="97">
        <v>6.6500000000000004E-2</v>
      </c>
      <c r="F182" s="100">
        <f t="shared" si="14"/>
        <v>4799.5</v>
      </c>
      <c r="G182"/>
      <c r="H182" s="97">
        <v>6.6500000000000004E-2</v>
      </c>
      <c r="I182" s="98" t="s">
        <v>114</v>
      </c>
      <c r="J182" s="99">
        <v>159350</v>
      </c>
      <c r="K182" s="97">
        <v>6.6500000000000004E-2</v>
      </c>
      <c r="L182" s="100">
        <f t="shared" si="15"/>
        <v>9606.0249999999996</v>
      </c>
      <c r="M182"/>
      <c r="N182"/>
      <c r="O182"/>
      <c r="P182"/>
      <c r="Q182"/>
      <c r="R182"/>
      <c r="S182"/>
      <c r="T182"/>
      <c r="U182"/>
      <c r="V182" s="103"/>
      <c r="W182" s="105"/>
      <c r="X182"/>
    </row>
    <row r="183" spans="1:24">
      <c r="A183"/>
      <c r="B183" s="97">
        <v>6.8500000000000005E-2</v>
      </c>
      <c r="C183" s="98" t="s">
        <v>114</v>
      </c>
      <c r="D183" s="99">
        <v>212500</v>
      </c>
      <c r="E183" s="97">
        <v>6.8500000000000005E-2</v>
      </c>
      <c r="F183" s="100">
        <f t="shared" si="14"/>
        <v>13637.35</v>
      </c>
      <c r="G183"/>
      <c r="H183" s="97">
        <v>6.8500000000000005E-2</v>
      </c>
      <c r="I183" s="98" t="s">
        <v>114</v>
      </c>
      <c r="J183" s="99">
        <v>318750</v>
      </c>
      <c r="K183" s="97">
        <v>6.8500000000000005E-2</v>
      </c>
      <c r="L183" s="100">
        <f t="shared" si="15"/>
        <v>20206.125</v>
      </c>
      <c r="M183"/>
      <c r="N183"/>
      <c r="O183"/>
      <c r="P183"/>
      <c r="Q183"/>
      <c r="R183"/>
      <c r="S183"/>
      <c r="T183"/>
      <c r="U183"/>
      <c r="V183" s="103"/>
      <c r="W183" s="105"/>
      <c r="X183"/>
    </row>
    <row r="184" spans="1:24">
      <c r="A184"/>
      <c r="B184" s="97">
        <v>8.8200000000000001E-2</v>
      </c>
      <c r="C184" s="98" t="s">
        <v>114</v>
      </c>
      <c r="D184" s="99">
        <v>1062650</v>
      </c>
      <c r="E184" s="97">
        <v>8.8200000000000001E-2</v>
      </c>
      <c r="F184" s="100">
        <f t="shared" si="14"/>
        <v>71872.625</v>
      </c>
      <c r="G184"/>
      <c r="H184" s="97">
        <v>8.8200000000000001E-2</v>
      </c>
      <c r="I184" s="98" t="s">
        <v>114</v>
      </c>
      <c r="J184" s="99">
        <v>2125450</v>
      </c>
      <c r="K184" s="97">
        <v>8.8200000000000001E-2</v>
      </c>
      <c r="L184" s="100">
        <f t="shared" si="15"/>
        <v>143965.07500000001</v>
      </c>
      <c r="M184"/>
      <c r="N184"/>
      <c r="O184"/>
      <c r="P184"/>
      <c r="Q184"/>
      <c r="R184"/>
      <c r="S184"/>
      <c r="T184"/>
      <c r="U184"/>
      <c r="V184" s="103"/>
      <c r="W184" s="105"/>
      <c r="X184"/>
    </row>
    <row r="185" spans="1:24">
      <c r="A185"/>
      <c r="B185"/>
      <c r="C185"/>
      <c r="D185"/>
      <c r="E185"/>
      <c r="F185"/>
      <c r="G185"/>
      <c r="H185"/>
      <c r="I185"/>
      <c r="J185"/>
      <c r="K185"/>
      <c r="L185"/>
      <c r="M185"/>
      <c r="N185"/>
      <c r="O185" s="102"/>
      <c r="P185"/>
      <c r="Q185" s="102"/>
      <c r="R185" s="102"/>
      <c r="S185"/>
      <c r="T185"/>
      <c r="U185"/>
      <c r="V185" s="103"/>
      <c r="W185" s="105"/>
      <c r="X185"/>
    </row>
    <row r="186" spans="1:24">
      <c r="A186" s="82" t="s">
        <v>146</v>
      </c>
      <c r="B186" s="97">
        <v>5.7500000000000002E-2</v>
      </c>
      <c r="C186" s="98" t="s">
        <v>114</v>
      </c>
      <c r="D186" s="99">
        <v>0</v>
      </c>
      <c r="E186" s="97">
        <v>5.7500000000000002E-2</v>
      </c>
      <c r="F186"/>
      <c r="G186"/>
      <c r="H186" s="97">
        <v>5.7500000000000002E-2</v>
      </c>
      <c r="I186" s="98" t="s">
        <v>114</v>
      </c>
      <c r="J186" s="99">
        <v>0</v>
      </c>
      <c r="K186" s="97">
        <v>5.7500000000000002E-2</v>
      </c>
      <c r="L186"/>
      <c r="M186"/>
      <c r="N186" s="102">
        <v>7500</v>
      </c>
      <c r="O186" s="102">
        <v>15000</v>
      </c>
      <c r="P186"/>
      <c r="Q186" s="102">
        <v>0</v>
      </c>
      <c r="R186" s="102">
        <v>0</v>
      </c>
      <c r="S186" s="102">
        <v>0</v>
      </c>
      <c r="T186" s="94">
        <f>($T$2-N186-Q186)*0.0575</f>
        <v>3018.75</v>
      </c>
      <c r="U186" s="94">
        <f>($U$2-O186-R186)*0.0575</f>
        <v>2587.5</v>
      </c>
      <c r="V186" s="103">
        <v>1</v>
      </c>
      <c r="W186" s="105">
        <v>1</v>
      </c>
      <c r="X186"/>
    </row>
    <row r="187" spans="1:24">
      <c r="A187"/>
      <c r="B187"/>
      <c r="C187"/>
      <c r="D187"/>
      <c r="E187"/>
      <c r="F187"/>
      <c r="G187"/>
      <c r="H187"/>
      <c r="I187"/>
      <c r="J187"/>
      <c r="K187"/>
      <c r="L187"/>
      <c r="M187"/>
      <c r="N187"/>
      <c r="O187" s="102"/>
      <c r="P187"/>
      <c r="Q187" s="102"/>
      <c r="R187" s="102"/>
      <c r="S187"/>
      <c r="T187"/>
      <c r="U187"/>
      <c r="V187" s="103"/>
      <c r="W187" s="105"/>
      <c r="X187"/>
    </row>
    <row r="188" spans="1:24">
      <c r="A188" s="82" t="s">
        <v>147</v>
      </c>
      <c r="B188" s="97">
        <v>1.2200000000000001E-2</v>
      </c>
      <c r="C188" s="98" t="s">
        <v>114</v>
      </c>
      <c r="D188" s="99">
        <v>0</v>
      </c>
      <c r="E188" s="97">
        <v>1.2200000000000001E-2</v>
      </c>
      <c r="F188" s="100">
        <v>0</v>
      </c>
      <c r="G188"/>
      <c r="H188" s="97">
        <v>1.2200000000000001E-2</v>
      </c>
      <c r="I188" s="98" t="s">
        <v>114</v>
      </c>
      <c r="J188" s="99">
        <v>0</v>
      </c>
      <c r="K188" s="97">
        <v>1.2200000000000001E-2</v>
      </c>
      <c r="L188" s="100">
        <v>0</v>
      </c>
      <c r="M188"/>
      <c r="N188" s="102">
        <v>6300</v>
      </c>
      <c r="O188" s="102">
        <v>12600</v>
      </c>
      <c r="P188"/>
      <c r="Q188" s="102">
        <v>4000</v>
      </c>
      <c r="R188" s="102">
        <v>8000</v>
      </c>
      <c r="S188" s="102">
        <v>4000</v>
      </c>
      <c r="T188" s="94">
        <f>(($T$2-N188-Q188)-VLOOKUP(($T$2-N188-Q188),D188:F192,1,1))*VLOOKUP(($T$2-N188-Q188),D188:F192,2,1)+VLOOKUP(($T$2-N188-Q188),D188:F192,3,1)</f>
        <v>740.74</v>
      </c>
      <c r="U188" s="94">
        <f>(($U$2-O188-R188)-VLOOKUP(($U$2-O188-R188),J188:L192,1,1))*VLOOKUP(($U$2-O188-R188),J188:L192,2,1)+VLOOKUP(($U$2-O188-R188),J188:L192,3,1)</f>
        <v>480.68</v>
      </c>
      <c r="V188" s="103">
        <v>5</v>
      </c>
      <c r="W188" s="103">
        <v>5</v>
      </c>
      <c r="X188" s="106" t="s">
        <v>190</v>
      </c>
    </row>
    <row r="189" spans="1:24">
      <c r="A189"/>
      <c r="B189" s="97">
        <v>2.2700000000000001E-2</v>
      </c>
      <c r="C189" s="98" t="s">
        <v>114</v>
      </c>
      <c r="D189" s="99">
        <v>36900</v>
      </c>
      <c r="E189" s="97">
        <v>2.2700000000000001E-2</v>
      </c>
      <c r="F189" s="100">
        <f>E188*(D189-D188)+F188</f>
        <v>450.18</v>
      </c>
      <c r="G189"/>
      <c r="H189" s="97">
        <v>2.2700000000000001E-2</v>
      </c>
      <c r="I189" s="98" t="s">
        <v>114</v>
      </c>
      <c r="J189" s="99">
        <v>61700</v>
      </c>
      <c r="K189" s="97">
        <v>2.2700000000000001E-2</v>
      </c>
      <c r="L189" s="100">
        <f>K188*(J189-J188)+L188</f>
        <v>752.74</v>
      </c>
      <c r="M189"/>
      <c r="N189"/>
      <c r="O189"/>
      <c r="P189"/>
      <c r="Q189"/>
      <c r="R189"/>
      <c r="S189"/>
      <c r="T189"/>
      <c r="U189"/>
      <c r="V189" s="103"/>
      <c r="W189" s="105"/>
      <c r="X189"/>
    </row>
    <row r="190" spans="1:24">
      <c r="A190"/>
      <c r="B190" s="97">
        <v>2.52E-2</v>
      </c>
      <c r="C190" s="98" t="s">
        <v>114</v>
      </c>
      <c r="D190" s="99">
        <v>89350</v>
      </c>
      <c r="E190" s="97">
        <v>2.52E-2</v>
      </c>
      <c r="F190" s="100">
        <f>E189*(D190-D189)+F189</f>
        <v>1640.7950000000001</v>
      </c>
      <c r="G190"/>
      <c r="H190" s="97">
        <v>2.52E-2</v>
      </c>
      <c r="I190" s="98" t="s">
        <v>114</v>
      </c>
      <c r="J190" s="99">
        <v>148850</v>
      </c>
      <c r="K190" s="97">
        <v>2.52E-2</v>
      </c>
      <c r="L190" s="100">
        <f>K189*(J190-J189)+L189</f>
        <v>2731.0450000000001</v>
      </c>
      <c r="M190"/>
      <c r="N190"/>
      <c r="O190"/>
      <c r="P190"/>
      <c r="Q190"/>
      <c r="R190"/>
      <c r="S190"/>
      <c r="T190"/>
      <c r="U190"/>
      <c r="V190" s="103"/>
      <c r="W190" s="105"/>
      <c r="X190"/>
    </row>
    <row r="191" spans="1:24">
      <c r="A191"/>
      <c r="B191" s="97">
        <v>2.93E-2</v>
      </c>
      <c r="C191" s="98" t="s">
        <v>114</v>
      </c>
      <c r="D191" s="99">
        <v>186350</v>
      </c>
      <c r="E191" s="97">
        <v>2.93E-2</v>
      </c>
      <c r="F191" s="100">
        <f>E190*(D191-D190)+F190</f>
        <v>4085.1950000000002</v>
      </c>
      <c r="G191"/>
      <c r="H191" s="97">
        <v>2.93E-2</v>
      </c>
      <c r="I191" s="98" t="s">
        <v>114</v>
      </c>
      <c r="J191" s="99">
        <v>226850</v>
      </c>
      <c r="K191" s="97">
        <v>2.93E-2</v>
      </c>
      <c r="L191" s="100">
        <f>K190*(J191-J190)+L190</f>
        <v>4696.6450000000004</v>
      </c>
      <c r="M191"/>
      <c r="N191"/>
      <c r="O191"/>
      <c r="P191"/>
      <c r="Q191"/>
      <c r="R191"/>
      <c r="S191"/>
      <c r="T191"/>
      <c r="U191"/>
      <c r="V191" s="103"/>
      <c r="W191" s="105"/>
      <c r="X191"/>
    </row>
    <row r="192" spans="1:24">
      <c r="A192"/>
      <c r="B192" s="97">
        <v>3.2199999999999999E-2</v>
      </c>
      <c r="C192" s="98" t="s">
        <v>114</v>
      </c>
      <c r="D192" s="99">
        <v>405100</v>
      </c>
      <c r="E192" s="97">
        <v>3.2199999999999999E-2</v>
      </c>
      <c r="F192" s="100">
        <f>E191*(D192-D191)+F191</f>
        <v>10494.57</v>
      </c>
      <c r="G192"/>
      <c r="H192" s="97">
        <v>3.2199999999999999E-2</v>
      </c>
      <c r="I192" s="98" t="s">
        <v>114</v>
      </c>
      <c r="J192" s="99">
        <v>405100</v>
      </c>
      <c r="K192" s="97">
        <v>3.2199999999999999E-2</v>
      </c>
      <c r="L192" s="100">
        <f>K191*(J192-J191)+L191</f>
        <v>9919.3700000000008</v>
      </c>
      <c r="M192"/>
      <c r="N192"/>
      <c r="O192"/>
      <c r="P192"/>
      <c r="Q192"/>
      <c r="R192"/>
      <c r="S192"/>
      <c r="T192"/>
      <c r="U192"/>
      <c r="V192" s="103"/>
      <c r="W192" s="105"/>
      <c r="X192"/>
    </row>
    <row r="193" spans="1:24">
      <c r="A193"/>
      <c r="B193"/>
      <c r="C193"/>
      <c r="D193"/>
      <c r="E193"/>
      <c r="F193"/>
      <c r="G193"/>
      <c r="H193"/>
      <c r="I193"/>
      <c r="J193"/>
      <c r="K193"/>
      <c r="L193"/>
      <c r="M193"/>
      <c r="N193"/>
      <c r="O193" s="102"/>
      <c r="P193"/>
      <c r="Q193" s="102"/>
      <c r="R193" s="102"/>
      <c r="S193"/>
      <c r="T193"/>
      <c r="U193"/>
      <c r="V193" s="103"/>
      <c r="W193" s="105"/>
      <c r="X193"/>
    </row>
    <row r="194" spans="1:24">
      <c r="A194" s="82" t="s">
        <v>157</v>
      </c>
      <c r="B194" s="108">
        <v>5.28E-3</v>
      </c>
      <c r="C194" s="98" t="s">
        <v>114</v>
      </c>
      <c r="D194" s="99">
        <v>0</v>
      </c>
      <c r="E194" s="108">
        <v>5.28E-3</v>
      </c>
      <c r="F194" s="100">
        <v>0</v>
      </c>
      <c r="G194"/>
      <c r="H194" s="108">
        <v>5.28E-3</v>
      </c>
      <c r="I194" s="98" t="s">
        <v>114</v>
      </c>
      <c r="J194" s="99">
        <v>0</v>
      </c>
      <c r="K194" s="108">
        <v>5.28E-3</v>
      </c>
      <c r="L194" s="100">
        <v>0</v>
      </c>
      <c r="M194"/>
      <c r="N194" s="102">
        <v>0</v>
      </c>
      <c r="O194" s="102">
        <v>0</v>
      </c>
      <c r="P194"/>
      <c r="Q194" s="102">
        <v>2200</v>
      </c>
      <c r="R194" s="102">
        <v>4400</v>
      </c>
      <c r="S194" s="102">
        <v>2200</v>
      </c>
      <c r="T194" s="94">
        <f>(($T$2-N194-Q194)-VLOOKUP(($T$2-N194-Q194),D194:F202,1,1))*VLOOKUP(($T$2-N194-Q194),D194:F202,2,1)+VLOOKUP(($T$2-N194-Q194),D194:F202,3,1)</f>
        <v>1586.5875000000001</v>
      </c>
      <c r="U194" s="94">
        <f>(($U$2-O194-R194)-VLOOKUP(($U$2-O194-R194),J194:L202,1,1))*VLOOKUP(($U$2-O194-R194),J194:L202,2,1)+VLOOKUP(($U$2-O194-R194),J194:L202,3,1)</f>
        <v>1505.2314999999999</v>
      </c>
      <c r="V194" s="103">
        <v>9</v>
      </c>
      <c r="W194" s="103">
        <v>9</v>
      </c>
      <c r="X194" s="106" t="s">
        <v>191</v>
      </c>
    </row>
    <row r="195" spans="1:24">
      <c r="A195"/>
      <c r="B195" s="108">
        <v>1.057E-2</v>
      </c>
      <c r="C195" s="98" t="s">
        <v>114</v>
      </c>
      <c r="D195" s="99">
        <v>5200</v>
      </c>
      <c r="E195" s="108">
        <v>1.057E-2</v>
      </c>
      <c r="F195" s="100">
        <f t="shared" ref="F195:F202" si="16">E194*(D195-D194)+F194</f>
        <v>27.456</v>
      </c>
      <c r="G195"/>
      <c r="H195" s="108">
        <v>1.057E-2</v>
      </c>
      <c r="I195" s="98" t="s">
        <v>114</v>
      </c>
      <c r="J195" s="99">
        <v>5200</v>
      </c>
      <c r="K195" s="108">
        <v>1.057E-2</v>
      </c>
      <c r="L195" s="100">
        <f t="shared" ref="L195:L202" si="17">K194*(J195-J194)+L194</f>
        <v>27.456</v>
      </c>
      <c r="M195"/>
      <c r="N195"/>
      <c r="O195"/>
      <c r="P195"/>
      <c r="Q195"/>
      <c r="R195"/>
      <c r="S195"/>
      <c r="T195"/>
      <c r="U195"/>
      <c r="V195" s="103"/>
      <c r="W195" s="105"/>
      <c r="X195"/>
    </row>
    <row r="196" spans="1:24">
      <c r="A196"/>
      <c r="B196" s="108">
        <v>2.1129999999999999E-2</v>
      </c>
      <c r="C196" s="98" t="s">
        <v>114</v>
      </c>
      <c r="D196" s="99">
        <v>10400</v>
      </c>
      <c r="E196" s="108">
        <v>2.1129999999999999E-2</v>
      </c>
      <c r="F196" s="100">
        <f t="shared" si="16"/>
        <v>82.42</v>
      </c>
      <c r="G196"/>
      <c r="H196" s="108">
        <v>2.1129999999999999E-2</v>
      </c>
      <c r="I196" s="98" t="s">
        <v>114</v>
      </c>
      <c r="J196" s="99">
        <v>10400</v>
      </c>
      <c r="K196" s="108">
        <v>2.1129999999999999E-2</v>
      </c>
      <c r="L196" s="100">
        <f t="shared" si="17"/>
        <v>82.42</v>
      </c>
      <c r="M196"/>
      <c r="N196"/>
      <c r="O196"/>
      <c r="P196"/>
      <c r="Q196"/>
      <c r="R196"/>
      <c r="S196"/>
      <c r="T196"/>
      <c r="U196"/>
      <c r="V196" s="103"/>
      <c r="W196" s="105"/>
      <c r="X196"/>
    </row>
    <row r="197" spans="1:24">
      <c r="A197"/>
      <c r="B197" s="108">
        <v>2.6419999999999999E-2</v>
      </c>
      <c r="C197" s="98" t="s">
        <v>114</v>
      </c>
      <c r="D197" s="99">
        <v>15650</v>
      </c>
      <c r="E197" s="108">
        <v>2.6419999999999999E-2</v>
      </c>
      <c r="F197" s="100">
        <f t="shared" si="16"/>
        <v>193.35249999999999</v>
      </c>
      <c r="G197"/>
      <c r="H197" s="108">
        <v>2.6419999999999999E-2</v>
      </c>
      <c r="I197" s="98" t="s">
        <v>114</v>
      </c>
      <c r="J197" s="99">
        <v>15650</v>
      </c>
      <c r="K197" s="108">
        <v>2.6419999999999999E-2</v>
      </c>
      <c r="L197" s="100">
        <f t="shared" si="17"/>
        <v>193.35249999999999</v>
      </c>
      <c r="M197"/>
      <c r="N197"/>
      <c r="O197"/>
      <c r="P197"/>
      <c r="Q197"/>
      <c r="R197"/>
      <c r="S197"/>
      <c r="T197"/>
      <c r="U197"/>
      <c r="V197" s="103"/>
      <c r="W197" s="105"/>
      <c r="X197"/>
    </row>
    <row r="198" spans="1:24">
      <c r="A198"/>
      <c r="B198" s="108">
        <v>3.1690000000000003E-2</v>
      </c>
      <c r="C198" s="98" t="s">
        <v>114</v>
      </c>
      <c r="D198" s="99">
        <v>20900</v>
      </c>
      <c r="E198" s="108">
        <v>3.1690000000000003E-2</v>
      </c>
      <c r="F198" s="100">
        <f t="shared" si="16"/>
        <v>332.0575</v>
      </c>
      <c r="G198"/>
      <c r="H198" s="108">
        <v>3.1690000000000003E-2</v>
      </c>
      <c r="I198" s="98" t="s">
        <v>114</v>
      </c>
      <c r="J198" s="99">
        <v>20900</v>
      </c>
      <c r="K198" s="108">
        <v>3.1690000000000003E-2</v>
      </c>
      <c r="L198" s="100">
        <f t="shared" si="17"/>
        <v>332.0575</v>
      </c>
      <c r="M198"/>
      <c r="N198"/>
      <c r="O198"/>
      <c r="P198"/>
      <c r="Q198"/>
      <c r="R198"/>
      <c r="S198"/>
      <c r="T198"/>
      <c r="U198"/>
      <c r="V198" s="103"/>
      <c r="W198" s="105"/>
      <c r="X198"/>
    </row>
    <row r="199" spans="1:24">
      <c r="A199"/>
      <c r="B199" s="108">
        <v>3.6979999999999999E-2</v>
      </c>
      <c r="C199" s="98" t="s">
        <v>114</v>
      </c>
      <c r="D199" s="99">
        <v>41700</v>
      </c>
      <c r="E199" s="108">
        <v>3.6979999999999999E-2</v>
      </c>
      <c r="F199" s="100">
        <f t="shared" si="16"/>
        <v>991.20950000000005</v>
      </c>
      <c r="G199"/>
      <c r="H199" s="108">
        <v>3.6979999999999999E-2</v>
      </c>
      <c r="I199" s="98" t="s">
        <v>114</v>
      </c>
      <c r="J199" s="99">
        <v>41700</v>
      </c>
      <c r="K199" s="108">
        <v>3.6979999999999999E-2</v>
      </c>
      <c r="L199" s="100">
        <f t="shared" si="17"/>
        <v>991.20950000000005</v>
      </c>
      <c r="M199"/>
      <c r="N199"/>
      <c r="O199"/>
      <c r="P199"/>
      <c r="Q199"/>
      <c r="R199"/>
      <c r="S199"/>
      <c r="T199"/>
      <c r="U199"/>
      <c r="V199" s="103"/>
      <c r="W199" s="105"/>
      <c r="X199"/>
    </row>
    <row r="200" spans="1:24">
      <c r="A200"/>
      <c r="B200" s="108">
        <v>4.2259999999999999E-2</v>
      </c>
      <c r="C200" s="98" t="s">
        <v>114</v>
      </c>
      <c r="D200" s="99">
        <v>83350</v>
      </c>
      <c r="E200" s="108">
        <v>4.2259999999999999E-2</v>
      </c>
      <c r="F200" s="100">
        <f t="shared" si="16"/>
        <v>2531.4265</v>
      </c>
      <c r="G200"/>
      <c r="H200" s="108">
        <v>4.2259999999999999E-2</v>
      </c>
      <c r="I200" s="98" t="s">
        <v>114</v>
      </c>
      <c r="J200" s="99">
        <v>83350</v>
      </c>
      <c r="K200" s="108">
        <v>4.2259999999999999E-2</v>
      </c>
      <c r="L200" s="100">
        <f t="shared" si="17"/>
        <v>2531.4265</v>
      </c>
      <c r="M200"/>
      <c r="N200"/>
      <c r="O200"/>
      <c r="P200"/>
      <c r="Q200"/>
      <c r="R200"/>
      <c r="S200"/>
      <c r="T200"/>
      <c r="U200"/>
      <c r="V200" s="103"/>
      <c r="W200" s="105"/>
      <c r="X200"/>
    </row>
    <row r="201" spans="1:24">
      <c r="A201"/>
      <c r="B201" s="108">
        <v>4.9059999999999999E-2</v>
      </c>
      <c r="C201" s="98" t="s">
        <v>114</v>
      </c>
      <c r="D201" s="99">
        <v>104250</v>
      </c>
      <c r="E201" s="108">
        <v>4.9059999999999999E-2</v>
      </c>
      <c r="F201" s="100">
        <f t="shared" si="16"/>
        <v>3414.6605</v>
      </c>
      <c r="G201"/>
      <c r="H201" s="108">
        <v>4.9059999999999999E-2</v>
      </c>
      <c r="I201" s="98" t="s">
        <v>114</v>
      </c>
      <c r="J201" s="99">
        <v>104250</v>
      </c>
      <c r="K201" s="108">
        <v>4.9059999999999999E-2</v>
      </c>
      <c r="L201" s="100">
        <f t="shared" si="17"/>
        <v>3414.6605</v>
      </c>
      <c r="M201"/>
      <c r="N201"/>
      <c r="O201"/>
      <c r="P201"/>
      <c r="Q201"/>
      <c r="R201"/>
      <c r="S201"/>
      <c r="T201"/>
      <c r="U201"/>
      <c r="V201" s="103"/>
      <c r="W201" s="105"/>
      <c r="X201"/>
    </row>
    <row r="202" spans="1:24">
      <c r="A202"/>
      <c r="B202" s="108">
        <v>5.3330000000000002E-2</v>
      </c>
      <c r="C202" s="98" t="s">
        <v>114</v>
      </c>
      <c r="D202" s="99">
        <v>208500</v>
      </c>
      <c r="E202" s="108">
        <v>5.3330000000000002E-2</v>
      </c>
      <c r="F202" s="100">
        <f t="shared" si="16"/>
        <v>8529.1654999999992</v>
      </c>
      <c r="G202"/>
      <c r="H202" s="108">
        <v>5.3330000000000002E-2</v>
      </c>
      <c r="I202" s="98" t="s">
        <v>114</v>
      </c>
      <c r="J202" s="99">
        <v>208500</v>
      </c>
      <c r="K202" s="108">
        <v>5.3330000000000002E-2</v>
      </c>
      <c r="L202" s="100">
        <f t="shared" si="17"/>
        <v>8529.1654999999992</v>
      </c>
      <c r="M202"/>
      <c r="N202"/>
      <c r="O202"/>
      <c r="P202"/>
      <c r="Q202"/>
      <c r="R202"/>
      <c r="S202"/>
      <c r="T202"/>
      <c r="U202"/>
      <c r="V202" s="103"/>
      <c r="W202" s="105"/>
      <c r="X202"/>
    </row>
    <row r="203" spans="1:24">
      <c r="A203"/>
      <c r="B203"/>
      <c r="C203"/>
      <c r="D203"/>
      <c r="E203"/>
      <c r="F203"/>
      <c r="G203"/>
      <c r="H203"/>
      <c r="I203"/>
      <c r="J203"/>
      <c r="K203"/>
      <c r="L203"/>
      <c r="M203"/>
      <c r="N203"/>
      <c r="O203" s="102"/>
      <c r="P203"/>
      <c r="Q203" s="102"/>
      <c r="R203" s="102"/>
      <c r="S203"/>
      <c r="T203"/>
      <c r="U203"/>
      <c r="V203" s="103"/>
      <c r="W203" s="105"/>
      <c r="X203"/>
    </row>
    <row r="204" spans="1:24">
      <c r="A204" s="82" t="s">
        <v>158</v>
      </c>
      <c r="B204" s="97">
        <v>5.0000000000000001E-3</v>
      </c>
      <c r="C204" s="98" t="s">
        <v>114</v>
      </c>
      <c r="D204" s="99">
        <v>0</v>
      </c>
      <c r="E204" s="97">
        <v>5.0000000000000001E-3</v>
      </c>
      <c r="F204" s="100">
        <v>0</v>
      </c>
      <c r="G204"/>
      <c r="H204" s="97">
        <v>5.0000000000000001E-3</v>
      </c>
      <c r="I204" s="98" t="s">
        <v>114</v>
      </c>
      <c r="J204" s="99">
        <v>0</v>
      </c>
      <c r="K204" s="97">
        <v>5.0000000000000001E-3</v>
      </c>
      <c r="L204" s="100">
        <v>0</v>
      </c>
      <c r="M204"/>
      <c r="N204" s="102">
        <v>5950</v>
      </c>
      <c r="O204" s="102">
        <v>11900</v>
      </c>
      <c r="P204"/>
      <c r="Q204" s="102">
        <v>1000</v>
      </c>
      <c r="R204" s="102">
        <v>2000</v>
      </c>
      <c r="S204" s="102">
        <v>1000</v>
      </c>
      <c r="T204" s="94">
        <f>(($T$2-N204-Q204)-VLOOKUP(($T$2-N204-Q204),D204:F210,1,1))*VLOOKUP(($T$2-N204-Q204),D204:F210,2,1)+VLOOKUP(($T$2-N204-Q204),D204:F210,3,1)</f>
        <v>2574.875</v>
      </c>
      <c r="U204" s="94">
        <f>(($U$2-O204-R204)-VLOOKUP(($U$2-O204-R204),J204:L210,1,1))*VLOOKUP(($U$2-O204-R204),J204:L210,2,1)+VLOOKUP(($U$2-O204-R204),J204:L210,3,1)</f>
        <v>2027.75</v>
      </c>
      <c r="V204" s="103">
        <v>7</v>
      </c>
      <c r="W204" s="103">
        <v>7</v>
      </c>
      <c r="X204" s="106" t="s">
        <v>192</v>
      </c>
    </row>
    <row r="205" spans="1:24">
      <c r="A205"/>
      <c r="B205" s="97">
        <v>0.01</v>
      </c>
      <c r="C205" s="98" t="s">
        <v>114</v>
      </c>
      <c r="D205" s="99">
        <v>1000</v>
      </c>
      <c r="E205" s="97">
        <v>0.01</v>
      </c>
      <c r="F205" s="100">
        <f t="shared" ref="F205:F210" si="18">E204*(D205-D204)+F204</f>
        <v>5</v>
      </c>
      <c r="G205"/>
      <c r="H205" s="97">
        <v>0.01</v>
      </c>
      <c r="I205" s="98" t="s">
        <v>114</v>
      </c>
      <c r="J205" s="99">
        <v>2000</v>
      </c>
      <c r="K205" s="97">
        <v>0.01</v>
      </c>
      <c r="L205" s="100">
        <f t="shared" ref="L205:L210" si="19">K204*(J205-J204)+L204</f>
        <v>10</v>
      </c>
      <c r="M205"/>
      <c r="N205"/>
      <c r="O205"/>
      <c r="P205"/>
      <c r="Q205"/>
      <c r="R205"/>
      <c r="S205"/>
      <c r="T205"/>
      <c r="U205"/>
      <c r="V205" s="103"/>
      <c r="W205" s="105"/>
      <c r="X205"/>
    </row>
    <row r="206" spans="1:24">
      <c r="A206"/>
      <c r="B206" s="97">
        <v>0.02</v>
      </c>
      <c r="C206" s="98" t="s">
        <v>114</v>
      </c>
      <c r="D206" s="99">
        <v>2500</v>
      </c>
      <c r="E206" s="97">
        <v>0.02</v>
      </c>
      <c r="F206" s="100">
        <f t="shared" si="18"/>
        <v>20</v>
      </c>
      <c r="G206"/>
      <c r="H206" s="97">
        <v>0.02</v>
      </c>
      <c r="I206" s="98" t="s">
        <v>114</v>
      </c>
      <c r="J206" s="99">
        <v>5000</v>
      </c>
      <c r="K206" s="97">
        <v>0.02</v>
      </c>
      <c r="L206" s="100">
        <f t="shared" si="19"/>
        <v>40</v>
      </c>
      <c r="M206"/>
      <c r="N206"/>
      <c r="O206"/>
      <c r="P206"/>
      <c r="Q206"/>
      <c r="R206"/>
      <c r="S206"/>
      <c r="T206"/>
      <c r="U206"/>
      <c r="V206" s="103"/>
      <c r="W206" s="105"/>
      <c r="X206"/>
    </row>
    <row r="207" spans="1:24">
      <c r="A207"/>
      <c r="B207" s="97">
        <v>0.03</v>
      </c>
      <c r="C207" s="98" t="s">
        <v>114</v>
      </c>
      <c r="D207" s="99">
        <v>3750</v>
      </c>
      <c r="E207" s="97">
        <v>0.03</v>
      </c>
      <c r="F207" s="100">
        <f t="shared" si="18"/>
        <v>45</v>
      </c>
      <c r="G207"/>
      <c r="H207" s="97">
        <v>0.03</v>
      </c>
      <c r="I207" s="98" t="s">
        <v>114</v>
      </c>
      <c r="J207" s="99">
        <v>7500</v>
      </c>
      <c r="K207" s="97">
        <v>0.03</v>
      </c>
      <c r="L207" s="100">
        <f t="shared" si="19"/>
        <v>90</v>
      </c>
      <c r="M207"/>
      <c r="N207"/>
      <c r="O207"/>
      <c r="P207"/>
      <c r="Q207"/>
      <c r="R207"/>
      <c r="S207"/>
      <c r="T207"/>
      <c r="U207"/>
      <c r="V207" s="103"/>
      <c r="W207" s="105"/>
      <c r="X207"/>
    </row>
    <row r="208" spans="1:24">
      <c r="A208"/>
      <c r="B208" s="97">
        <v>0.04</v>
      </c>
      <c r="C208" s="98" t="s">
        <v>114</v>
      </c>
      <c r="D208" s="99">
        <v>4900</v>
      </c>
      <c r="E208" s="97">
        <v>0.04</v>
      </c>
      <c r="F208" s="100">
        <f t="shared" si="18"/>
        <v>79.5</v>
      </c>
      <c r="G208"/>
      <c r="H208" s="97">
        <v>0.04</v>
      </c>
      <c r="I208" s="98" t="s">
        <v>114</v>
      </c>
      <c r="J208" s="99">
        <v>9800</v>
      </c>
      <c r="K208" s="97">
        <v>0.04</v>
      </c>
      <c r="L208" s="100">
        <f t="shared" si="19"/>
        <v>159</v>
      </c>
      <c r="M208"/>
      <c r="N208"/>
      <c r="O208"/>
      <c r="P208"/>
      <c r="Q208"/>
      <c r="R208"/>
      <c r="S208"/>
      <c r="T208"/>
      <c r="U208"/>
      <c r="V208" s="103"/>
      <c r="W208" s="105"/>
      <c r="X208"/>
    </row>
    <row r="209" spans="1:24">
      <c r="A209"/>
      <c r="B209" s="97">
        <v>0.05</v>
      </c>
      <c r="C209" s="98" t="s">
        <v>114</v>
      </c>
      <c r="D209" s="99">
        <v>7200</v>
      </c>
      <c r="E209" s="97">
        <v>0.05</v>
      </c>
      <c r="F209" s="100">
        <f t="shared" si="18"/>
        <v>171.5</v>
      </c>
      <c r="G209"/>
      <c r="H209" s="97">
        <v>0.05</v>
      </c>
      <c r="I209" s="98" t="s">
        <v>114</v>
      </c>
      <c r="J209" s="99">
        <v>12200</v>
      </c>
      <c r="K209" s="97">
        <v>0.05</v>
      </c>
      <c r="L209" s="100">
        <f t="shared" si="19"/>
        <v>255</v>
      </c>
      <c r="M209"/>
      <c r="N209"/>
      <c r="O209"/>
      <c r="P209"/>
      <c r="Q209"/>
      <c r="R209"/>
      <c r="S209"/>
      <c r="T209"/>
      <c r="U209"/>
      <c r="V209" s="103"/>
      <c r="W209" s="105"/>
      <c r="X209"/>
    </row>
    <row r="210" spans="1:24">
      <c r="A210"/>
      <c r="B210" s="97">
        <v>5.2499999999999998E-2</v>
      </c>
      <c r="C210" s="98" t="s">
        <v>114</v>
      </c>
      <c r="D210" s="99">
        <v>8700</v>
      </c>
      <c r="E210" s="97">
        <v>5.2499999999999998E-2</v>
      </c>
      <c r="F210" s="100">
        <f t="shared" si="18"/>
        <v>246.5</v>
      </c>
      <c r="G210"/>
      <c r="H210" s="97">
        <v>5.2499999999999998E-2</v>
      </c>
      <c r="I210" s="98" t="s">
        <v>114</v>
      </c>
      <c r="J210" s="99">
        <v>15000</v>
      </c>
      <c r="K210" s="97">
        <v>5.2499999999999998E-2</v>
      </c>
      <c r="L210" s="100">
        <f t="shared" si="19"/>
        <v>395</v>
      </c>
      <c r="M210"/>
      <c r="N210"/>
      <c r="O210"/>
      <c r="P210"/>
      <c r="Q210"/>
      <c r="R210"/>
      <c r="S210"/>
      <c r="T210"/>
      <c r="U210"/>
      <c r="V210" s="103"/>
      <c r="W210" s="105"/>
      <c r="X210"/>
    </row>
    <row r="211" spans="1:24">
      <c r="A211"/>
      <c r="B211"/>
      <c r="C211"/>
      <c r="D211"/>
      <c r="E211"/>
      <c r="F211" s="100"/>
      <c r="G211"/>
      <c r="H211"/>
      <c r="I211"/>
      <c r="J211"/>
      <c r="K211"/>
      <c r="L211" s="100"/>
      <c r="M211"/>
      <c r="N211"/>
      <c r="O211" s="102"/>
      <c r="P211"/>
      <c r="Q211" s="102"/>
      <c r="R211" s="102"/>
      <c r="S211"/>
      <c r="T211"/>
      <c r="U211"/>
      <c r="V211" s="103"/>
      <c r="W211" s="105"/>
      <c r="X211"/>
    </row>
    <row r="212" spans="1:24">
      <c r="A212" s="82" t="s">
        <v>159</v>
      </c>
      <c r="B212" s="97">
        <v>0.05</v>
      </c>
      <c r="C212" s="98" t="s">
        <v>114</v>
      </c>
      <c r="D212" s="99">
        <v>0</v>
      </c>
      <c r="E212" s="97">
        <v>0.05</v>
      </c>
      <c r="F212" s="100">
        <v>0</v>
      </c>
      <c r="G212"/>
      <c r="H212" s="97">
        <v>0.05</v>
      </c>
      <c r="I212" s="98" t="s">
        <v>114</v>
      </c>
      <c r="J212" s="99">
        <v>0</v>
      </c>
      <c r="K212" s="97">
        <v>0.05</v>
      </c>
      <c r="L212" s="100">
        <v>0</v>
      </c>
      <c r="M212"/>
      <c r="N212" s="102">
        <v>2145</v>
      </c>
      <c r="O212" s="102">
        <v>4295</v>
      </c>
      <c r="P212"/>
      <c r="Q212" s="102">
        <v>194</v>
      </c>
      <c r="R212" s="102">
        <v>388</v>
      </c>
      <c r="S212" s="102">
        <v>194</v>
      </c>
      <c r="T212" s="94">
        <f>(($T$2-N212-Q212)-VLOOKUP(($T$2-N212-Q212),D212:F215,1,1))*VLOOKUP(($T$2-N212-Q212),D212:F215,2,1)+VLOOKUP(($T$2-N212-Q212),D212:F215,3,1)</f>
        <v>4954.49</v>
      </c>
      <c r="U212" s="94">
        <f>(($U$2-O212-R212)-VLOOKUP(($U$2-O212-R212),J212:L215,1,1))*VLOOKUP(($U$2-O212-R212),J212:L215,2,1)+VLOOKUP(($U$2-O212-R212),J212:L215,3,1)</f>
        <v>4508.53</v>
      </c>
      <c r="V212" s="103">
        <v>4</v>
      </c>
      <c r="W212" s="105">
        <v>4</v>
      </c>
      <c r="X212" s="106" t="s">
        <v>193</v>
      </c>
    </row>
    <row r="213" spans="1:24">
      <c r="A213"/>
      <c r="B213" s="97">
        <v>7.0000000000000007E-2</v>
      </c>
      <c r="C213" s="98" t="s">
        <v>114</v>
      </c>
      <c r="D213" s="99">
        <v>3350</v>
      </c>
      <c r="E213" s="97">
        <v>7.0000000000000007E-2</v>
      </c>
      <c r="F213" s="100">
        <f>E212*(D213-D212)+F212</f>
        <v>167.5</v>
      </c>
      <c r="G213"/>
      <c r="H213" s="97">
        <v>7.0000000000000007E-2</v>
      </c>
      <c r="I213" s="98" t="s">
        <v>114</v>
      </c>
      <c r="J213" s="99">
        <v>6700</v>
      </c>
      <c r="K213" s="97">
        <v>7.0000000000000007E-2</v>
      </c>
      <c r="L213" s="100">
        <f>K212*(J213-J212)+L212</f>
        <v>335</v>
      </c>
      <c r="M213"/>
      <c r="N213"/>
      <c r="O213"/>
      <c r="P213"/>
      <c r="Q213"/>
      <c r="R213"/>
      <c r="S213"/>
      <c r="T213"/>
      <c r="U213"/>
      <c r="V213" s="103"/>
      <c r="W213" s="105"/>
      <c r="X213"/>
    </row>
    <row r="214" spans="1:24">
      <c r="A214"/>
      <c r="B214" s="97">
        <v>0.09</v>
      </c>
      <c r="C214" s="98" t="s">
        <v>114</v>
      </c>
      <c r="D214" s="99">
        <v>8400</v>
      </c>
      <c r="E214" s="97">
        <v>0.09</v>
      </c>
      <c r="F214" s="100">
        <f>E213*(D214-D213)+F213</f>
        <v>521</v>
      </c>
      <c r="G214"/>
      <c r="H214" s="97">
        <v>0.09</v>
      </c>
      <c r="I214" s="98" t="s">
        <v>114</v>
      </c>
      <c r="J214" s="99">
        <v>16800</v>
      </c>
      <c r="K214" s="97">
        <v>0.09</v>
      </c>
      <c r="L214" s="100">
        <f>K213*(J214-J213)+L213</f>
        <v>1042</v>
      </c>
      <c r="M214"/>
      <c r="N214"/>
      <c r="O214"/>
      <c r="P214"/>
      <c r="Q214"/>
      <c r="R214"/>
      <c r="S214"/>
      <c r="T214"/>
      <c r="U214"/>
      <c r="V214" s="103"/>
      <c r="W214" s="105"/>
      <c r="X214"/>
    </row>
    <row r="215" spans="1:24">
      <c r="A215"/>
      <c r="B215" s="97">
        <v>9.9000000000000005E-2</v>
      </c>
      <c r="C215" s="98" t="s">
        <v>114</v>
      </c>
      <c r="D215" s="99">
        <v>125000</v>
      </c>
      <c r="E215" s="97">
        <v>9.9000000000000005E-2</v>
      </c>
      <c r="F215" s="100">
        <f>E214*(D215-D214)+F214</f>
        <v>11015</v>
      </c>
      <c r="G215"/>
      <c r="H215" s="97">
        <v>9.9000000000000005E-2</v>
      </c>
      <c r="I215" s="98" t="s">
        <v>114</v>
      </c>
      <c r="J215" s="99">
        <v>250000</v>
      </c>
      <c r="K215" s="97">
        <v>9.9000000000000005E-2</v>
      </c>
      <c r="L215" s="100">
        <f>K214*(J215-J214)+L214</f>
        <v>22030</v>
      </c>
      <c r="M215"/>
      <c r="N215"/>
      <c r="O215"/>
      <c r="P215"/>
      <c r="Q215"/>
      <c r="R215"/>
      <c r="S215"/>
      <c r="T215"/>
      <c r="U215"/>
      <c r="V215" s="103"/>
      <c r="W215" s="105"/>
      <c r="X215"/>
    </row>
    <row r="216" spans="1:24">
      <c r="A216"/>
      <c r="B216"/>
      <c r="C216"/>
      <c r="D216"/>
      <c r="E216"/>
      <c r="F216"/>
      <c r="G216"/>
      <c r="H216"/>
      <c r="I216"/>
      <c r="J216"/>
      <c r="K216"/>
      <c r="L216"/>
      <c r="M216"/>
      <c r="N216"/>
      <c r="O216" s="102"/>
      <c r="P216"/>
      <c r="Q216" s="102"/>
      <c r="R216" s="102"/>
      <c r="S216"/>
      <c r="T216"/>
      <c r="U216"/>
      <c r="V216" s="103"/>
      <c r="W216" s="105"/>
      <c r="X216"/>
    </row>
    <row r="217" spans="1:24">
      <c r="A217" s="82" t="s">
        <v>160</v>
      </c>
      <c r="B217" s="97">
        <v>3.0700000000000002E-2</v>
      </c>
      <c r="C217" s="98" t="s">
        <v>114</v>
      </c>
      <c r="D217" s="99">
        <v>0</v>
      </c>
      <c r="E217" s="97">
        <v>3.0700000000000002E-2</v>
      </c>
      <c r="F217"/>
      <c r="G217"/>
      <c r="H217" s="97">
        <v>3.0700000000000002E-2</v>
      </c>
      <c r="I217" s="98" t="s">
        <v>114</v>
      </c>
      <c r="J217" s="99">
        <v>0</v>
      </c>
      <c r="K217" s="97">
        <v>3.0700000000000002E-2</v>
      </c>
      <c r="L217"/>
      <c r="M217"/>
      <c r="N217" s="102">
        <v>0</v>
      </c>
      <c r="O217" s="102">
        <v>0</v>
      </c>
      <c r="P217" s="102"/>
      <c r="Q217" s="102">
        <v>0</v>
      </c>
      <c r="R217" s="102">
        <v>0</v>
      </c>
      <c r="S217" s="102">
        <v>0</v>
      </c>
      <c r="T217" s="94">
        <f>($T$2-N217-Q217)*0.0307</f>
        <v>1842</v>
      </c>
      <c r="U217" s="94">
        <f>($U$2-O217-R217)*0.0307</f>
        <v>1842</v>
      </c>
      <c r="V217" s="103">
        <v>1</v>
      </c>
      <c r="W217" s="105">
        <v>1</v>
      </c>
      <c r="X217"/>
    </row>
    <row r="218" spans="1:24">
      <c r="A218"/>
      <c r="B218"/>
      <c r="C218"/>
      <c r="D218"/>
      <c r="E218"/>
      <c r="F218"/>
      <c r="G218"/>
      <c r="H218"/>
      <c r="I218"/>
      <c r="J218"/>
      <c r="K218"/>
      <c r="L218"/>
      <c r="M218"/>
      <c r="N218"/>
      <c r="O218" s="102"/>
      <c r="P218"/>
      <c r="Q218" s="102"/>
      <c r="R218" s="102"/>
      <c r="S218"/>
      <c r="T218"/>
      <c r="U218"/>
      <c r="V218" s="103"/>
      <c r="W218" s="105"/>
      <c r="X218"/>
    </row>
    <row r="219" spans="1:24">
      <c r="A219" s="82" t="s">
        <v>161</v>
      </c>
      <c r="B219" s="97">
        <v>3.7499999999999999E-2</v>
      </c>
      <c r="C219" s="98" t="s">
        <v>114</v>
      </c>
      <c r="D219" s="99">
        <v>0</v>
      </c>
      <c r="E219" s="97">
        <v>3.7499999999999999E-2</v>
      </c>
      <c r="F219" s="100">
        <v>0</v>
      </c>
      <c r="G219"/>
      <c r="H219" s="97">
        <v>3.7499999999999999E-2</v>
      </c>
      <c r="I219" s="98" t="s">
        <v>114</v>
      </c>
      <c r="J219" s="99">
        <v>0</v>
      </c>
      <c r="K219" s="97">
        <v>3.7499999999999999E-2</v>
      </c>
      <c r="L219" s="100">
        <v>0</v>
      </c>
      <c r="M219"/>
      <c r="N219" s="102">
        <v>8275</v>
      </c>
      <c r="O219" s="102">
        <v>16550</v>
      </c>
      <c r="P219"/>
      <c r="Q219" s="102">
        <v>3850</v>
      </c>
      <c r="R219" s="102">
        <v>7700</v>
      </c>
      <c r="S219" s="102">
        <v>3850</v>
      </c>
      <c r="T219" s="94">
        <f>(($T$2-N219-Q219)-VLOOKUP(($T$2-N219-Q219),D219:F221,1,1))*VLOOKUP(($T$2-N219-Q219),D219:F221,2,1)+VLOOKUP(($T$2-N219-Q219),D219:F221,3,1)</f>
        <v>1795.3125</v>
      </c>
      <c r="U219" s="94">
        <f>(($U$2-O219-R219)-VLOOKUP(($U$2-O219-R219),J219:L221,1,1))*VLOOKUP(($U$2-O219-R219),J219:L221,2,1)+VLOOKUP(($U$2-O219-R219),J219:L221,3,1)</f>
        <v>1340.625</v>
      </c>
      <c r="V219" s="103">
        <v>3</v>
      </c>
      <c r="W219" s="103">
        <v>3</v>
      </c>
      <c r="X219" s="106" t="s">
        <v>194</v>
      </c>
    </row>
    <row r="220" spans="1:24">
      <c r="A220"/>
      <c r="B220" s="97">
        <v>4.7500000000000001E-2</v>
      </c>
      <c r="C220" s="98" t="s">
        <v>114</v>
      </c>
      <c r="D220" s="99">
        <v>60500</v>
      </c>
      <c r="E220" s="97">
        <v>4.7500000000000001E-2</v>
      </c>
      <c r="F220" s="100">
        <f>E219*(D220-D219)+F219</f>
        <v>2268.75</v>
      </c>
      <c r="G220"/>
      <c r="H220" s="97">
        <v>4.7500000000000001E-2</v>
      </c>
      <c r="I220" s="98" t="s">
        <v>114</v>
      </c>
      <c r="J220" s="99">
        <v>60500</v>
      </c>
      <c r="K220" s="97">
        <v>4.7500000000000001E-2</v>
      </c>
      <c r="L220" s="100">
        <f>K219*(J220-J219)+L219</f>
        <v>2268.75</v>
      </c>
      <c r="M220"/>
      <c r="N220"/>
      <c r="O220"/>
      <c r="P220"/>
      <c r="Q220"/>
      <c r="R220"/>
      <c r="S220"/>
      <c r="T220"/>
      <c r="U220"/>
      <c r="V220" s="103"/>
      <c r="W220" s="105"/>
      <c r="X220"/>
    </row>
    <row r="221" spans="1:24">
      <c r="A221"/>
      <c r="B221" s="97">
        <v>5.9900000000000002E-2</v>
      </c>
      <c r="C221" s="98" t="s">
        <v>114</v>
      </c>
      <c r="D221" s="99">
        <v>137650</v>
      </c>
      <c r="E221" s="97">
        <v>5.9900000000000002E-2</v>
      </c>
      <c r="F221" s="100">
        <f>E220*(D221-D220)+F220</f>
        <v>5933.375</v>
      </c>
      <c r="G221"/>
      <c r="H221" s="97">
        <v>5.9900000000000002E-2</v>
      </c>
      <c r="I221" s="98" t="s">
        <v>114</v>
      </c>
      <c r="J221" s="99">
        <v>137650</v>
      </c>
      <c r="K221" s="97">
        <v>5.9900000000000002E-2</v>
      </c>
      <c r="L221" s="100">
        <f>K220*(J221-J220)+L220</f>
        <v>5933.375</v>
      </c>
      <c r="M221"/>
      <c r="N221"/>
      <c r="O221"/>
      <c r="P221"/>
      <c r="Q221"/>
      <c r="R221"/>
      <c r="S221"/>
      <c r="T221"/>
      <c r="U221"/>
      <c r="V221" s="103"/>
      <c r="W221" s="105"/>
      <c r="X221"/>
    </row>
    <row r="222" spans="1:24">
      <c r="A222"/>
      <c r="B222"/>
      <c r="C222"/>
      <c r="D222"/>
      <c r="E222"/>
      <c r="F222" s="100"/>
      <c r="G222"/>
      <c r="H222"/>
      <c r="I222"/>
      <c r="J222"/>
      <c r="K222"/>
      <c r="L222" s="100"/>
      <c r="M222"/>
      <c r="N222"/>
      <c r="O222" s="102"/>
      <c r="P222"/>
      <c r="Q222" s="102"/>
      <c r="R222" s="102"/>
      <c r="S222"/>
      <c r="T222"/>
      <c r="U222"/>
      <c r="V222" s="103"/>
      <c r="W222" s="105"/>
      <c r="X222"/>
    </row>
    <row r="223" spans="1:24">
      <c r="A223" s="82" t="s">
        <v>163</v>
      </c>
      <c r="B223" s="97">
        <v>0</v>
      </c>
      <c r="C223" s="98" t="s">
        <v>114</v>
      </c>
      <c r="D223" s="99">
        <v>0</v>
      </c>
      <c r="E223" s="97">
        <v>0</v>
      </c>
      <c r="F223" s="100">
        <v>0</v>
      </c>
      <c r="G223"/>
      <c r="H223" s="97">
        <v>0</v>
      </c>
      <c r="I223" s="98" t="s">
        <v>114</v>
      </c>
      <c r="J223" s="99">
        <v>0</v>
      </c>
      <c r="K223" s="97">
        <v>0</v>
      </c>
      <c r="L223" s="100">
        <v>0</v>
      </c>
      <c r="M223"/>
      <c r="N223" s="102">
        <v>6300</v>
      </c>
      <c r="O223" s="102">
        <v>12600</v>
      </c>
      <c r="P223"/>
      <c r="Q223" s="102">
        <v>4000</v>
      </c>
      <c r="R223" s="102">
        <v>8000</v>
      </c>
      <c r="S223" s="102">
        <v>4000</v>
      </c>
      <c r="T223" s="94">
        <f>(($T$2-N223-Q223)-VLOOKUP(($T$2-N223-Q223),D223:F228,1,1))*VLOOKUP(($T$2-N223-Q223),D223:F228,2,1)+VLOOKUP(($T$2-N223-Q223),D223:F228,3,1)</f>
        <v>2989.4000000000005</v>
      </c>
      <c r="U223" s="94">
        <f>(($U$2-O223-R223)-VLOOKUP(($U$2-O223-R223),J223:L228,1,1))*VLOOKUP(($U$2-O223-R223),J223:L228,2,1)+VLOOKUP(($U$2-O223-R223),J223:L228,3,1)</f>
        <v>2268.4</v>
      </c>
      <c r="V223" s="103">
        <v>6</v>
      </c>
      <c r="W223" s="103">
        <v>6</v>
      </c>
      <c r="X223" s="106" t="s">
        <v>175</v>
      </c>
    </row>
    <row r="224" spans="1:24">
      <c r="A224"/>
      <c r="B224" s="97">
        <v>0.03</v>
      </c>
      <c r="C224" s="98" t="s">
        <v>114</v>
      </c>
      <c r="D224" s="99">
        <v>2880</v>
      </c>
      <c r="E224" s="97">
        <v>0.03</v>
      </c>
      <c r="F224" s="100">
        <f>E223*(D224-D223)+F223</f>
        <v>0</v>
      </c>
      <c r="G224"/>
      <c r="H224" s="97">
        <v>0.03</v>
      </c>
      <c r="I224" s="98" t="s">
        <v>114</v>
      </c>
      <c r="J224" s="99">
        <v>2880</v>
      </c>
      <c r="K224" s="97">
        <v>0.03</v>
      </c>
      <c r="L224" s="100">
        <f>K223*(J224-J223)+L223</f>
        <v>0</v>
      </c>
      <c r="M224"/>
      <c r="N224"/>
      <c r="O224"/>
      <c r="P224"/>
      <c r="Q224"/>
      <c r="R224"/>
      <c r="S224"/>
      <c r="T224"/>
      <c r="U224"/>
      <c r="V224" s="103"/>
      <c r="W224" s="105"/>
      <c r="X224"/>
    </row>
    <row r="225" spans="1:24">
      <c r="A225"/>
      <c r="B225" s="97">
        <v>0.04</v>
      </c>
      <c r="C225" s="98" t="s">
        <v>114</v>
      </c>
      <c r="D225" s="99">
        <v>5760</v>
      </c>
      <c r="E225" s="97">
        <v>0.04</v>
      </c>
      <c r="F225" s="100">
        <f>E224*(D225-D224)+F224</f>
        <v>86.399999999999991</v>
      </c>
      <c r="G225"/>
      <c r="H225" s="97">
        <v>0.04</v>
      </c>
      <c r="I225" s="98" t="s">
        <v>114</v>
      </c>
      <c r="J225" s="99">
        <v>5760</v>
      </c>
      <c r="K225" s="97">
        <v>0.04</v>
      </c>
      <c r="L225" s="100">
        <f>K224*(J225-J224)+L224</f>
        <v>86.399999999999991</v>
      </c>
      <c r="M225"/>
      <c r="N225"/>
      <c r="O225"/>
      <c r="P225"/>
      <c r="Q225"/>
      <c r="R225"/>
      <c r="S225"/>
      <c r="T225"/>
      <c r="U225"/>
      <c r="V225" s="103"/>
      <c r="W225" s="105"/>
      <c r="X225"/>
    </row>
    <row r="226" spans="1:24">
      <c r="A226"/>
      <c r="B226" s="97">
        <v>0.05</v>
      </c>
      <c r="C226" s="98" t="s">
        <v>114</v>
      </c>
      <c r="D226" s="99">
        <v>8640</v>
      </c>
      <c r="E226" s="97">
        <v>0.05</v>
      </c>
      <c r="F226" s="100">
        <f>E225*(D226-D225)+F225</f>
        <v>201.6</v>
      </c>
      <c r="G226"/>
      <c r="H226" s="97">
        <v>0.05</v>
      </c>
      <c r="I226" s="98" t="s">
        <v>114</v>
      </c>
      <c r="J226" s="99">
        <v>8640</v>
      </c>
      <c r="K226" s="97">
        <v>0.05</v>
      </c>
      <c r="L226" s="100">
        <f>K225*(J226-J225)+L225</f>
        <v>201.6</v>
      </c>
      <c r="M226"/>
      <c r="N226"/>
      <c r="O226"/>
      <c r="P226"/>
      <c r="Q226"/>
      <c r="R226"/>
      <c r="S226"/>
      <c r="T226"/>
      <c r="U226"/>
      <c r="V226" s="103"/>
      <c r="W226" s="105"/>
      <c r="X226"/>
    </row>
    <row r="227" spans="1:24">
      <c r="A227"/>
      <c r="B227" s="97">
        <v>0.06</v>
      </c>
      <c r="C227" s="98" t="s">
        <v>114</v>
      </c>
      <c r="D227" s="99">
        <v>11520</v>
      </c>
      <c r="E227" s="97">
        <v>0.06</v>
      </c>
      <c r="F227" s="100">
        <f>E226*(D227-D226)+F226</f>
        <v>345.6</v>
      </c>
      <c r="G227"/>
      <c r="H227" s="97">
        <v>0.06</v>
      </c>
      <c r="I227" s="98" t="s">
        <v>114</v>
      </c>
      <c r="J227" s="99">
        <v>11520</v>
      </c>
      <c r="K227" s="97">
        <v>0.06</v>
      </c>
      <c r="L227" s="100">
        <f>K226*(J227-J226)+L226</f>
        <v>345.6</v>
      </c>
      <c r="M227"/>
      <c r="N227"/>
      <c r="O227"/>
      <c r="P227"/>
      <c r="Q227"/>
      <c r="R227"/>
      <c r="S227"/>
      <c r="T227"/>
      <c r="U227"/>
      <c r="V227" s="103"/>
      <c r="W227" s="105"/>
      <c r="X227"/>
    </row>
    <row r="228" spans="1:24">
      <c r="A228"/>
      <c r="B228" s="97">
        <v>7.0000000000000007E-2</v>
      </c>
      <c r="C228" s="98" t="s">
        <v>114</v>
      </c>
      <c r="D228" s="99">
        <v>14400</v>
      </c>
      <c r="E228" s="97">
        <v>7.0000000000000007E-2</v>
      </c>
      <c r="F228" s="100">
        <f>E227*(D228-D227)+F227</f>
        <v>518.4</v>
      </c>
      <c r="G228"/>
      <c r="H228" s="97">
        <v>7.0000000000000007E-2</v>
      </c>
      <c r="I228" s="98" t="s">
        <v>114</v>
      </c>
      <c r="J228" s="99">
        <v>14400</v>
      </c>
      <c r="K228" s="97">
        <v>7.0000000000000007E-2</v>
      </c>
      <c r="L228" s="100">
        <f>K227*(J228-J227)+L227</f>
        <v>518.4</v>
      </c>
      <c r="M228"/>
      <c r="N228"/>
      <c r="O228"/>
      <c r="P228"/>
      <c r="Q228"/>
      <c r="R228"/>
      <c r="S228"/>
      <c r="T228"/>
      <c r="U228"/>
      <c r="V228" s="103"/>
      <c r="W228" s="105"/>
      <c r="X228"/>
    </row>
    <row r="229" spans="1:24">
      <c r="A229"/>
      <c r="B229"/>
      <c r="C229"/>
      <c r="D229"/>
      <c r="E229"/>
      <c r="F229"/>
      <c r="G229"/>
      <c r="H229"/>
      <c r="I229"/>
      <c r="J229"/>
      <c r="K229"/>
      <c r="L229"/>
      <c r="M229"/>
      <c r="N229"/>
      <c r="O229" s="102"/>
      <c r="P229"/>
      <c r="Q229" s="102"/>
      <c r="R229" s="102"/>
      <c r="S229"/>
      <c r="T229"/>
      <c r="U229"/>
      <c r="V229" s="103"/>
      <c r="W229" s="105"/>
      <c r="X229"/>
    </row>
    <row r="230" spans="1:24">
      <c r="A230" s="82" t="s">
        <v>164</v>
      </c>
      <c r="B230" s="178" t="s">
        <v>119</v>
      </c>
      <c r="C230" s="178"/>
      <c r="D230" s="178"/>
      <c r="E230" s="98"/>
      <c r="F230" s="105"/>
      <c r="G230" s="101"/>
      <c r="H230" s="178" t="s">
        <v>119</v>
      </c>
      <c r="I230" s="178"/>
      <c r="J230" s="178"/>
      <c r="K230" s="98"/>
      <c r="L230" s="105"/>
      <c r="M230" s="101"/>
      <c r="N230" s="102">
        <v>0</v>
      </c>
      <c r="O230" s="102">
        <v>0</v>
      </c>
      <c r="P230" s="102"/>
      <c r="Q230" s="102">
        <v>0</v>
      </c>
      <c r="R230" s="102">
        <v>0</v>
      </c>
      <c r="S230" s="102">
        <v>0</v>
      </c>
      <c r="T230" s="94">
        <v>0</v>
      </c>
      <c r="U230" s="94">
        <v>0</v>
      </c>
      <c r="V230" s="103"/>
      <c r="W230" s="105"/>
      <c r="X230"/>
    </row>
    <row r="231" spans="1:24">
      <c r="A231"/>
      <c r="B231"/>
      <c r="C231"/>
      <c r="D231"/>
      <c r="E231"/>
      <c r="F231"/>
      <c r="G231"/>
      <c r="H231"/>
      <c r="I231"/>
      <c r="J231"/>
      <c r="K231"/>
      <c r="L231"/>
      <c r="M231"/>
      <c r="N231"/>
      <c r="O231" s="102"/>
      <c r="P231"/>
      <c r="Q231" s="102"/>
      <c r="R231" s="102"/>
      <c r="S231"/>
      <c r="T231"/>
      <c r="U231"/>
      <c r="V231" s="103"/>
      <c r="W231" s="105"/>
      <c r="X231"/>
    </row>
    <row r="232" spans="1:24">
      <c r="A232" s="82" t="s">
        <v>165</v>
      </c>
      <c r="B232" s="97">
        <v>0.06</v>
      </c>
      <c r="C232" s="98" t="s">
        <v>114</v>
      </c>
      <c r="D232" s="99">
        <v>0</v>
      </c>
      <c r="E232" s="97">
        <v>0.06</v>
      </c>
      <c r="F232"/>
      <c r="G232"/>
      <c r="H232" s="97">
        <v>0.06</v>
      </c>
      <c r="I232" s="98" t="s">
        <v>114</v>
      </c>
      <c r="J232" s="99">
        <v>0</v>
      </c>
      <c r="K232" s="97">
        <v>0.06</v>
      </c>
      <c r="L232"/>
      <c r="M232"/>
      <c r="N232" s="102">
        <v>0</v>
      </c>
      <c r="O232" s="102">
        <v>0</v>
      </c>
      <c r="P232"/>
      <c r="Q232" s="102">
        <v>1250</v>
      </c>
      <c r="R232" s="102">
        <v>2500</v>
      </c>
      <c r="S232" s="102">
        <v>0</v>
      </c>
      <c r="T232" s="94">
        <f>($T$2-N232-Q232)*0.06</f>
        <v>3525</v>
      </c>
      <c r="U232" s="94">
        <f>($U$2-O232-R232)*0.06</f>
        <v>3450</v>
      </c>
      <c r="V232" s="103">
        <v>1</v>
      </c>
      <c r="W232" s="105">
        <v>1</v>
      </c>
      <c r="X232"/>
    </row>
    <row r="233" spans="1:24">
      <c r="A233"/>
      <c r="B233"/>
      <c r="C233"/>
      <c r="D233"/>
      <c r="E233"/>
      <c r="F233"/>
      <c r="G233"/>
      <c r="H233"/>
      <c r="I233"/>
      <c r="J233"/>
      <c r="K233"/>
      <c r="L233"/>
      <c r="M233"/>
      <c r="N233"/>
      <c r="O233" s="102"/>
      <c r="P233"/>
      <c r="Q233" s="102"/>
      <c r="R233" s="102"/>
      <c r="S233"/>
      <c r="T233"/>
      <c r="U233"/>
      <c r="V233" s="103"/>
      <c r="W233" s="105"/>
      <c r="X233"/>
    </row>
    <row r="234" spans="1:24">
      <c r="A234" s="82" t="s">
        <v>166</v>
      </c>
      <c r="B234" s="178" t="s">
        <v>119</v>
      </c>
      <c r="C234" s="178"/>
      <c r="D234" s="178"/>
      <c r="E234" s="98"/>
      <c r="F234" s="105"/>
      <c r="G234" s="101"/>
      <c r="H234" s="178" t="s">
        <v>119</v>
      </c>
      <c r="I234" s="178"/>
      <c r="J234" s="178"/>
      <c r="K234" s="98"/>
      <c r="L234" s="105"/>
      <c r="M234" s="101"/>
      <c r="N234" s="102">
        <v>0</v>
      </c>
      <c r="O234" s="102">
        <v>0</v>
      </c>
      <c r="P234" s="102"/>
      <c r="Q234" s="102">
        <v>0</v>
      </c>
      <c r="R234" s="102">
        <v>0</v>
      </c>
      <c r="S234" s="102">
        <v>0</v>
      </c>
      <c r="T234" s="94">
        <v>0</v>
      </c>
      <c r="U234" s="94">
        <v>0</v>
      </c>
      <c r="V234" s="103"/>
      <c r="W234" s="105"/>
      <c r="X234"/>
    </row>
    <row r="235" spans="1:24">
      <c r="A235"/>
      <c r="B235"/>
      <c r="C235"/>
      <c r="D235"/>
      <c r="E235"/>
      <c r="F235"/>
      <c r="G235"/>
      <c r="H235"/>
      <c r="I235"/>
      <c r="J235"/>
      <c r="K235"/>
      <c r="L235"/>
      <c r="M235"/>
      <c r="N235"/>
      <c r="O235" s="102"/>
      <c r="P235"/>
      <c r="Q235" s="102"/>
      <c r="R235" s="102"/>
      <c r="S235"/>
      <c r="T235"/>
      <c r="U235"/>
      <c r="V235" s="103"/>
      <c r="W235" s="105"/>
      <c r="X235"/>
    </row>
    <row r="236" spans="1:24">
      <c r="A236" s="82" t="s">
        <v>167</v>
      </c>
      <c r="B236" s="97">
        <v>0.05</v>
      </c>
      <c r="C236" s="98" t="s">
        <v>114</v>
      </c>
      <c r="D236" s="99">
        <v>0</v>
      </c>
      <c r="E236" s="97">
        <v>0.05</v>
      </c>
      <c r="F236"/>
      <c r="G236"/>
      <c r="H236" s="97">
        <v>0.05</v>
      </c>
      <c r="I236" s="98" t="s">
        <v>114</v>
      </c>
      <c r="J236" s="99">
        <v>0</v>
      </c>
      <c r="K236" s="97">
        <v>0.05</v>
      </c>
      <c r="L236"/>
      <c r="M236"/>
      <c r="N236" s="109">
        <f>6300*1.2</f>
        <v>7560</v>
      </c>
      <c r="O236" s="109">
        <f>12600*1.2</f>
        <v>15120</v>
      </c>
      <c r="P236"/>
      <c r="Q236" s="102">
        <v>3000</v>
      </c>
      <c r="R236" s="102">
        <v>6000</v>
      </c>
      <c r="S236" s="102">
        <v>3000</v>
      </c>
      <c r="T236" s="94">
        <f>($T$2-N236-Q236)*0.05</f>
        <v>2472</v>
      </c>
      <c r="U236" s="94">
        <f>($U$2-O236-R236)*0.05</f>
        <v>1944</v>
      </c>
      <c r="V236" s="103">
        <v>1</v>
      </c>
      <c r="W236" s="105">
        <v>1</v>
      </c>
      <c r="X236"/>
    </row>
    <row r="237" spans="1:24">
      <c r="A237"/>
      <c r="B237"/>
      <c r="C237"/>
      <c r="D237"/>
      <c r="E237"/>
      <c r="F237"/>
      <c r="G237"/>
      <c r="H237"/>
      <c r="I237"/>
      <c r="J237"/>
      <c r="K237"/>
      <c r="L237"/>
      <c r="M237"/>
      <c r="N237"/>
      <c r="O237" s="102"/>
      <c r="P237"/>
      <c r="Q237" s="102"/>
      <c r="R237" s="102"/>
      <c r="S237"/>
      <c r="T237"/>
      <c r="U237"/>
      <c r="V237" s="103"/>
      <c r="W237" s="105"/>
      <c r="X237"/>
    </row>
    <row r="238" spans="1:24">
      <c r="A238" s="82" t="s">
        <v>169</v>
      </c>
      <c r="B238" s="97">
        <v>3.5499999999999997E-2</v>
      </c>
      <c r="C238" s="98" t="s">
        <v>114</v>
      </c>
      <c r="D238" s="99">
        <v>0</v>
      </c>
      <c r="E238" s="97">
        <v>3.5499999999999997E-2</v>
      </c>
      <c r="F238" s="100">
        <v>0</v>
      </c>
      <c r="G238"/>
      <c r="H238" s="97">
        <v>3.5499999999999997E-2</v>
      </c>
      <c r="I238" s="98" t="s">
        <v>114</v>
      </c>
      <c r="J238" s="99">
        <v>0</v>
      </c>
      <c r="K238" s="97">
        <v>3.5499999999999997E-2</v>
      </c>
      <c r="L238" s="100">
        <v>0</v>
      </c>
      <c r="M238"/>
      <c r="N238" s="102">
        <v>6300</v>
      </c>
      <c r="O238" s="102">
        <v>12600</v>
      </c>
      <c r="P238"/>
      <c r="Q238" s="102">
        <v>4000</v>
      </c>
      <c r="R238" s="102">
        <v>4000</v>
      </c>
      <c r="S238" s="102">
        <v>4000</v>
      </c>
      <c r="T238" s="94">
        <f>(($T$2-N238-Q238)-VLOOKUP(($T$2-N238-Q238),D238:F242,1,1))*VLOOKUP(($T$2-N238-Q238),D238:F242,2,1)+VLOOKUP(($T$2-N238-Q238),D238:F242,3,1)</f>
        <v>2162.4749999999999</v>
      </c>
      <c r="U238" s="94">
        <f>(($U$2-O238-R238)-VLOOKUP(($U$2-O238-R238),J238:L242,1,1))*VLOOKUP(($U$2-O238-R238),J238:L242,2,1)+VLOOKUP(($U$2-O238-R238),J238:L242,3,1)</f>
        <v>1540.6999999999998</v>
      </c>
      <c r="V238" s="103">
        <v>5</v>
      </c>
      <c r="W238" s="103">
        <v>5</v>
      </c>
      <c r="X238" s="106" t="s">
        <v>195</v>
      </c>
    </row>
    <row r="239" spans="1:24">
      <c r="A239"/>
      <c r="B239" s="97">
        <v>6.8000000000000005E-2</v>
      </c>
      <c r="C239" s="98" t="s">
        <v>114</v>
      </c>
      <c r="D239" s="99">
        <v>37450</v>
      </c>
      <c r="E239" s="97">
        <v>6.8000000000000005E-2</v>
      </c>
      <c r="F239" s="100">
        <f>E238*(D239-D238)+F238</f>
        <v>1329.4749999999999</v>
      </c>
      <c r="G239"/>
      <c r="H239" s="97">
        <v>6.8000000000000005E-2</v>
      </c>
      <c r="I239" s="98" t="s">
        <v>114</v>
      </c>
      <c r="J239" s="99">
        <v>62600</v>
      </c>
      <c r="K239" s="97">
        <v>6.8000000000000005E-2</v>
      </c>
      <c r="L239" s="100">
        <f>K238*(J239-J238)+L238</f>
        <v>2222.2999999999997</v>
      </c>
      <c r="M239"/>
      <c r="N239"/>
      <c r="O239"/>
      <c r="P239"/>
      <c r="Q239"/>
      <c r="R239"/>
      <c r="S239"/>
      <c r="T239"/>
      <c r="U239"/>
      <c r="V239" s="103"/>
      <c r="W239" s="105"/>
      <c r="X239"/>
    </row>
    <row r="240" spans="1:24">
      <c r="A240"/>
      <c r="B240" s="97">
        <v>7.8E-2</v>
      </c>
      <c r="C240" s="98" t="s">
        <v>114</v>
      </c>
      <c r="D240" s="99">
        <v>90750</v>
      </c>
      <c r="E240" s="97">
        <v>7.8E-2</v>
      </c>
      <c r="F240" s="100">
        <f>E239*(D240-D239)+F239</f>
        <v>4953.875</v>
      </c>
      <c r="G240"/>
      <c r="H240" s="97">
        <v>7.8E-2</v>
      </c>
      <c r="I240" s="98" t="s">
        <v>114</v>
      </c>
      <c r="J240" s="99">
        <v>151200</v>
      </c>
      <c r="K240" s="97">
        <v>7.8E-2</v>
      </c>
      <c r="L240" s="100">
        <f>K239*(J240-J239)+L239</f>
        <v>8247.1</v>
      </c>
      <c r="M240"/>
      <c r="N240"/>
      <c r="O240"/>
      <c r="P240"/>
      <c r="Q240"/>
      <c r="R240"/>
      <c r="S240"/>
      <c r="T240"/>
      <c r="U240"/>
      <c r="V240" s="103"/>
      <c r="W240" s="105"/>
      <c r="X240"/>
    </row>
    <row r="241" spans="1:24">
      <c r="A241"/>
      <c r="B241" s="97">
        <v>8.7999999999999995E-2</v>
      </c>
      <c r="C241" s="98" t="s">
        <v>114</v>
      </c>
      <c r="D241" s="99">
        <v>189300</v>
      </c>
      <c r="E241" s="97">
        <v>8.7999999999999995E-2</v>
      </c>
      <c r="F241" s="100">
        <f>E240*(D241-D240)+F240</f>
        <v>12640.775</v>
      </c>
      <c r="G241"/>
      <c r="H241" s="97">
        <v>8.7999999999999995E-2</v>
      </c>
      <c r="I241" s="98" t="s">
        <v>114</v>
      </c>
      <c r="J241" s="99">
        <v>230450</v>
      </c>
      <c r="K241" s="97">
        <v>8.7999999999999995E-2</v>
      </c>
      <c r="L241" s="100">
        <f>K240*(J241-J240)+L240</f>
        <v>14428.6</v>
      </c>
      <c r="M241"/>
      <c r="N241"/>
      <c r="O241"/>
      <c r="P241"/>
      <c r="Q241"/>
      <c r="R241"/>
      <c r="S241"/>
      <c r="T241"/>
      <c r="U241"/>
      <c r="V241" s="103"/>
      <c r="W241" s="105"/>
      <c r="X241"/>
    </row>
    <row r="242" spans="1:24">
      <c r="A242"/>
      <c r="B242" s="97">
        <v>8.9499999999999996E-2</v>
      </c>
      <c r="C242" s="98" t="s">
        <v>114</v>
      </c>
      <c r="D242" s="99">
        <v>411500</v>
      </c>
      <c r="E242" s="97">
        <v>8.9499999999999996E-2</v>
      </c>
      <c r="F242" s="100">
        <f>E241*(D242-D241)+F241</f>
        <v>32194.375</v>
      </c>
      <c r="G242"/>
      <c r="H242" s="97">
        <v>8.9499999999999996E-2</v>
      </c>
      <c r="I242" s="98" t="s">
        <v>114</v>
      </c>
      <c r="J242" s="99">
        <v>411500</v>
      </c>
      <c r="K242" s="97">
        <v>8.9499999999999996E-2</v>
      </c>
      <c r="L242" s="100">
        <f>K241*(J242-J241)+L241</f>
        <v>30361</v>
      </c>
      <c r="M242"/>
      <c r="N242"/>
      <c r="O242"/>
      <c r="P242"/>
      <c r="Q242"/>
      <c r="R242"/>
      <c r="S242"/>
      <c r="T242"/>
      <c r="U242"/>
      <c r="V242" s="103"/>
      <c r="W242" s="105"/>
      <c r="X242"/>
    </row>
    <row r="243" spans="1:24">
      <c r="A243"/>
      <c r="B243"/>
      <c r="C243"/>
      <c r="D243"/>
      <c r="E243"/>
      <c r="F243" s="100"/>
      <c r="G243"/>
      <c r="H243"/>
      <c r="I243"/>
      <c r="J243"/>
      <c r="K243"/>
      <c r="L243" s="100"/>
      <c r="M243"/>
      <c r="N243"/>
      <c r="O243" s="102"/>
      <c r="P243"/>
      <c r="Q243" s="102"/>
      <c r="R243" s="102"/>
      <c r="S243"/>
      <c r="T243"/>
      <c r="U243"/>
      <c r="V243" s="103"/>
      <c r="W243" s="105"/>
      <c r="X243"/>
    </row>
    <row r="244" spans="1:24">
      <c r="A244" s="82" t="s">
        <v>168</v>
      </c>
      <c r="B244" s="97">
        <v>0.02</v>
      </c>
      <c r="C244" s="98" t="s">
        <v>114</v>
      </c>
      <c r="D244" s="99">
        <v>0</v>
      </c>
      <c r="E244" s="97">
        <v>0.02</v>
      </c>
      <c r="F244" s="100">
        <v>0</v>
      </c>
      <c r="G244"/>
      <c r="H244" s="97">
        <v>0.02</v>
      </c>
      <c r="I244" s="98" t="s">
        <v>114</v>
      </c>
      <c r="J244" s="99">
        <v>0</v>
      </c>
      <c r="K244" s="97">
        <v>0.02</v>
      </c>
      <c r="L244" s="100">
        <v>0</v>
      </c>
      <c r="M244"/>
      <c r="N244" s="102">
        <v>3000</v>
      </c>
      <c r="O244" s="102">
        <v>6000</v>
      </c>
      <c r="P244"/>
      <c r="Q244" s="102">
        <v>930</v>
      </c>
      <c r="R244" s="102">
        <v>1860</v>
      </c>
      <c r="S244" s="102">
        <v>930</v>
      </c>
      <c r="T244" s="94">
        <f>(($T$2-N244-Q244)-VLOOKUP(($T$2-N244-Q244),D244:F247,1,1))*VLOOKUP(($T$2-N244-Q244),D244:F247,2,1)+VLOOKUP(($T$2-N244-Q244),D244:F247,3,1)</f>
        <v>2966.5250000000001</v>
      </c>
      <c r="U244" s="94">
        <f>(($U$2-O244-R244)-VLOOKUP(($U$2-O244-R244),J244:L247,1,1))*VLOOKUP(($U$2-O244-R244),J244:L247,2,1)+VLOOKUP(($U$2-O244-R244),J244:L247,3,1)</f>
        <v>2740.55</v>
      </c>
      <c r="V244" s="103">
        <v>4</v>
      </c>
      <c r="W244" s="105">
        <v>4</v>
      </c>
      <c r="X244"/>
    </row>
    <row r="245" spans="1:24">
      <c r="A245"/>
      <c r="B245" s="97">
        <v>0.03</v>
      </c>
      <c r="C245" s="98" t="s">
        <v>114</v>
      </c>
      <c r="D245" s="99">
        <v>3000</v>
      </c>
      <c r="E245" s="97">
        <v>0.03</v>
      </c>
      <c r="F245" s="100">
        <f>E244*(D245-D244)+F244</f>
        <v>60</v>
      </c>
      <c r="G245"/>
      <c r="H245" s="97">
        <v>0.03</v>
      </c>
      <c r="I245" s="98" t="s">
        <v>114</v>
      </c>
      <c r="J245" s="99">
        <v>3000</v>
      </c>
      <c r="K245" s="97">
        <v>0.03</v>
      </c>
      <c r="L245" s="100">
        <f>K244*(J245-J244)+L244</f>
        <v>60</v>
      </c>
      <c r="M245"/>
      <c r="N245"/>
      <c r="O245"/>
      <c r="P245"/>
      <c r="Q245"/>
      <c r="R245"/>
      <c r="S245"/>
      <c r="T245"/>
      <c r="U245"/>
      <c r="V245" s="103"/>
      <c r="W245" s="105"/>
      <c r="X245"/>
    </row>
    <row r="246" spans="1:24">
      <c r="A246"/>
      <c r="B246" s="97">
        <v>0.05</v>
      </c>
      <c r="C246" s="98" t="s">
        <v>114</v>
      </c>
      <c r="D246" s="99">
        <v>5000</v>
      </c>
      <c r="E246" s="97">
        <v>0.05</v>
      </c>
      <c r="F246" s="100">
        <f>E245*(D246-D245)+F245</f>
        <v>120</v>
      </c>
      <c r="G246"/>
      <c r="H246" s="97">
        <v>0.05</v>
      </c>
      <c r="I246" s="98" t="s">
        <v>114</v>
      </c>
      <c r="J246" s="99">
        <v>5000</v>
      </c>
      <c r="K246" s="97">
        <v>0.05</v>
      </c>
      <c r="L246" s="100">
        <f>K245*(J246-J245)+L245</f>
        <v>120</v>
      </c>
      <c r="M246"/>
      <c r="N246"/>
      <c r="O246"/>
      <c r="P246"/>
      <c r="Q246"/>
      <c r="R246"/>
      <c r="S246"/>
      <c r="T246"/>
      <c r="U246"/>
      <c r="V246" s="103"/>
      <c r="W246" s="105"/>
      <c r="X246"/>
    </row>
    <row r="247" spans="1:24">
      <c r="A247"/>
      <c r="B247" s="97">
        <v>5.7500000000000002E-2</v>
      </c>
      <c r="C247" s="98" t="s">
        <v>114</v>
      </c>
      <c r="D247" s="99">
        <v>17000</v>
      </c>
      <c r="E247" s="97">
        <v>5.7500000000000002E-2</v>
      </c>
      <c r="F247" s="100">
        <f>E246*(D247-D246)+F246</f>
        <v>720</v>
      </c>
      <c r="G247"/>
      <c r="H247" s="97">
        <v>5.7500000000000002E-2</v>
      </c>
      <c r="I247" s="98" t="s">
        <v>114</v>
      </c>
      <c r="J247" s="99">
        <v>17000</v>
      </c>
      <c r="K247" s="97">
        <v>5.7500000000000002E-2</v>
      </c>
      <c r="L247" s="100">
        <f>K246*(J247-J246)+L246</f>
        <v>720</v>
      </c>
      <c r="M247"/>
      <c r="N247"/>
      <c r="O247"/>
      <c r="P247"/>
      <c r="Q247"/>
      <c r="R247"/>
      <c r="S247"/>
      <c r="T247"/>
      <c r="U247"/>
      <c r="V247" s="103"/>
      <c r="W247" s="105"/>
      <c r="X247"/>
    </row>
    <row r="248" spans="1:24">
      <c r="A248"/>
      <c r="B248"/>
      <c r="C248"/>
      <c r="D248"/>
      <c r="E248"/>
      <c r="F248"/>
      <c r="G248"/>
      <c r="H248"/>
      <c r="I248"/>
      <c r="J248"/>
      <c r="K248"/>
      <c r="L248"/>
      <c r="M248"/>
      <c r="N248"/>
      <c r="O248" s="102"/>
      <c r="P248"/>
      <c r="Q248" s="102"/>
      <c r="R248" s="102"/>
      <c r="S248"/>
      <c r="T248"/>
      <c r="U248"/>
      <c r="V248" s="103"/>
      <c r="W248" s="105"/>
      <c r="X248"/>
    </row>
    <row r="249" spans="1:24">
      <c r="A249" s="82" t="s">
        <v>170</v>
      </c>
      <c r="B249" s="178" t="s">
        <v>119</v>
      </c>
      <c r="C249" s="178"/>
      <c r="D249" s="178"/>
      <c r="E249" s="98"/>
      <c r="F249" s="105"/>
      <c r="G249" s="101"/>
      <c r="H249" s="178" t="s">
        <v>119</v>
      </c>
      <c r="I249" s="178"/>
      <c r="J249" s="178"/>
      <c r="K249" s="98"/>
      <c r="L249" s="105"/>
      <c r="M249" s="101"/>
      <c r="N249" s="102">
        <v>0</v>
      </c>
      <c r="O249" s="102">
        <v>0</v>
      </c>
      <c r="P249" s="102"/>
      <c r="Q249" s="102">
        <v>0</v>
      </c>
      <c r="R249" s="102">
        <v>0</v>
      </c>
      <c r="S249" s="102">
        <v>0</v>
      </c>
      <c r="T249" s="94">
        <v>0</v>
      </c>
      <c r="U249" s="94">
        <v>0</v>
      </c>
      <c r="V249" s="103"/>
      <c r="W249" s="105"/>
      <c r="X249"/>
    </row>
    <row r="250" spans="1:24">
      <c r="A250"/>
      <c r="B250"/>
      <c r="C250"/>
      <c r="D250"/>
      <c r="E250"/>
      <c r="F250"/>
      <c r="G250"/>
      <c r="H250"/>
      <c r="I250"/>
      <c r="J250"/>
      <c r="K250"/>
      <c r="L250"/>
      <c r="M250"/>
      <c r="N250"/>
      <c r="O250" s="102"/>
      <c r="P250"/>
      <c r="Q250" s="102"/>
      <c r="R250" s="102"/>
      <c r="S250"/>
      <c r="T250"/>
      <c r="U250"/>
      <c r="V250" s="103"/>
      <c r="W250" s="105"/>
      <c r="X250"/>
    </row>
    <row r="251" spans="1:24">
      <c r="A251" s="82" t="s">
        <v>172</v>
      </c>
      <c r="B251" s="97">
        <v>0.03</v>
      </c>
      <c r="C251" s="98" t="s">
        <v>114</v>
      </c>
      <c r="D251" s="99">
        <v>0</v>
      </c>
      <c r="E251" s="97">
        <v>0.03</v>
      </c>
      <c r="F251" s="100">
        <v>0</v>
      </c>
      <c r="G251"/>
      <c r="H251" s="97">
        <v>0.03</v>
      </c>
      <c r="I251" s="98" t="s">
        <v>114</v>
      </c>
      <c r="J251" s="99">
        <v>0</v>
      </c>
      <c r="K251" s="97">
        <v>0.03</v>
      </c>
      <c r="L251" s="100">
        <v>0</v>
      </c>
      <c r="M251"/>
      <c r="N251" s="102">
        <v>0</v>
      </c>
      <c r="O251" s="102">
        <v>0</v>
      </c>
      <c r="P251"/>
      <c r="Q251" s="102">
        <v>2000</v>
      </c>
      <c r="R251" s="102">
        <v>4000</v>
      </c>
      <c r="S251" s="102">
        <v>2000</v>
      </c>
      <c r="T251" s="94">
        <f>(($T$2-N251-Q251)-VLOOKUP(($T$2-N251-Q251),D251:F255,1,1))*VLOOKUP(($T$2-N251-Q251),D251:F255,2,1)+VLOOKUP(($T$2-N251-Q251),D251:F255,3,1)</f>
        <v>2655</v>
      </c>
      <c r="U251" s="94">
        <f>(($U$2-O251-R251)-VLOOKUP(($U$2-O251-R251),J251:L255,1,1))*VLOOKUP(($U$2-O251-R251),J251:L255,2,1)+VLOOKUP(($U$2-O251-R251),J251:L255,3,1)</f>
        <v>2535</v>
      </c>
      <c r="V251" s="103">
        <v>5</v>
      </c>
      <c r="W251" s="103">
        <v>5</v>
      </c>
      <c r="X251"/>
    </row>
    <row r="252" spans="1:24">
      <c r="A252"/>
      <c r="B252" s="97">
        <v>0.04</v>
      </c>
      <c r="C252" s="98" t="s">
        <v>114</v>
      </c>
      <c r="D252" s="99">
        <v>10000</v>
      </c>
      <c r="E252" s="97">
        <v>0.04</v>
      </c>
      <c r="F252" s="100">
        <f>E251*(D252-D251)+F251</f>
        <v>300</v>
      </c>
      <c r="G252"/>
      <c r="H252" s="97">
        <v>0.04</v>
      </c>
      <c r="I252" s="98" t="s">
        <v>114</v>
      </c>
      <c r="J252" s="99">
        <v>10000</v>
      </c>
      <c r="K252" s="97">
        <v>0.04</v>
      </c>
      <c r="L252" s="100">
        <f>K251*(J252-J251)+L251</f>
        <v>300</v>
      </c>
      <c r="M252"/>
      <c r="N252"/>
      <c r="O252"/>
      <c r="P252"/>
      <c r="Q252"/>
      <c r="R252"/>
      <c r="S252"/>
      <c r="T252"/>
      <c r="U252"/>
      <c r="V252" s="103"/>
      <c r="W252" s="105"/>
      <c r="X252"/>
    </row>
    <row r="253" spans="1:24">
      <c r="A253"/>
      <c r="B253" s="97">
        <v>4.4999999999999998E-2</v>
      </c>
      <c r="C253" s="98" t="s">
        <v>114</v>
      </c>
      <c r="D253" s="99">
        <v>25000</v>
      </c>
      <c r="E253" s="97">
        <v>4.4999999999999998E-2</v>
      </c>
      <c r="F253" s="100">
        <f>E252*(D253-D252)+F252</f>
        <v>900</v>
      </c>
      <c r="G253"/>
      <c r="H253" s="97">
        <v>4.4999999999999998E-2</v>
      </c>
      <c r="I253" s="98" t="s">
        <v>114</v>
      </c>
      <c r="J253" s="99">
        <v>25000</v>
      </c>
      <c r="K253" s="97">
        <v>4.4999999999999998E-2</v>
      </c>
      <c r="L253" s="100">
        <f>K252*(J253-J252)+L252</f>
        <v>900</v>
      </c>
      <c r="M253"/>
      <c r="N253"/>
      <c r="O253"/>
      <c r="P253"/>
      <c r="Q253"/>
      <c r="R253"/>
      <c r="S253"/>
      <c r="T253"/>
      <c r="U253"/>
      <c r="V253" s="103"/>
      <c r="W253" s="105"/>
      <c r="X253"/>
    </row>
    <row r="254" spans="1:24">
      <c r="A254"/>
      <c r="B254" s="97">
        <v>0.06</v>
      </c>
      <c r="C254" s="98" t="s">
        <v>114</v>
      </c>
      <c r="D254" s="99">
        <v>40000</v>
      </c>
      <c r="E254" s="97">
        <v>0.06</v>
      </c>
      <c r="F254" s="100">
        <f>E253*(D254-D253)+F253</f>
        <v>1575</v>
      </c>
      <c r="G254"/>
      <c r="H254" s="97">
        <v>0.06</v>
      </c>
      <c r="I254" s="98" t="s">
        <v>114</v>
      </c>
      <c r="J254" s="99">
        <v>40000</v>
      </c>
      <c r="K254" s="97">
        <v>0.06</v>
      </c>
      <c r="L254" s="100">
        <f>K253*(J254-J253)+L253</f>
        <v>1575</v>
      </c>
      <c r="M254"/>
      <c r="N254"/>
      <c r="O254"/>
      <c r="P254"/>
      <c r="Q254"/>
      <c r="R254"/>
      <c r="S254"/>
      <c r="T254"/>
      <c r="U254"/>
      <c r="V254" s="103"/>
      <c r="W254" s="105"/>
      <c r="X254"/>
    </row>
    <row r="255" spans="1:24">
      <c r="A255"/>
      <c r="B255" s="97">
        <v>6.5000000000000002E-2</v>
      </c>
      <c r="C255" s="98" t="s">
        <v>114</v>
      </c>
      <c r="D255" s="99">
        <v>60000</v>
      </c>
      <c r="E255" s="97">
        <v>6.5000000000000002E-2</v>
      </c>
      <c r="F255" s="100">
        <f>E254*(D255-D254)+F254</f>
        <v>2775</v>
      </c>
      <c r="G255"/>
      <c r="H255" s="97">
        <v>6.5000000000000002E-2</v>
      </c>
      <c r="I255" s="98" t="s">
        <v>114</v>
      </c>
      <c r="J255" s="99">
        <v>60000</v>
      </c>
      <c r="K255" s="97">
        <v>6.5000000000000002E-2</v>
      </c>
      <c r="L255" s="100">
        <f>K254*(J255-J254)+L254</f>
        <v>2775</v>
      </c>
      <c r="M255"/>
      <c r="N255"/>
      <c r="O255"/>
      <c r="P255"/>
      <c r="Q255"/>
      <c r="R255"/>
      <c r="S255"/>
      <c r="T255"/>
      <c r="U255"/>
      <c r="V255" s="103"/>
      <c r="W255" s="105"/>
      <c r="X255"/>
    </row>
    <row r="256" spans="1:24">
      <c r="A256"/>
      <c r="B256"/>
      <c r="C256"/>
      <c r="D256"/>
      <c r="E256"/>
      <c r="F256"/>
      <c r="G256"/>
      <c r="H256"/>
      <c r="I256"/>
      <c r="J256"/>
      <c r="K256"/>
      <c r="L256"/>
      <c r="M256"/>
      <c r="N256"/>
      <c r="O256" s="102"/>
      <c r="P256"/>
      <c r="Q256" s="102"/>
      <c r="R256" s="102"/>
      <c r="S256"/>
      <c r="T256"/>
      <c r="U256"/>
      <c r="V256" s="103"/>
      <c r="W256" s="105"/>
      <c r="X256"/>
    </row>
    <row r="257" spans="1:24">
      <c r="A257" s="82" t="s">
        <v>171</v>
      </c>
      <c r="B257" s="97">
        <v>0.04</v>
      </c>
      <c r="C257" s="98" t="s">
        <v>114</v>
      </c>
      <c r="D257" s="99">
        <v>0</v>
      </c>
      <c r="E257" s="97">
        <v>0.04</v>
      </c>
      <c r="F257" s="100">
        <v>0</v>
      </c>
      <c r="G257"/>
      <c r="H257" s="97">
        <v>0.04</v>
      </c>
      <c r="I257" s="98" t="s">
        <v>114</v>
      </c>
      <c r="J257" s="99">
        <v>0</v>
      </c>
      <c r="K257" s="97">
        <v>0.04</v>
      </c>
      <c r="L257" s="100">
        <v>0</v>
      </c>
      <c r="M257"/>
      <c r="N257" s="102">
        <v>10250</v>
      </c>
      <c r="O257" s="102">
        <v>18460</v>
      </c>
      <c r="P257"/>
      <c r="Q257" s="102">
        <v>700</v>
      </c>
      <c r="R257" s="102">
        <v>1400</v>
      </c>
      <c r="S257" s="102">
        <v>700</v>
      </c>
      <c r="T257" s="94">
        <f>(($T$2-N257-Q257)-VLOOKUP(($T$2-N257-Q257),D257:F260,1,1))*VLOOKUP(($T$2-N257-Q257),D257:F260,2,1)+VLOOKUP(($T$2-N257-Q257),D257:F260,3,1)</f>
        <v>2775.9620000000004</v>
      </c>
      <c r="U257" s="94">
        <f>(($U$2-O257-R257)-VLOOKUP(($U$2-O257-R257),J257:L260,1,1))*VLOOKUP(($U$2-O257-R257),J257:L260,2,1)+VLOOKUP(($U$2-O257-R257),J257:L260,3,1)</f>
        <v>2117.4480000000003</v>
      </c>
      <c r="V257" s="103">
        <v>4</v>
      </c>
      <c r="W257" s="105">
        <v>4</v>
      </c>
      <c r="X257" s="106" t="s">
        <v>196</v>
      </c>
    </row>
    <row r="258" spans="1:24">
      <c r="A258"/>
      <c r="B258" s="97">
        <v>5.8400000000000001E-2</v>
      </c>
      <c r="C258" s="98" t="s">
        <v>114</v>
      </c>
      <c r="D258" s="99">
        <v>11090</v>
      </c>
      <c r="E258" s="97">
        <v>5.8400000000000001E-2</v>
      </c>
      <c r="F258" s="100">
        <f>E257*(D258-D257)+F257</f>
        <v>443.6</v>
      </c>
      <c r="G258"/>
      <c r="H258" s="97">
        <v>5.8400000000000001E-2</v>
      </c>
      <c r="I258" s="98" t="s">
        <v>114</v>
      </c>
      <c r="J258" s="99">
        <v>14790</v>
      </c>
      <c r="K258" s="97">
        <v>5.8400000000000001E-2</v>
      </c>
      <c r="L258" s="100">
        <f>K257*(J258-J257)+L257</f>
        <v>591.6</v>
      </c>
      <c r="M258"/>
      <c r="N258"/>
      <c r="O258"/>
      <c r="P258"/>
      <c r="Q258"/>
      <c r="R258"/>
      <c r="S258"/>
      <c r="T258"/>
      <c r="U258"/>
      <c r="V258" s="103"/>
      <c r="W258" s="105"/>
      <c r="X258"/>
    </row>
    <row r="259" spans="1:24">
      <c r="A259"/>
      <c r="B259" s="97">
        <v>6.2700000000000006E-2</v>
      </c>
      <c r="C259" s="98" t="s">
        <v>114</v>
      </c>
      <c r="D259" s="99">
        <v>22190</v>
      </c>
      <c r="E259" s="97">
        <v>6.2700000000000006E-2</v>
      </c>
      <c r="F259" s="100">
        <f>E258*(D259-D258)+F258</f>
        <v>1091.8400000000001</v>
      </c>
      <c r="G259"/>
      <c r="H259" s="97">
        <v>6.2700000000000006E-2</v>
      </c>
      <c r="I259" s="98" t="s">
        <v>114</v>
      </c>
      <c r="J259" s="99">
        <v>29580</v>
      </c>
      <c r="K259" s="97">
        <v>6.2700000000000006E-2</v>
      </c>
      <c r="L259" s="100">
        <f>K258*(J259-J258)+L258</f>
        <v>1455.336</v>
      </c>
      <c r="M259"/>
      <c r="N259"/>
      <c r="O259"/>
      <c r="P259"/>
      <c r="Q259"/>
      <c r="R259"/>
      <c r="S259"/>
      <c r="T259"/>
      <c r="U259"/>
      <c r="V259" s="103"/>
      <c r="W259" s="105"/>
      <c r="X259"/>
    </row>
    <row r="260" spans="1:24">
      <c r="A260"/>
      <c r="B260" s="97">
        <v>7.6499999999999999E-2</v>
      </c>
      <c r="C260" s="98" t="s">
        <v>114</v>
      </c>
      <c r="D260" s="99">
        <v>244270</v>
      </c>
      <c r="E260" s="97">
        <v>7.6499999999999999E-2</v>
      </c>
      <c r="F260" s="100">
        <f>E259*(D260-D259)+F259</f>
        <v>15016.256000000001</v>
      </c>
      <c r="G260"/>
      <c r="H260" s="97">
        <v>7.6499999999999999E-2</v>
      </c>
      <c r="I260" s="98" t="s">
        <v>114</v>
      </c>
      <c r="J260" s="99">
        <v>325700</v>
      </c>
      <c r="K260" s="97">
        <v>7.6499999999999999E-2</v>
      </c>
      <c r="L260" s="100">
        <f>K259*(J260-J259)+L259</f>
        <v>20022.060000000001</v>
      </c>
      <c r="M260"/>
      <c r="N260"/>
      <c r="O260"/>
      <c r="P260"/>
      <c r="Q260"/>
      <c r="R260"/>
      <c r="S260"/>
      <c r="T260"/>
      <c r="U260"/>
      <c r="V260" s="103"/>
      <c r="W260" s="105"/>
      <c r="X260"/>
    </row>
    <row r="261" spans="1:24">
      <c r="A261"/>
      <c r="B261"/>
      <c r="C261"/>
      <c r="D261"/>
      <c r="E261"/>
      <c r="F261"/>
      <c r="G261"/>
      <c r="H261"/>
      <c r="I261"/>
      <c r="J261"/>
      <c r="K261"/>
      <c r="L261"/>
      <c r="M261"/>
      <c r="N261"/>
      <c r="O261" s="102"/>
      <c r="P261"/>
      <c r="Q261" s="102"/>
      <c r="R261" s="102"/>
      <c r="S261"/>
      <c r="T261"/>
      <c r="U261"/>
      <c r="V261" s="103"/>
      <c r="W261" s="105"/>
      <c r="X261"/>
    </row>
    <row r="262" spans="1:24">
      <c r="A262" s="82" t="s">
        <v>173</v>
      </c>
      <c r="B262" s="178" t="s">
        <v>119</v>
      </c>
      <c r="C262" s="178"/>
      <c r="D262" s="178"/>
      <c r="E262" s="98"/>
      <c r="F262" s="105"/>
      <c r="G262" s="101"/>
      <c r="H262" s="178" t="s">
        <v>119</v>
      </c>
      <c r="I262" s="178"/>
      <c r="J262" s="178"/>
      <c r="K262" s="98"/>
      <c r="L262" s="105"/>
      <c r="M262" s="101"/>
      <c r="N262" s="102">
        <v>0</v>
      </c>
      <c r="O262" s="102">
        <v>0</v>
      </c>
      <c r="P262" s="102"/>
      <c r="Q262" s="102">
        <v>0</v>
      </c>
      <c r="R262" s="102">
        <v>0</v>
      </c>
      <c r="S262" s="102">
        <v>0</v>
      </c>
      <c r="T262" s="94">
        <v>0</v>
      </c>
      <c r="U262" s="94">
        <v>0</v>
      </c>
      <c r="V262" s="103"/>
      <c r="W262" s="105"/>
      <c r="X262"/>
    </row>
    <row r="263" spans="1:24">
      <c r="A263"/>
      <c r="B263"/>
      <c r="C263"/>
      <c r="D263"/>
      <c r="E263"/>
      <c r="F263"/>
      <c r="G263"/>
      <c r="H263"/>
      <c r="I263"/>
      <c r="J263"/>
      <c r="K263"/>
      <c r="L263"/>
      <c r="M263"/>
      <c r="N263"/>
      <c r="O263" s="102"/>
      <c r="P263"/>
      <c r="Q263" s="102"/>
      <c r="R263" s="102"/>
      <c r="S263"/>
      <c r="T263"/>
      <c r="U263"/>
      <c r="V263" s="103"/>
      <c r="W263" s="105"/>
      <c r="X263"/>
    </row>
    <row r="264" spans="1:24">
      <c r="A264" s="82" t="s">
        <v>125</v>
      </c>
      <c r="B264" s="97">
        <v>0.04</v>
      </c>
      <c r="C264" s="98" t="s">
        <v>114</v>
      </c>
      <c r="D264" s="99">
        <v>0</v>
      </c>
      <c r="E264" s="97">
        <v>0.04</v>
      </c>
      <c r="F264" s="100">
        <v>0</v>
      </c>
      <c r="G264"/>
      <c r="H264" s="97">
        <v>0.04</v>
      </c>
      <c r="I264" s="98" t="s">
        <v>114</v>
      </c>
      <c r="J264" s="99">
        <v>0</v>
      </c>
      <c r="K264" s="97">
        <v>0.04</v>
      </c>
      <c r="L264" s="100">
        <v>0</v>
      </c>
      <c r="M264"/>
      <c r="N264" s="102">
        <v>5200</v>
      </c>
      <c r="O264" s="102">
        <v>6650</v>
      </c>
      <c r="P264"/>
      <c r="Q264" s="102">
        <v>2200</v>
      </c>
      <c r="R264" s="102">
        <v>2200</v>
      </c>
      <c r="S264" s="102">
        <v>2200</v>
      </c>
      <c r="T264" s="94">
        <f>(($T$2-N264-Q264)-VLOOKUP(($T$2-N264-Q264),D264:F268,1,1))*VLOOKUP(($T$2-N264-Q264),D264:F268,2,1)+VLOOKUP(($T$2-N264-Q264),D264:F268,3,1)</f>
        <v>3082</v>
      </c>
      <c r="U264" s="94">
        <f>(($U$2-O264-R264)-VLOOKUP(($U$2-O264-R264),J264:L268,1,1))*VLOOKUP(($U$2-O264-R264),J264:L268,2,1)+VLOOKUP(($U$2-O264-R264),J264:L268,3,1)</f>
        <v>2980.5</v>
      </c>
      <c r="V264" s="103">
        <v>5</v>
      </c>
      <c r="W264" s="103">
        <v>5</v>
      </c>
      <c r="X264" s="106" t="s">
        <v>197</v>
      </c>
    </row>
    <row r="265" spans="1:24">
      <c r="A265"/>
      <c r="B265" s="97">
        <v>0.06</v>
      </c>
      <c r="C265" s="98" t="s">
        <v>114</v>
      </c>
      <c r="D265" s="99">
        <v>10000</v>
      </c>
      <c r="E265" s="97">
        <v>0.06</v>
      </c>
      <c r="F265" s="100">
        <f>E264*(D265-D264)+F264</f>
        <v>400</v>
      </c>
      <c r="G265"/>
      <c r="H265" s="97">
        <v>0.06</v>
      </c>
      <c r="I265" s="98" t="s">
        <v>114</v>
      </c>
      <c r="J265" s="99">
        <v>10000</v>
      </c>
      <c r="K265" s="97">
        <v>0.06</v>
      </c>
      <c r="L265" s="100">
        <f>K264*(J265-J264)+L264</f>
        <v>400</v>
      </c>
      <c r="M265"/>
      <c r="N265"/>
      <c r="O265"/>
      <c r="P265"/>
      <c r="Q265"/>
      <c r="R265"/>
      <c r="S265"/>
    </row>
    <row r="266" spans="1:24">
      <c r="A266"/>
      <c r="B266" s="97">
        <v>7.0000000000000007E-2</v>
      </c>
      <c r="C266" s="98" t="s">
        <v>114</v>
      </c>
      <c r="D266" s="99">
        <v>40000</v>
      </c>
      <c r="E266" s="97">
        <v>7.0000000000000007E-2</v>
      </c>
      <c r="F266" s="100">
        <f>E265*(D266-D265)+F265</f>
        <v>2200</v>
      </c>
      <c r="G266"/>
      <c r="H266" s="97">
        <v>7.0000000000000007E-2</v>
      </c>
      <c r="I266" s="98" t="s">
        <v>114</v>
      </c>
      <c r="J266" s="99">
        <v>40000</v>
      </c>
      <c r="K266" s="97">
        <v>7.0000000000000007E-2</v>
      </c>
      <c r="L266" s="100">
        <f>K265*(J266-J265)+L265</f>
        <v>2200</v>
      </c>
      <c r="M266"/>
      <c r="N266"/>
      <c r="O266"/>
      <c r="P266"/>
      <c r="Q266"/>
      <c r="R266"/>
      <c r="S266"/>
    </row>
    <row r="267" spans="1:24">
      <c r="A267"/>
      <c r="B267" s="97">
        <v>8.5000000000000006E-2</v>
      </c>
      <c r="C267" s="98" t="s">
        <v>114</v>
      </c>
      <c r="D267" s="99">
        <v>60000</v>
      </c>
      <c r="E267" s="97">
        <v>8.5000000000000006E-2</v>
      </c>
      <c r="F267" s="100">
        <f>E266*(D267-D266)+F266</f>
        <v>3600</v>
      </c>
      <c r="G267"/>
      <c r="H267" s="97">
        <v>8.5000000000000006E-2</v>
      </c>
      <c r="I267" s="98" t="s">
        <v>114</v>
      </c>
      <c r="J267" s="99">
        <v>60000</v>
      </c>
      <c r="K267" s="97">
        <v>8.5000000000000006E-2</v>
      </c>
      <c r="L267" s="100">
        <f>K266*(J267-J266)+L266</f>
        <v>3600</v>
      </c>
      <c r="M267"/>
      <c r="N267"/>
      <c r="O267"/>
      <c r="P267"/>
      <c r="Q267"/>
      <c r="R267"/>
      <c r="S267"/>
    </row>
    <row r="268" spans="1:24">
      <c r="A268"/>
      <c r="B268" s="97">
        <v>8.9499999999999996E-2</v>
      </c>
      <c r="C268" s="98" t="s">
        <v>114</v>
      </c>
      <c r="D268" s="99">
        <v>350000</v>
      </c>
      <c r="E268" s="97">
        <v>8.9499999999999996E-2</v>
      </c>
      <c r="F268" s="100">
        <f>E267*(D268-D267)+F267</f>
        <v>28250</v>
      </c>
      <c r="G268"/>
      <c r="H268" s="97">
        <v>8.9499999999999996E-2</v>
      </c>
      <c r="I268" s="98" t="s">
        <v>114</v>
      </c>
      <c r="J268" s="99">
        <v>350000</v>
      </c>
      <c r="K268" s="97">
        <v>8.9499999999999996E-2</v>
      </c>
      <c r="L268" s="100">
        <f>K267*(J268-J267)+L267</f>
        <v>28250</v>
      </c>
      <c r="M268"/>
      <c r="N268"/>
      <c r="O268"/>
      <c r="P268"/>
      <c r="Q268"/>
      <c r="R268"/>
      <c r="S268"/>
    </row>
    <row r="269" spans="1:24">
      <c r="A269"/>
      <c r="B269"/>
      <c r="C269"/>
      <c r="D269"/>
      <c r="E269"/>
      <c r="F269"/>
      <c r="G269"/>
      <c r="H269"/>
      <c r="I269"/>
      <c r="J269"/>
      <c r="K269"/>
      <c r="L269"/>
      <c r="M269"/>
      <c r="N269"/>
      <c r="O269"/>
      <c r="P269"/>
      <c r="Q269"/>
      <c r="R269"/>
      <c r="S269"/>
    </row>
    <row r="270" spans="1:24" ht="14.5" customHeight="1">
      <c r="A270" s="179" t="s">
        <v>198</v>
      </c>
      <c r="B270" s="179"/>
      <c r="C270" s="179"/>
      <c r="D270" s="179"/>
      <c r="E270" s="179"/>
      <c r="F270" s="179"/>
      <c r="G270" s="179"/>
      <c r="H270" s="179"/>
      <c r="I270" s="179"/>
      <c r="J270" s="179"/>
      <c r="K270" s="179"/>
      <c r="L270" s="179"/>
      <c r="M270" s="179"/>
      <c r="N270" s="179"/>
      <c r="O270" s="179"/>
      <c r="P270" s="179"/>
      <c r="Q270" s="179"/>
      <c r="R270" s="179"/>
      <c r="S270" s="179"/>
    </row>
    <row r="271" spans="1:24" ht="15" customHeight="1">
      <c r="A271" s="179" t="s">
        <v>199</v>
      </c>
      <c r="B271" s="179"/>
      <c r="C271" s="179"/>
      <c r="D271" s="179"/>
      <c r="E271" s="179"/>
      <c r="F271" s="179"/>
      <c r="G271" s="179"/>
      <c r="H271" s="179"/>
      <c r="I271" s="179"/>
      <c r="J271" s="179"/>
      <c r="K271" s="179"/>
      <c r="L271" s="179"/>
      <c r="M271" s="179"/>
      <c r="N271" s="179"/>
      <c r="O271" s="179"/>
      <c r="P271" s="179"/>
      <c r="Q271" s="179"/>
      <c r="R271" s="179"/>
      <c r="S271" s="179"/>
    </row>
    <row r="272" spans="1:24" ht="15" customHeight="1">
      <c r="A272" s="179" t="s">
        <v>200</v>
      </c>
      <c r="B272" s="179"/>
      <c r="C272" s="179"/>
      <c r="D272" s="179"/>
      <c r="E272" s="179"/>
      <c r="F272" s="179"/>
      <c r="G272" s="179"/>
      <c r="H272" s="179"/>
      <c r="I272" s="179"/>
      <c r="J272" s="179"/>
      <c r="K272" s="179"/>
      <c r="L272" s="179"/>
      <c r="M272" s="179"/>
      <c r="N272" s="179"/>
      <c r="O272" s="179"/>
      <c r="P272" s="179"/>
      <c r="Q272" s="179"/>
      <c r="R272" s="179"/>
      <c r="S272" s="179"/>
    </row>
    <row r="273" spans="1:19" ht="14.5" customHeight="1">
      <c r="A273" s="179" t="s">
        <v>201</v>
      </c>
      <c r="B273" s="179"/>
      <c r="C273" s="179"/>
      <c r="D273" s="179"/>
      <c r="E273" s="179"/>
      <c r="F273" s="179"/>
      <c r="G273" s="179"/>
      <c r="H273" s="179"/>
      <c r="I273" s="179"/>
      <c r="J273" s="179"/>
      <c r="K273" s="179"/>
      <c r="L273" s="179"/>
      <c r="M273" s="179"/>
      <c r="N273" s="179"/>
      <c r="O273" s="179"/>
      <c r="P273" s="179"/>
      <c r="Q273" s="179"/>
      <c r="R273" s="179"/>
      <c r="S273" s="179"/>
    </row>
    <row r="274" spans="1:19" ht="15" customHeight="1">
      <c r="A274" s="179" t="s">
        <v>202</v>
      </c>
      <c r="B274" s="179"/>
      <c r="C274" s="179"/>
      <c r="D274" s="179"/>
      <c r="E274" s="179"/>
      <c r="F274" s="179"/>
      <c r="G274" s="179"/>
      <c r="H274" s="179"/>
      <c r="I274" s="179"/>
      <c r="J274" s="179"/>
      <c r="K274" s="179"/>
      <c r="L274" s="179"/>
      <c r="M274" s="179"/>
      <c r="N274" s="179"/>
      <c r="O274" s="179"/>
      <c r="P274" s="179"/>
      <c r="Q274" s="179"/>
      <c r="R274" s="179"/>
      <c r="S274" s="179"/>
    </row>
    <row r="275" spans="1:19" ht="14.5" customHeight="1">
      <c r="A275" s="179" t="s">
        <v>203</v>
      </c>
      <c r="B275" s="179"/>
      <c r="C275" s="179"/>
      <c r="D275" s="179"/>
      <c r="E275" s="179"/>
      <c r="F275" s="179"/>
      <c r="G275" s="179"/>
      <c r="H275" s="179"/>
      <c r="I275" s="179"/>
      <c r="J275" s="179"/>
      <c r="K275" s="179"/>
      <c r="L275" s="179"/>
      <c r="M275" s="179"/>
      <c r="N275" s="179"/>
      <c r="O275" s="179"/>
      <c r="P275" s="179"/>
      <c r="Q275" s="179"/>
      <c r="R275" s="179"/>
      <c r="S275" s="179"/>
    </row>
    <row r="276" spans="1:19" ht="14.5" customHeight="1">
      <c r="A276" s="179" t="s">
        <v>204</v>
      </c>
      <c r="B276" s="179"/>
      <c r="C276" s="179"/>
      <c r="D276" s="179"/>
      <c r="E276" s="179"/>
      <c r="F276" s="179"/>
      <c r="G276" s="179"/>
      <c r="H276" s="179"/>
      <c r="I276" s="179"/>
      <c r="J276" s="179"/>
      <c r="K276" s="179"/>
      <c r="L276" s="179"/>
      <c r="M276" s="179"/>
      <c r="N276" s="179"/>
      <c r="O276" s="179"/>
      <c r="P276" s="179"/>
      <c r="Q276" s="179"/>
      <c r="R276" s="179"/>
      <c r="S276" s="179"/>
    </row>
    <row r="277" spans="1:19" ht="14.5" customHeight="1">
      <c r="A277" s="179" t="s">
        <v>205</v>
      </c>
      <c r="B277" s="179"/>
      <c r="C277" s="179"/>
      <c r="D277" s="179"/>
      <c r="E277" s="179"/>
      <c r="F277" s="179"/>
      <c r="G277" s="179"/>
      <c r="H277" s="179"/>
      <c r="I277" s="179"/>
      <c r="J277" s="179"/>
      <c r="K277" s="179"/>
      <c r="L277" s="179"/>
      <c r="M277" s="179"/>
      <c r="N277" s="179"/>
      <c r="O277" s="179"/>
      <c r="P277" s="179"/>
      <c r="Q277" s="179"/>
      <c r="R277" s="179"/>
      <c r="S277" s="179"/>
    </row>
    <row r="278" spans="1:19" ht="14.5" customHeight="1">
      <c r="A278" s="179" t="s">
        <v>206</v>
      </c>
      <c r="B278" s="179"/>
      <c r="C278" s="179"/>
      <c r="D278" s="179"/>
      <c r="E278" s="179"/>
      <c r="F278" s="179"/>
      <c r="G278" s="179"/>
      <c r="H278" s="179"/>
      <c r="I278" s="179"/>
      <c r="J278" s="179"/>
      <c r="K278" s="179"/>
      <c r="L278" s="179"/>
      <c r="M278" s="179"/>
      <c r="N278" s="179"/>
      <c r="O278" s="179"/>
      <c r="P278" s="179"/>
      <c r="Q278" s="179"/>
      <c r="R278" s="179"/>
      <c r="S278" s="179"/>
    </row>
    <row r="279" spans="1:19" ht="14.5" customHeight="1">
      <c r="A279" s="179" t="s">
        <v>207</v>
      </c>
      <c r="B279" s="179"/>
      <c r="C279" s="179"/>
      <c r="D279" s="179"/>
      <c r="E279" s="179"/>
      <c r="F279" s="179"/>
      <c r="G279" s="179"/>
      <c r="H279" s="179"/>
      <c r="I279" s="179"/>
      <c r="J279" s="179"/>
      <c r="K279" s="179"/>
      <c r="L279" s="179"/>
      <c r="M279" s="179"/>
      <c r="N279" s="179"/>
      <c r="O279" s="179"/>
      <c r="P279" s="179"/>
      <c r="Q279" s="179"/>
      <c r="R279" s="179"/>
      <c r="S279" s="179"/>
    </row>
    <row r="280" spans="1:19" ht="14.5" customHeight="1">
      <c r="A280" s="179" t="s">
        <v>208</v>
      </c>
      <c r="B280" s="179"/>
      <c r="C280" s="179"/>
      <c r="D280" s="179"/>
      <c r="E280" s="179"/>
      <c r="F280" s="179"/>
      <c r="G280" s="179"/>
      <c r="H280" s="179"/>
      <c r="I280" s="179"/>
      <c r="J280" s="179"/>
      <c r="K280" s="179"/>
      <c r="L280" s="179"/>
      <c r="M280" s="179"/>
      <c r="N280" s="179"/>
      <c r="O280" s="179"/>
      <c r="P280" s="179"/>
      <c r="Q280" s="179"/>
      <c r="R280" s="179"/>
      <c r="S280" s="179"/>
    </row>
    <row r="281" spans="1:19" ht="14.5" customHeight="1">
      <c r="A281" s="179" t="s">
        <v>209</v>
      </c>
      <c r="B281" s="179"/>
      <c r="C281" s="179"/>
      <c r="D281" s="179"/>
      <c r="E281" s="179"/>
      <c r="F281" s="179"/>
      <c r="G281" s="179"/>
      <c r="H281" s="179"/>
      <c r="I281" s="179"/>
      <c r="J281" s="179"/>
      <c r="K281" s="179"/>
      <c r="L281" s="179"/>
      <c r="M281" s="179"/>
      <c r="N281" s="179"/>
      <c r="O281" s="179"/>
      <c r="P281" s="179"/>
      <c r="Q281" s="179"/>
      <c r="R281" s="179"/>
      <c r="S281" s="179"/>
    </row>
    <row r="282" spans="1:19" ht="14.5" customHeight="1">
      <c r="A282" s="179" t="s">
        <v>210</v>
      </c>
      <c r="B282" s="179"/>
      <c r="C282" s="179"/>
      <c r="D282" s="179"/>
      <c r="E282" s="179"/>
      <c r="F282" s="179"/>
      <c r="G282" s="179"/>
      <c r="H282" s="179"/>
      <c r="I282" s="179"/>
      <c r="J282" s="179"/>
      <c r="K282" s="179"/>
      <c r="L282" s="179"/>
      <c r="M282" s="179"/>
      <c r="N282" s="179"/>
      <c r="O282" s="179"/>
      <c r="P282" s="179"/>
      <c r="Q282" s="179"/>
      <c r="R282" s="179"/>
      <c r="S282" s="179"/>
    </row>
    <row r="283" spans="1:19" ht="14.5" customHeight="1">
      <c r="A283" s="179" t="s">
        <v>211</v>
      </c>
      <c r="B283" s="179"/>
      <c r="C283" s="179"/>
      <c r="D283" s="179"/>
      <c r="E283" s="179"/>
      <c r="F283" s="179"/>
      <c r="G283" s="179"/>
      <c r="H283" s="179"/>
      <c r="I283" s="179"/>
      <c r="J283" s="179"/>
      <c r="K283" s="179"/>
      <c r="L283" s="179"/>
      <c r="M283" s="179"/>
      <c r="N283" s="179"/>
      <c r="O283" s="179"/>
      <c r="P283" s="179"/>
      <c r="Q283" s="179"/>
      <c r="R283" s="179"/>
      <c r="S283" s="179"/>
    </row>
    <row r="284" spans="1:19" ht="14.5" customHeight="1">
      <c r="A284" s="179" t="s">
        <v>212</v>
      </c>
      <c r="B284" s="179"/>
      <c r="C284" s="179"/>
      <c r="D284" s="179"/>
      <c r="E284" s="179"/>
      <c r="F284" s="179"/>
      <c r="G284" s="179"/>
      <c r="H284" s="179"/>
      <c r="I284" s="179"/>
      <c r="J284" s="179"/>
      <c r="K284" s="179"/>
      <c r="L284" s="179"/>
      <c r="M284" s="179"/>
      <c r="N284" s="179"/>
      <c r="O284" s="179"/>
      <c r="P284" s="179"/>
      <c r="Q284" s="179"/>
      <c r="R284" s="179"/>
      <c r="S284" s="179"/>
    </row>
    <row r="285" spans="1:19" ht="14.5" customHeight="1">
      <c r="A285" s="179" t="s">
        <v>213</v>
      </c>
      <c r="B285" s="179"/>
      <c r="C285" s="179"/>
      <c r="D285" s="179"/>
      <c r="E285" s="179"/>
      <c r="F285" s="179"/>
      <c r="G285" s="179"/>
      <c r="H285" s="179"/>
      <c r="I285" s="179"/>
      <c r="J285" s="179"/>
      <c r="K285" s="179"/>
      <c r="L285" s="179"/>
      <c r="M285" s="179"/>
      <c r="N285" s="179"/>
      <c r="O285" s="179"/>
      <c r="P285" s="179"/>
      <c r="Q285" s="179"/>
      <c r="R285" s="179"/>
      <c r="S285" s="179"/>
    </row>
    <row r="286" spans="1:19" ht="14.5" customHeight="1">
      <c r="A286" s="179" t="s">
        <v>214</v>
      </c>
      <c r="B286" s="179"/>
      <c r="C286" s="179"/>
      <c r="D286" s="179"/>
      <c r="E286" s="179"/>
      <c r="F286" s="179"/>
      <c r="G286" s="179"/>
      <c r="H286" s="179"/>
      <c r="I286" s="179"/>
      <c r="J286" s="179"/>
      <c r="K286" s="179"/>
      <c r="L286" s="179"/>
      <c r="M286" s="179"/>
      <c r="N286" s="179"/>
      <c r="O286" s="179"/>
      <c r="P286" s="179"/>
      <c r="Q286" s="179"/>
      <c r="R286" s="179"/>
      <c r="S286" s="179"/>
    </row>
    <row r="287" spans="1:19" ht="14.5" customHeight="1">
      <c r="A287" s="179" t="s">
        <v>215</v>
      </c>
      <c r="B287" s="179"/>
      <c r="C287" s="179"/>
      <c r="D287" s="179"/>
      <c r="E287" s="179"/>
      <c r="F287" s="179"/>
      <c r="G287" s="179"/>
      <c r="H287" s="179"/>
      <c r="I287" s="179"/>
      <c r="J287" s="179"/>
      <c r="K287" s="179"/>
      <c r="L287" s="179"/>
      <c r="M287" s="179"/>
      <c r="N287" s="179"/>
      <c r="O287" s="179"/>
      <c r="P287" s="179"/>
      <c r="Q287" s="179"/>
      <c r="R287" s="179"/>
      <c r="S287" s="179"/>
    </row>
    <row r="288" spans="1:19" ht="14.5" customHeight="1">
      <c r="A288" s="179" t="s">
        <v>216</v>
      </c>
      <c r="B288" s="179"/>
      <c r="C288" s="179"/>
      <c r="D288" s="179"/>
      <c r="E288" s="179"/>
      <c r="F288" s="179"/>
      <c r="G288" s="179"/>
      <c r="H288" s="179"/>
      <c r="I288" s="179"/>
      <c r="J288" s="179"/>
      <c r="K288" s="179"/>
      <c r="L288" s="179"/>
      <c r="M288" s="179"/>
      <c r="N288" s="179"/>
      <c r="O288" s="179"/>
      <c r="P288" s="179"/>
      <c r="Q288" s="179"/>
      <c r="R288" s="179"/>
      <c r="S288" s="179"/>
    </row>
    <row r="289" spans="1:19" ht="14.5" customHeight="1">
      <c r="A289" s="179" t="s">
        <v>217</v>
      </c>
      <c r="B289" s="179"/>
      <c r="C289" s="179"/>
      <c r="D289" s="179"/>
      <c r="E289" s="179"/>
      <c r="F289" s="179"/>
      <c r="G289" s="179"/>
      <c r="H289" s="179"/>
      <c r="I289" s="179"/>
      <c r="J289" s="179"/>
      <c r="K289" s="179"/>
      <c r="L289" s="179"/>
      <c r="M289" s="179"/>
      <c r="N289" s="179"/>
      <c r="O289" s="179"/>
      <c r="P289" s="179"/>
      <c r="Q289" s="179"/>
      <c r="R289" s="179"/>
      <c r="S289" s="179"/>
    </row>
    <row r="290" spans="1:19" ht="14.5" customHeight="1">
      <c r="A290" s="179" t="s">
        <v>218</v>
      </c>
      <c r="B290" s="179"/>
      <c r="C290" s="179"/>
      <c r="D290" s="179"/>
      <c r="E290" s="179"/>
      <c r="F290" s="179"/>
      <c r="G290" s="179"/>
      <c r="H290" s="179"/>
      <c r="I290" s="179"/>
      <c r="J290" s="179"/>
      <c r="K290" s="179"/>
      <c r="L290" s="179"/>
      <c r="M290" s="179"/>
      <c r="N290" s="179"/>
      <c r="O290" s="179"/>
      <c r="P290" s="179"/>
      <c r="Q290" s="179"/>
      <c r="R290" s="179"/>
      <c r="S290" s="179"/>
    </row>
    <row r="291" spans="1:19" ht="14.5" customHeight="1">
      <c r="A291" s="179" t="s">
        <v>219</v>
      </c>
      <c r="B291" s="179"/>
      <c r="C291" s="179"/>
      <c r="D291" s="179"/>
      <c r="E291" s="179"/>
      <c r="F291" s="179"/>
      <c r="G291" s="179"/>
      <c r="H291" s="179"/>
      <c r="I291" s="179"/>
      <c r="J291" s="179"/>
      <c r="K291" s="179"/>
      <c r="L291" s="179"/>
      <c r="M291" s="179"/>
      <c r="N291" s="179"/>
      <c r="O291" s="179"/>
      <c r="P291" s="179"/>
      <c r="Q291" s="179"/>
      <c r="R291" s="179"/>
      <c r="S291" s="179"/>
    </row>
    <row r="292" spans="1:19" ht="14.5" customHeight="1">
      <c r="A292" s="179" t="s">
        <v>220</v>
      </c>
      <c r="B292" s="179"/>
      <c r="C292" s="179"/>
      <c r="D292" s="179"/>
      <c r="E292" s="179"/>
      <c r="F292" s="179"/>
      <c r="G292" s="179"/>
      <c r="H292" s="179"/>
      <c r="I292" s="179"/>
      <c r="J292" s="179"/>
      <c r="K292" s="179"/>
      <c r="L292" s="179"/>
      <c r="M292" s="179"/>
      <c r="N292" s="179"/>
      <c r="O292" s="179"/>
      <c r="P292" s="179"/>
      <c r="Q292" s="179"/>
      <c r="R292" s="179"/>
      <c r="S292" s="179"/>
    </row>
    <row r="293" spans="1:19" ht="14.5" customHeight="1">
      <c r="A293" s="179" t="s">
        <v>221</v>
      </c>
      <c r="B293" s="179"/>
      <c r="C293" s="179"/>
      <c r="D293" s="179"/>
      <c r="E293" s="179"/>
      <c r="F293" s="179"/>
      <c r="G293" s="179"/>
      <c r="H293" s="179"/>
      <c r="I293" s="179"/>
      <c r="J293" s="179"/>
      <c r="K293" s="179"/>
      <c r="L293" s="179"/>
      <c r="M293" s="179"/>
      <c r="N293" s="179"/>
      <c r="O293" s="179"/>
      <c r="P293" s="179"/>
      <c r="Q293" s="179"/>
      <c r="R293" s="179"/>
      <c r="S293" s="179"/>
    </row>
    <row r="294" spans="1:19" ht="14.5" customHeight="1">
      <c r="A294" s="179" t="s">
        <v>222</v>
      </c>
      <c r="B294" s="179"/>
      <c r="C294" s="179"/>
      <c r="D294" s="179"/>
      <c r="E294" s="179"/>
      <c r="F294" s="179"/>
      <c r="G294" s="179"/>
      <c r="H294" s="179"/>
      <c r="I294" s="179"/>
      <c r="J294" s="179"/>
      <c r="K294" s="179"/>
      <c r="L294" s="179"/>
      <c r="M294" s="179"/>
      <c r="N294" s="179"/>
      <c r="O294" s="179"/>
      <c r="P294" s="179"/>
      <c r="Q294" s="179"/>
      <c r="R294" s="179"/>
      <c r="S294" s="179"/>
    </row>
    <row r="295" spans="1:19" ht="14.5" customHeight="1">
      <c r="A295" s="179" t="s">
        <v>223</v>
      </c>
      <c r="B295" s="179"/>
      <c r="C295" s="179"/>
      <c r="D295" s="179"/>
      <c r="E295" s="179"/>
      <c r="F295" s="179"/>
      <c r="G295" s="179"/>
      <c r="H295" s="179"/>
      <c r="I295" s="179"/>
      <c r="J295" s="179"/>
      <c r="K295" s="179"/>
      <c r="L295" s="179"/>
      <c r="M295" s="179"/>
      <c r="N295" s="179"/>
      <c r="O295" s="179"/>
      <c r="P295" s="179"/>
      <c r="Q295" s="179"/>
      <c r="R295" s="179"/>
      <c r="S295" s="179"/>
    </row>
  </sheetData>
  <mergeCells count="60">
    <mergeCell ref="A291:S291"/>
    <mergeCell ref="A292:S292"/>
    <mergeCell ref="A293:S293"/>
    <mergeCell ref="A294:S294"/>
    <mergeCell ref="A295:S295"/>
    <mergeCell ref="A286:S286"/>
    <mergeCell ref="A287:S287"/>
    <mergeCell ref="A288:S288"/>
    <mergeCell ref="A289:S289"/>
    <mergeCell ref="A290:S290"/>
    <mergeCell ref="A281:S281"/>
    <mergeCell ref="A282:S282"/>
    <mergeCell ref="A283:S283"/>
    <mergeCell ref="A284:S284"/>
    <mergeCell ref="A285:S285"/>
    <mergeCell ref="A276:S276"/>
    <mergeCell ref="A277:S277"/>
    <mergeCell ref="A278:S278"/>
    <mergeCell ref="A279:S279"/>
    <mergeCell ref="A280:S280"/>
    <mergeCell ref="A271:S271"/>
    <mergeCell ref="A272:S272"/>
    <mergeCell ref="A273:S273"/>
    <mergeCell ref="A274:S274"/>
    <mergeCell ref="A275:S275"/>
    <mergeCell ref="B249:D249"/>
    <mergeCell ref="H249:J249"/>
    <mergeCell ref="B262:D262"/>
    <mergeCell ref="H262:J262"/>
    <mergeCell ref="A270:S270"/>
    <mergeCell ref="B160:D160"/>
    <mergeCell ref="H160:J160"/>
    <mergeCell ref="B230:D230"/>
    <mergeCell ref="H230:J230"/>
    <mergeCell ref="B234:D234"/>
    <mergeCell ref="H234:J234"/>
    <mergeCell ref="B84:D84"/>
    <mergeCell ref="H84:J84"/>
    <mergeCell ref="B124:D124"/>
    <mergeCell ref="H124:J124"/>
    <mergeCell ref="B125:D125"/>
    <mergeCell ref="H125:J125"/>
    <mergeCell ref="B80:D80"/>
    <mergeCell ref="H80:J80"/>
    <mergeCell ref="B81:D81"/>
    <mergeCell ref="H81:J81"/>
    <mergeCell ref="B83:D83"/>
    <mergeCell ref="H83:J83"/>
    <mergeCell ref="B33:D33"/>
    <mergeCell ref="H33:J33"/>
    <mergeCell ref="B34:D34"/>
    <mergeCell ref="H34:J34"/>
    <mergeCell ref="B50:D50"/>
    <mergeCell ref="H50:J50"/>
    <mergeCell ref="B1:D1"/>
    <mergeCell ref="H1:J1"/>
    <mergeCell ref="N1:O1"/>
    <mergeCell ref="Q1:S1"/>
    <mergeCell ref="B7:D7"/>
    <mergeCell ref="H7:J7"/>
  </mergeCells>
  <hyperlinks>
    <hyperlink ref="V1" r:id="rId1" xr:uid="{00000000-0004-0000-0200-000000000000}"/>
  </hyperlinks>
  <pageMargins left="0.7" right="0.7" top="0.75" bottom="0.75" header="0.51180555555555496" footer="0.51180555555555496"/>
  <pageSetup firstPageNumber="0"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Budget</vt:lpstr>
      <vt:lpstr>Retirement Calculator</vt:lpstr>
      <vt:lpstr>Sugguestions</vt:lpstr>
      <vt:lpstr>Tax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Jason Argo</cp:lastModifiedBy>
  <cp:revision>1</cp:revision>
  <dcterms:created xsi:type="dcterms:W3CDTF">2018-10-06T00:11:54Z</dcterms:created>
  <dcterms:modified xsi:type="dcterms:W3CDTF">2019-03-02T01:36:21Z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