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rgonaut/Desktop/"/>
    </mc:Choice>
  </mc:AlternateContent>
  <xr:revisionPtr revIDLastSave="0" documentId="13_ncr:1_{11B68FD1-DD11-6E45-9D50-04F58882BD86}" xr6:coauthVersionLast="41" xr6:coauthVersionMax="41" xr10:uidLastSave="{00000000-0000-0000-0000-000000000000}"/>
  <bookViews>
    <workbookView xWindow="0" yWindow="460" windowWidth="25600" windowHeight="15540" tabRatio="500" xr2:uid="{00000000-000D-0000-FFFF-FFFF00000000}"/>
  </bookViews>
  <sheets>
    <sheet name="Retirement Calculato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" i="5" l="1"/>
  <c r="A6" i="5" l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M4" i="5" l="1"/>
  <c r="Q6" i="5" l="1"/>
  <c r="F6" i="5" l="1"/>
  <c r="G6" i="5" s="1"/>
  <c r="N6" i="5" l="1"/>
  <c r="O6" i="5"/>
  <c r="B6" i="5"/>
  <c r="C7" i="5"/>
  <c r="I7" i="5"/>
  <c r="D7" i="5" l="1"/>
  <c r="S7" i="5"/>
  <c r="T7" i="5" s="1"/>
  <c r="F7" i="5"/>
  <c r="G7" i="5" s="1"/>
  <c r="J6" i="5"/>
  <c r="L6" i="5"/>
  <c r="K6" i="5"/>
  <c r="M6" i="5"/>
  <c r="Q7" i="5"/>
  <c r="B7" i="5"/>
  <c r="R7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E7" i="5" l="1"/>
  <c r="I26" i="5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L7" i="5"/>
  <c r="K7" i="5"/>
  <c r="J7" i="5"/>
  <c r="N7" i="5"/>
  <c r="M7" i="5"/>
  <c r="O7" i="5"/>
  <c r="B8" i="5"/>
  <c r="R8" i="5" s="1"/>
  <c r="C8" i="5"/>
  <c r="S8" i="5" l="1"/>
  <c r="T8" i="5" s="1"/>
  <c r="D8" i="5"/>
  <c r="E8" i="5" s="1"/>
  <c r="Q8" i="5"/>
  <c r="F8" i="5"/>
  <c r="G8" i="5" s="1"/>
  <c r="L8" i="5"/>
  <c r="K8" i="5"/>
  <c r="J8" i="5"/>
  <c r="B9" i="5"/>
  <c r="R9" i="5" s="1"/>
  <c r="C9" i="5"/>
  <c r="S9" i="5" l="1"/>
  <c r="T9" i="5" s="1"/>
  <c r="D9" i="5"/>
  <c r="E9" i="5" s="1"/>
  <c r="Q9" i="5"/>
  <c r="F9" i="5"/>
  <c r="G9" i="5" s="1"/>
  <c r="L9" i="5"/>
  <c r="K9" i="5"/>
  <c r="J9" i="5"/>
  <c r="O8" i="5"/>
  <c r="N8" i="5"/>
  <c r="M8" i="5"/>
  <c r="B10" i="5"/>
  <c r="R10" i="5" s="1"/>
  <c r="C10" i="5"/>
  <c r="S10" i="5" l="1"/>
  <c r="T10" i="5" s="1"/>
  <c r="D10" i="5"/>
  <c r="E10" i="5" s="1"/>
  <c r="Q10" i="5"/>
  <c r="F10" i="5"/>
  <c r="G10" i="5" s="1"/>
  <c r="J10" i="5"/>
  <c r="L10" i="5"/>
  <c r="K10" i="5"/>
  <c r="O9" i="5"/>
  <c r="N9" i="5"/>
  <c r="M9" i="5"/>
  <c r="C11" i="5"/>
  <c r="B11" i="5"/>
  <c r="R11" i="5" s="1"/>
  <c r="S11" i="5" l="1"/>
  <c r="T11" i="5" s="1"/>
  <c r="D11" i="5"/>
  <c r="E11" i="5" s="1"/>
  <c r="Q11" i="5"/>
  <c r="F11" i="5"/>
  <c r="G11" i="5" s="1"/>
  <c r="L11" i="5"/>
  <c r="K11" i="5"/>
  <c r="J11" i="5"/>
  <c r="M10" i="5"/>
  <c r="O10" i="5"/>
  <c r="N10" i="5"/>
  <c r="B12" i="5"/>
  <c r="C12" i="5"/>
  <c r="S12" i="5" l="1"/>
  <c r="T12" i="5" s="1"/>
  <c r="R12" i="5"/>
  <c r="C101" i="5"/>
  <c r="D12" i="5"/>
  <c r="E12" i="5" s="1"/>
  <c r="Q12" i="5"/>
  <c r="F12" i="5"/>
  <c r="G12" i="5" s="1"/>
  <c r="L12" i="5"/>
  <c r="K12" i="5"/>
  <c r="J12" i="5"/>
  <c r="N11" i="5"/>
  <c r="M11" i="5"/>
  <c r="O11" i="5"/>
  <c r="B13" i="5"/>
  <c r="R13" i="5" s="1"/>
  <c r="C13" i="5"/>
  <c r="S13" i="5" l="1"/>
  <c r="T13" i="5" s="1"/>
  <c r="D13" i="5"/>
  <c r="E13" i="5" s="1"/>
  <c r="Q13" i="5"/>
  <c r="F13" i="5"/>
  <c r="G13" i="5" s="1"/>
  <c r="J13" i="5"/>
  <c r="L13" i="5"/>
  <c r="K13" i="5"/>
  <c r="O12" i="5"/>
  <c r="N12" i="5"/>
  <c r="M12" i="5"/>
  <c r="B14" i="5"/>
  <c r="R14" i="5" s="1"/>
  <c r="C14" i="5"/>
  <c r="S14" i="5" l="1"/>
  <c r="T14" i="5"/>
  <c r="D14" i="5"/>
  <c r="E14" i="5" s="1"/>
  <c r="Q14" i="5"/>
  <c r="F14" i="5"/>
  <c r="G14" i="5" s="1"/>
  <c r="J14" i="5"/>
  <c r="L14" i="5"/>
  <c r="K14" i="5"/>
  <c r="O13" i="5"/>
  <c r="N13" i="5"/>
  <c r="M13" i="5"/>
  <c r="B15" i="5"/>
  <c r="R15" i="5" s="1"/>
  <c r="C15" i="5"/>
  <c r="S15" i="5" l="1"/>
  <c r="T15" i="5" s="1"/>
  <c r="D15" i="5"/>
  <c r="Q15" i="5"/>
  <c r="F15" i="5"/>
  <c r="G15" i="5" s="1"/>
  <c r="L15" i="5"/>
  <c r="K15" i="5"/>
  <c r="J15" i="5"/>
  <c r="M14" i="5"/>
  <c r="O14" i="5"/>
  <c r="N14" i="5"/>
  <c r="B16" i="5"/>
  <c r="R16" i="5" s="1"/>
  <c r="C16" i="5"/>
  <c r="E15" i="5" l="1"/>
  <c r="S16" i="5" s="1"/>
  <c r="T16" i="5" s="1"/>
  <c r="Q16" i="5"/>
  <c r="F16" i="5"/>
  <c r="G16" i="5" s="1"/>
  <c r="L16" i="5"/>
  <c r="K16" i="5"/>
  <c r="J16" i="5"/>
  <c r="N15" i="5"/>
  <c r="M15" i="5"/>
  <c r="O15" i="5"/>
  <c r="B17" i="5"/>
  <c r="R17" i="5" s="1"/>
  <c r="C17" i="5"/>
  <c r="D16" i="5" l="1"/>
  <c r="E16" i="5" s="1"/>
  <c r="S17" i="5" s="1"/>
  <c r="T17" i="5" s="1"/>
  <c r="Q17" i="5"/>
  <c r="F17" i="5"/>
  <c r="G17" i="5" s="1"/>
  <c r="L17" i="5"/>
  <c r="K17" i="5"/>
  <c r="J17" i="5"/>
  <c r="O16" i="5"/>
  <c r="N16" i="5"/>
  <c r="M16" i="5"/>
  <c r="B18" i="5"/>
  <c r="R18" i="5" s="1"/>
  <c r="C18" i="5"/>
  <c r="D17" i="5" l="1"/>
  <c r="E17" i="5" s="1"/>
  <c r="S18" i="5" s="1"/>
  <c r="T18" i="5" s="1"/>
  <c r="Q18" i="5"/>
  <c r="F18" i="5"/>
  <c r="G18" i="5" s="1"/>
  <c r="J18" i="5"/>
  <c r="K18" i="5"/>
  <c r="L18" i="5"/>
  <c r="O17" i="5"/>
  <c r="N17" i="5"/>
  <c r="M17" i="5"/>
  <c r="B19" i="5"/>
  <c r="R19" i="5" s="1"/>
  <c r="C19" i="5"/>
  <c r="D18" i="5" l="1"/>
  <c r="E18" i="5" s="1"/>
  <c r="S19" i="5" s="1"/>
  <c r="T19" i="5" s="1"/>
  <c r="Q19" i="5"/>
  <c r="F19" i="5"/>
  <c r="G19" i="5" s="1"/>
  <c r="L19" i="5"/>
  <c r="K19" i="5"/>
  <c r="J19" i="5"/>
  <c r="M18" i="5"/>
  <c r="O18" i="5"/>
  <c r="N18" i="5"/>
  <c r="B20" i="5"/>
  <c r="R20" i="5" s="1"/>
  <c r="C20" i="5"/>
  <c r="D19" i="5" l="1"/>
  <c r="E19" i="5" s="1"/>
  <c r="S20" i="5" s="1"/>
  <c r="T20" i="5" s="1"/>
  <c r="Q20" i="5"/>
  <c r="F20" i="5"/>
  <c r="G20" i="5" s="1"/>
  <c r="L20" i="5"/>
  <c r="K20" i="5"/>
  <c r="J20" i="5"/>
  <c r="N19" i="5"/>
  <c r="M19" i="5"/>
  <c r="O19" i="5"/>
  <c r="B21" i="5"/>
  <c r="R21" i="5" s="1"/>
  <c r="C21" i="5"/>
  <c r="D20" i="5" l="1"/>
  <c r="E20" i="5" s="1"/>
  <c r="S21" i="5" s="1"/>
  <c r="T21" i="5" s="1"/>
  <c r="Q21" i="5"/>
  <c r="F21" i="5"/>
  <c r="G21" i="5" s="1"/>
  <c r="J21" i="5"/>
  <c r="L21" i="5"/>
  <c r="K21" i="5"/>
  <c r="O20" i="5"/>
  <c r="N20" i="5"/>
  <c r="M20" i="5"/>
  <c r="B22" i="5"/>
  <c r="R22" i="5" s="1"/>
  <c r="C22" i="5"/>
  <c r="D21" i="5" l="1"/>
  <c r="E21" i="5" s="1"/>
  <c r="S22" i="5" s="1"/>
  <c r="T22" i="5" s="1"/>
  <c r="Q22" i="5"/>
  <c r="F22" i="5"/>
  <c r="G22" i="5" s="1"/>
  <c r="J22" i="5"/>
  <c r="L22" i="5"/>
  <c r="K22" i="5"/>
  <c r="O21" i="5"/>
  <c r="N21" i="5"/>
  <c r="M21" i="5"/>
  <c r="B23" i="5"/>
  <c r="R23" i="5" s="1"/>
  <c r="C23" i="5"/>
  <c r="D22" i="5" l="1"/>
  <c r="E22" i="5" s="1"/>
  <c r="S23" i="5" s="1"/>
  <c r="T23" i="5" s="1"/>
  <c r="Q23" i="5"/>
  <c r="F23" i="5"/>
  <c r="G23" i="5" s="1"/>
  <c r="L23" i="5"/>
  <c r="K23" i="5"/>
  <c r="J23" i="5"/>
  <c r="M22" i="5"/>
  <c r="O22" i="5"/>
  <c r="N22" i="5"/>
  <c r="B24" i="5"/>
  <c r="R24" i="5" s="1"/>
  <c r="C24" i="5"/>
  <c r="D23" i="5" l="1"/>
  <c r="E23" i="5" s="1"/>
  <c r="S24" i="5" s="1"/>
  <c r="T24" i="5" s="1"/>
  <c r="Q24" i="5"/>
  <c r="F24" i="5"/>
  <c r="G24" i="5" s="1"/>
  <c r="L24" i="5"/>
  <c r="K24" i="5"/>
  <c r="J24" i="5"/>
  <c r="N23" i="5"/>
  <c r="M23" i="5"/>
  <c r="O23" i="5"/>
  <c r="B25" i="5"/>
  <c r="R25" i="5" s="1"/>
  <c r="C25" i="5"/>
  <c r="D24" i="5" l="1"/>
  <c r="E24" i="5" s="1"/>
  <c r="S25" i="5" s="1"/>
  <c r="T25" i="5" s="1"/>
  <c r="Q25" i="5"/>
  <c r="F25" i="5"/>
  <c r="G25" i="5" s="1"/>
  <c r="J25" i="5"/>
  <c r="L25" i="5"/>
  <c r="K25" i="5"/>
  <c r="O24" i="5"/>
  <c r="N24" i="5"/>
  <c r="M24" i="5"/>
  <c r="B26" i="5"/>
  <c r="R26" i="5" s="1"/>
  <c r="C26" i="5"/>
  <c r="D25" i="5" l="1"/>
  <c r="E25" i="5" s="1"/>
  <c r="S26" i="5" s="1"/>
  <c r="T26" i="5" s="1"/>
  <c r="Q26" i="5"/>
  <c r="F26" i="5"/>
  <c r="G26" i="5" s="1"/>
  <c r="J26" i="5"/>
  <c r="K26" i="5"/>
  <c r="L26" i="5"/>
  <c r="O25" i="5"/>
  <c r="N25" i="5"/>
  <c r="M25" i="5"/>
  <c r="B27" i="5"/>
  <c r="R27" i="5" s="1"/>
  <c r="C27" i="5"/>
  <c r="D26" i="5" l="1"/>
  <c r="E26" i="5" s="1"/>
  <c r="S27" i="5" s="1"/>
  <c r="T27" i="5" s="1"/>
  <c r="Q27" i="5"/>
  <c r="F27" i="5"/>
  <c r="G27" i="5" s="1"/>
  <c r="L27" i="5"/>
  <c r="K27" i="5"/>
  <c r="J27" i="5"/>
  <c r="M26" i="5"/>
  <c r="O26" i="5"/>
  <c r="N26" i="5"/>
  <c r="B28" i="5"/>
  <c r="R28" i="5" s="1"/>
  <c r="C28" i="5"/>
  <c r="D27" i="5" l="1"/>
  <c r="E27" i="5" s="1"/>
  <c r="S28" i="5" s="1"/>
  <c r="T28" i="5" s="1"/>
  <c r="Q28" i="5"/>
  <c r="F28" i="5"/>
  <c r="G28" i="5" s="1"/>
  <c r="L28" i="5"/>
  <c r="K28" i="5"/>
  <c r="J28" i="5"/>
  <c r="N27" i="5"/>
  <c r="M27" i="5"/>
  <c r="O27" i="5"/>
  <c r="B29" i="5"/>
  <c r="R29" i="5" s="1"/>
  <c r="C29" i="5"/>
  <c r="D28" i="5" l="1"/>
  <c r="E28" i="5" s="1"/>
  <c r="S29" i="5" s="1"/>
  <c r="T29" i="5" s="1"/>
  <c r="Q29" i="5"/>
  <c r="F29" i="5"/>
  <c r="G29" i="5" s="1"/>
  <c r="L29" i="5"/>
  <c r="K29" i="5"/>
  <c r="J29" i="5"/>
  <c r="O28" i="5"/>
  <c r="N28" i="5"/>
  <c r="M28" i="5"/>
  <c r="B30" i="5"/>
  <c r="R30" i="5" s="1"/>
  <c r="C30" i="5"/>
  <c r="D29" i="5" l="1"/>
  <c r="E29" i="5" s="1"/>
  <c r="S30" i="5" s="1"/>
  <c r="T30" i="5" s="1"/>
  <c r="Q30" i="5"/>
  <c r="F30" i="5"/>
  <c r="G30" i="5" s="1"/>
  <c r="J30" i="5"/>
  <c r="K30" i="5"/>
  <c r="L30" i="5"/>
  <c r="O29" i="5"/>
  <c r="N29" i="5"/>
  <c r="M29" i="5"/>
  <c r="B31" i="5"/>
  <c r="R31" i="5" s="1"/>
  <c r="C31" i="5"/>
  <c r="D30" i="5" l="1"/>
  <c r="E30" i="5" s="1"/>
  <c r="S31" i="5" s="1"/>
  <c r="T31" i="5" s="1"/>
  <c r="Q31" i="5"/>
  <c r="F31" i="5"/>
  <c r="G31" i="5" s="1"/>
  <c r="L31" i="5"/>
  <c r="K31" i="5"/>
  <c r="J31" i="5"/>
  <c r="M30" i="5"/>
  <c r="O30" i="5"/>
  <c r="N30" i="5"/>
  <c r="B32" i="5"/>
  <c r="R32" i="5" s="1"/>
  <c r="C32" i="5"/>
  <c r="D31" i="5" l="1"/>
  <c r="E31" i="5" s="1"/>
  <c r="S32" i="5" s="1"/>
  <c r="T32" i="5" s="1"/>
  <c r="D32" i="5"/>
  <c r="E32" i="5" s="1"/>
  <c r="Q32" i="5"/>
  <c r="F32" i="5"/>
  <c r="G32" i="5" s="1"/>
  <c r="L32" i="5"/>
  <c r="K32" i="5"/>
  <c r="J32" i="5"/>
  <c r="N31" i="5"/>
  <c r="M31" i="5"/>
  <c r="O31" i="5"/>
  <c r="B33" i="5"/>
  <c r="R33" i="5" s="1"/>
  <c r="C33" i="5"/>
  <c r="S33" i="5" l="1"/>
  <c r="T33" i="5" s="1"/>
  <c r="D33" i="5"/>
  <c r="E33" i="5" s="1"/>
  <c r="Q33" i="5"/>
  <c r="F33" i="5"/>
  <c r="G33" i="5" s="1"/>
  <c r="J33" i="5"/>
  <c r="L33" i="5"/>
  <c r="K33" i="5"/>
  <c r="O32" i="5"/>
  <c r="N32" i="5"/>
  <c r="M32" i="5"/>
  <c r="B34" i="5"/>
  <c r="R34" i="5" s="1"/>
  <c r="C34" i="5"/>
  <c r="S34" i="5" l="1"/>
  <c r="T34" i="5" s="1"/>
  <c r="D34" i="5"/>
  <c r="E34" i="5" s="1"/>
  <c r="Q34" i="5"/>
  <c r="F34" i="5"/>
  <c r="G34" i="5" s="1"/>
  <c r="J34" i="5"/>
  <c r="L34" i="5"/>
  <c r="K34" i="5"/>
  <c r="O33" i="5"/>
  <c r="N33" i="5"/>
  <c r="M33" i="5"/>
  <c r="B35" i="5"/>
  <c r="R35" i="5" s="1"/>
  <c r="C35" i="5"/>
  <c r="S35" i="5" l="1"/>
  <c r="T35" i="5" s="1"/>
  <c r="D35" i="5"/>
  <c r="Q35" i="5"/>
  <c r="F35" i="5"/>
  <c r="G35" i="5" s="1"/>
  <c r="L35" i="5"/>
  <c r="K35" i="5"/>
  <c r="J35" i="5"/>
  <c r="M34" i="5"/>
  <c r="O34" i="5"/>
  <c r="N34" i="5"/>
  <c r="B36" i="5"/>
  <c r="R36" i="5" s="1"/>
  <c r="C36" i="5"/>
  <c r="E35" i="5" l="1"/>
  <c r="S36" i="5" s="1"/>
  <c r="T36" i="5" s="1"/>
  <c r="Q36" i="5"/>
  <c r="F36" i="5"/>
  <c r="G36" i="5" s="1"/>
  <c r="L36" i="5"/>
  <c r="K36" i="5"/>
  <c r="J36" i="5"/>
  <c r="N35" i="5"/>
  <c r="M35" i="5"/>
  <c r="O35" i="5"/>
  <c r="B37" i="5"/>
  <c r="R37" i="5" s="1"/>
  <c r="C37" i="5"/>
  <c r="D36" i="5" l="1"/>
  <c r="E36" i="5" s="1"/>
  <c r="S37" i="5" s="1"/>
  <c r="T37" i="5" s="1"/>
  <c r="Q37" i="5"/>
  <c r="F37" i="5"/>
  <c r="G37" i="5" s="1"/>
  <c r="L37" i="5"/>
  <c r="K37" i="5"/>
  <c r="J37" i="5"/>
  <c r="O36" i="5"/>
  <c r="N36" i="5"/>
  <c r="M36" i="5"/>
  <c r="B38" i="5"/>
  <c r="R38" i="5" s="1"/>
  <c r="C38" i="5"/>
  <c r="D37" i="5" l="1"/>
  <c r="E37" i="5" s="1"/>
  <c r="S38" i="5" s="1"/>
  <c r="T38" i="5" s="1"/>
  <c r="Q38" i="5"/>
  <c r="F38" i="5"/>
  <c r="G38" i="5" s="1"/>
  <c r="J38" i="5"/>
  <c r="K38" i="5"/>
  <c r="L38" i="5"/>
  <c r="O37" i="5"/>
  <c r="N37" i="5"/>
  <c r="M37" i="5"/>
  <c r="B39" i="5"/>
  <c r="R39" i="5" s="1"/>
  <c r="C39" i="5"/>
  <c r="D38" i="5" l="1"/>
  <c r="E38" i="5" s="1"/>
  <c r="S39" i="5" s="1"/>
  <c r="T39" i="5" s="1"/>
  <c r="Q39" i="5"/>
  <c r="F39" i="5"/>
  <c r="G39" i="5" s="1"/>
  <c r="L39" i="5"/>
  <c r="K39" i="5"/>
  <c r="J39" i="5"/>
  <c r="M38" i="5"/>
  <c r="O38" i="5"/>
  <c r="N38" i="5"/>
  <c r="B40" i="5"/>
  <c r="R40" i="5" s="1"/>
  <c r="C40" i="5"/>
  <c r="D39" i="5" l="1"/>
  <c r="E39" i="5" s="1"/>
  <c r="S40" i="5" s="1"/>
  <c r="T40" i="5" s="1"/>
  <c r="Q40" i="5"/>
  <c r="F40" i="5"/>
  <c r="G40" i="5" s="1"/>
  <c r="L40" i="5"/>
  <c r="K40" i="5"/>
  <c r="J40" i="5"/>
  <c r="N39" i="5"/>
  <c r="M39" i="5"/>
  <c r="O39" i="5"/>
  <c r="B41" i="5"/>
  <c r="R41" i="5" s="1"/>
  <c r="C41" i="5"/>
  <c r="D40" i="5" l="1"/>
  <c r="E40" i="5" s="1"/>
  <c r="S41" i="5" s="1"/>
  <c r="T41" i="5" s="1"/>
  <c r="Q41" i="5"/>
  <c r="F41" i="5"/>
  <c r="G41" i="5" s="1"/>
  <c r="J41" i="5"/>
  <c r="L41" i="5"/>
  <c r="K41" i="5"/>
  <c r="O40" i="5"/>
  <c r="N40" i="5"/>
  <c r="M40" i="5"/>
  <c r="B42" i="5"/>
  <c r="R42" i="5" s="1"/>
  <c r="C42" i="5"/>
  <c r="D41" i="5" l="1"/>
  <c r="E41" i="5" s="1"/>
  <c r="S42" i="5" s="1"/>
  <c r="T42" i="5" s="1"/>
  <c r="Q42" i="5"/>
  <c r="F42" i="5"/>
  <c r="G42" i="5" s="1"/>
  <c r="J42" i="5"/>
  <c r="L42" i="5"/>
  <c r="K42" i="5"/>
  <c r="O41" i="5"/>
  <c r="N41" i="5"/>
  <c r="M41" i="5"/>
  <c r="B43" i="5"/>
  <c r="R43" i="5" s="1"/>
  <c r="C43" i="5"/>
  <c r="D42" i="5" l="1"/>
  <c r="E42" i="5" s="1"/>
  <c r="S43" i="5" s="1"/>
  <c r="T43" i="5" s="1"/>
  <c r="Q43" i="5"/>
  <c r="F43" i="5"/>
  <c r="G43" i="5" s="1"/>
  <c r="M42" i="5"/>
  <c r="O42" i="5"/>
  <c r="N42" i="5"/>
  <c r="B44" i="5"/>
  <c r="R44" i="5" s="1"/>
  <c r="C44" i="5"/>
  <c r="D43" i="5" l="1"/>
  <c r="E43" i="5" s="1"/>
  <c r="S44" i="5" s="1"/>
  <c r="T44" i="5" s="1"/>
  <c r="L43" i="5"/>
  <c r="J43" i="5"/>
  <c r="Q44" i="5"/>
  <c r="F44" i="5"/>
  <c r="G44" i="5" s="1"/>
  <c r="L44" i="5" s="1"/>
  <c r="K43" i="5"/>
  <c r="N43" i="5"/>
  <c r="M43" i="5"/>
  <c r="O43" i="5"/>
  <c r="C45" i="5"/>
  <c r="B45" i="5"/>
  <c r="R45" i="5" s="1"/>
  <c r="D44" i="5" l="1"/>
  <c r="E44" i="5" s="1"/>
  <c r="S45" i="5" s="1"/>
  <c r="T45" i="5" s="1"/>
  <c r="Q45" i="5"/>
  <c r="F45" i="5"/>
  <c r="G45" i="5" s="1"/>
  <c r="J45" i="5" s="1"/>
  <c r="J44" i="5"/>
  <c r="K44" i="5"/>
  <c r="O44" i="5"/>
  <c r="N44" i="5"/>
  <c r="M44" i="5"/>
  <c r="C46" i="5"/>
  <c r="B46" i="5"/>
  <c r="R46" i="5" s="1"/>
  <c r="D45" i="5" l="1"/>
  <c r="E45" i="5" s="1"/>
  <c r="D46" i="5" s="1"/>
  <c r="E46" i="5" s="1"/>
  <c r="Q46" i="5"/>
  <c r="F46" i="5"/>
  <c r="G46" i="5" s="1"/>
  <c r="J46" i="5" s="1"/>
  <c r="K45" i="5"/>
  <c r="L45" i="5"/>
  <c r="O45" i="5"/>
  <c r="N45" i="5"/>
  <c r="M45" i="5"/>
  <c r="C47" i="5"/>
  <c r="B47" i="5"/>
  <c r="R47" i="5" s="1"/>
  <c r="S46" i="5" l="1"/>
  <c r="T46" i="5" s="1"/>
  <c r="S47" i="5"/>
  <c r="T47" i="5" s="1"/>
  <c r="D47" i="5"/>
  <c r="E47" i="5" s="1"/>
  <c r="Q47" i="5"/>
  <c r="F47" i="5"/>
  <c r="G47" i="5" s="1"/>
  <c r="L47" i="5" s="1"/>
  <c r="L46" i="5"/>
  <c r="K46" i="5"/>
  <c r="M46" i="5"/>
  <c r="O46" i="5"/>
  <c r="N46" i="5"/>
  <c r="C48" i="5"/>
  <c r="B48" i="5"/>
  <c r="R48" i="5" s="1"/>
  <c r="S48" i="5" l="1"/>
  <c r="T48" i="5"/>
  <c r="D48" i="5"/>
  <c r="C49" i="5"/>
  <c r="Q48" i="5"/>
  <c r="F48" i="5"/>
  <c r="G48" i="5" s="1"/>
  <c r="L48" i="5" s="1"/>
  <c r="J47" i="5"/>
  <c r="K47" i="5"/>
  <c r="N47" i="5"/>
  <c r="M47" i="5"/>
  <c r="O47" i="5"/>
  <c r="B49" i="5"/>
  <c r="R49" i="5" s="1"/>
  <c r="Q49" i="5" l="1"/>
  <c r="C50" i="5"/>
  <c r="F49" i="5"/>
  <c r="E48" i="5"/>
  <c r="S49" i="5" s="1"/>
  <c r="T49" i="5" s="1"/>
  <c r="F50" i="5"/>
  <c r="J48" i="5"/>
  <c r="K48" i="5"/>
  <c r="O48" i="5"/>
  <c r="N48" i="5"/>
  <c r="M48" i="5"/>
  <c r="B50" i="5"/>
  <c r="R50" i="5" s="1"/>
  <c r="G49" i="5"/>
  <c r="L49" i="5" s="1"/>
  <c r="C51" i="5"/>
  <c r="Q50" i="5" l="1"/>
  <c r="D49" i="5"/>
  <c r="E49" i="5" s="1"/>
  <c r="S50" i="5" s="1"/>
  <c r="T50" i="5" s="1"/>
  <c r="Q51" i="5"/>
  <c r="F51" i="5"/>
  <c r="J49" i="5"/>
  <c r="K49" i="5"/>
  <c r="O49" i="5"/>
  <c r="N49" i="5"/>
  <c r="M49" i="5"/>
  <c r="B51" i="5"/>
  <c r="R51" i="5" s="1"/>
  <c r="G50" i="5"/>
  <c r="J50" i="5" s="1"/>
  <c r="C52" i="5"/>
  <c r="D50" i="5" l="1"/>
  <c r="E50" i="5" s="1"/>
  <c r="S51" i="5" s="1"/>
  <c r="T51" i="5" s="1"/>
  <c r="Q52" i="5"/>
  <c r="F52" i="5"/>
  <c r="K50" i="5"/>
  <c r="L50" i="5"/>
  <c r="M50" i="5"/>
  <c r="O50" i="5"/>
  <c r="N50" i="5"/>
  <c r="B52" i="5"/>
  <c r="R52" i="5" s="1"/>
  <c r="G51" i="5"/>
  <c r="L51" i="5" s="1"/>
  <c r="C53" i="5"/>
  <c r="D51" i="5" l="1"/>
  <c r="E51" i="5" s="1"/>
  <c r="S52" i="5" s="1"/>
  <c r="T52" i="5" s="1"/>
  <c r="Q53" i="5"/>
  <c r="F53" i="5"/>
  <c r="J51" i="5"/>
  <c r="K51" i="5"/>
  <c r="N51" i="5"/>
  <c r="M51" i="5"/>
  <c r="O51" i="5"/>
  <c r="B53" i="5"/>
  <c r="R53" i="5" s="1"/>
  <c r="G52" i="5"/>
  <c r="L52" i="5" s="1"/>
  <c r="C54" i="5"/>
  <c r="D52" i="5" l="1"/>
  <c r="E52" i="5" s="1"/>
  <c r="S53" i="5" s="1"/>
  <c r="T53" i="5" s="1"/>
  <c r="Q54" i="5"/>
  <c r="F54" i="5"/>
  <c r="J52" i="5"/>
  <c r="K52" i="5"/>
  <c r="O52" i="5"/>
  <c r="N52" i="5"/>
  <c r="M52" i="5"/>
  <c r="B54" i="5"/>
  <c r="R54" i="5" s="1"/>
  <c r="G53" i="5"/>
  <c r="L53" i="5" s="1"/>
  <c r="C55" i="5"/>
  <c r="D53" i="5" l="1"/>
  <c r="E53" i="5" s="1"/>
  <c r="S54" i="5" s="1"/>
  <c r="T54" i="5" s="1"/>
  <c r="Q55" i="5"/>
  <c r="F55" i="5"/>
  <c r="K53" i="5"/>
  <c r="J53" i="5"/>
  <c r="O53" i="5"/>
  <c r="N53" i="5"/>
  <c r="M53" i="5"/>
  <c r="B55" i="5"/>
  <c r="R55" i="5" s="1"/>
  <c r="G54" i="5"/>
  <c r="L54" i="5" s="1"/>
  <c r="C56" i="5"/>
  <c r="D54" i="5" l="1"/>
  <c r="E54" i="5" s="1"/>
  <c r="S55" i="5" s="1"/>
  <c r="T55" i="5" s="1"/>
  <c r="K54" i="5"/>
  <c r="Q56" i="5"/>
  <c r="F56" i="5"/>
  <c r="J54" i="5"/>
  <c r="M54" i="5"/>
  <c r="O54" i="5"/>
  <c r="N54" i="5"/>
  <c r="B56" i="5"/>
  <c r="R56" i="5" s="1"/>
  <c r="G55" i="5"/>
  <c r="J55" i="5" s="1"/>
  <c r="C57" i="5"/>
  <c r="D55" i="5" l="1"/>
  <c r="E55" i="5" s="1"/>
  <c r="S56" i="5" s="1"/>
  <c r="T56" i="5" s="1"/>
  <c r="Q57" i="5"/>
  <c r="F57" i="5"/>
  <c r="K55" i="5"/>
  <c r="L55" i="5"/>
  <c r="N55" i="5"/>
  <c r="M55" i="5"/>
  <c r="O55" i="5"/>
  <c r="B57" i="5"/>
  <c r="R57" i="5" s="1"/>
  <c r="G56" i="5"/>
  <c r="L56" i="5" s="1"/>
  <c r="C58" i="5"/>
  <c r="D56" i="5" l="1"/>
  <c r="E56" i="5" s="1"/>
  <c r="S57" i="5" s="1"/>
  <c r="T57" i="5" s="1"/>
  <c r="J56" i="5"/>
  <c r="Q58" i="5"/>
  <c r="F58" i="5"/>
  <c r="K56" i="5"/>
  <c r="O56" i="5"/>
  <c r="N56" i="5"/>
  <c r="M56" i="5"/>
  <c r="B58" i="5"/>
  <c r="R58" i="5" s="1"/>
  <c r="G57" i="5"/>
  <c r="L57" i="5" s="1"/>
  <c r="C59" i="5"/>
  <c r="D57" i="5" l="1"/>
  <c r="E57" i="5" s="1"/>
  <c r="S58" i="5" s="1"/>
  <c r="T58" i="5" s="1"/>
  <c r="K57" i="5"/>
  <c r="Q59" i="5"/>
  <c r="F59" i="5"/>
  <c r="J57" i="5"/>
  <c r="O57" i="5"/>
  <c r="N57" i="5"/>
  <c r="M57" i="5"/>
  <c r="B59" i="5"/>
  <c r="R59" i="5" s="1"/>
  <c r="G58" i="5"/>
  <c r="L58" i="5" s="1"/>
  <c r="C60" i="5"/>
  <c r="D58" i="5" l="1"/>
  <c r="E58" i="5" s="1"/>
  <c r="S59" i="5" s="1"/>
  <c r="T59" i="5" s="1"/>
  <c r="Q60" i="5"/>
  <c r="F60" i="5"/>
  <c r="K58" i="5"/>
  <c r="J58" i="5"/>
  <c r="M58" i="5"/>
  <c r="O58" i="5"/>
  <c r="N58" i="5"/>
  <c r="B60" i="5"/>
  <c r="R60" i="5" s="1"/>
  <c r="G59" i="5"/>
  <c r="K59" i="5" s="1"/>
  <c r="C61" i="5"/>
  <c r="D59" i="5" l="1"/>
  <c r="E59" i="5" s="1"/>
  <c r="S60" i="5" s="1"/>
  <c r="T60" i="5" s="1"/>
  <c r="Q61" i="5"/>
  <c r="F61" i="5"/>
  <c r="L59" i="5"/>
  <c r="J59" i="5"/>
  <c r="N59" i="5"/>
  <c r="M59" i="5"/>
  <c r="O59" i="5"/>
  <c r="B61" i="5"/>
  <c r="R61" i="5" s="1"/>
  <c r="G60" i="5"/>
  <c r="L60" i="5" s="1"/>
  <c r="D60" i="5" l="1"/>
  <c r="E60" i="5" s="1"/>
  <c r="S61" i="5" s="1"/>
  <c r="T61" i="5" s="1"/>
  <c r="J60" i="5"/>
  <c r="K60" i="5"/>
  <c r="O60" i="5"/>
  <c r="N60" i="5"/>
  <c r="M60" i="5"/>
  <c r="G61" i="5"/>
  <c r="K61" i="5" s="1"/>
  <c r="D61" i="5" l="1"/>
  <c r="E61" i="5" s="1"/>
  <c r="J61" i="5"/>
  <c r="L61" i="5"/>
  <c r="O61" i="5"/>
  <c r="N61" i="5"/>
  <c r="M61" i="5"/>
</calcChain>
</file>

<file path=xl/sharedStrings.xml><?xml version="1.0" encoding="utf-8"?>
<sst xmlns="http://schemas.openxmlformats.org/spreadsheetml/2006/main" count="55" uniqueCount="53">
  <si>
    <t>Retirement Contribution:</t>
  </si>
  <si>
    <t>Age</t>
  </si>
  <si>
    <t>Year</t>
  </si>
  <si>
    <t>Starting Year</t>
  </si>
  <si>
    <t>Kid(s) Start College</t>
  </si>
  <si>
    <t>Kid(s) Finished with College</t>
  </si>
  <si>
    <t>Future Value of Dollar</t>
  </si>
  <si>
    <t>Retirement Total:</t>
  </si>
  <si>
    <t>IRA &amp; 401K Withdrawl Allowed</t>
  </si>
  <si>
    <t>Planned Inheritence After Death:</t>
  </si>
  <si>
    <t>Savings Contribution:</t>
  </si>
  <si>
    <t>Starting Age</t>
  </si>
  <si>
    <t>Retirement Calculator</t>
  </si>
  <si>
    <t>Notes and Adjustments</t>
  </si>
  <si>
    <t>(In Current Years Dollars)</t>
  </si>
  <si>
    <t>401K Match:</t>
  </si>
  <si>
    <t>Starting Savings:</t>
  </si>
  <si>
    <t>Starting Retire:</t>
  </si>
  <si>
    <t>Retirement Investment Rate:</t>
  </si>
  <si>
    <t>Savings Investment Rate</t>
  </si>
  <si>
    <t>Avg. Salary Increase:</t>
  </si>
  <si>
    <t>Avg. Inflation Rate:</t>
  </si>
  <si>
    <t>Avg. Savings Return</t>
  </si>
  <si>
    <t>Age 40 $1,000,000 Investment Goal</t>
  </si>
  <si>
    <t>Expected Age of Death:</t>
  </si>
  <si>
    <t>Starting Base Income:</t>
  </si>
  <si>
    <t>55 Yrs of Working</t>
  </si>
  <si>
    <t>Expected Retirement Age</t>
  </si>
  <si>
    <t>Start Career</t>
  </si>
  <si>
    <t>MBA Yr 1 ($15,000)</t>
  </si>
  <si>
    <t>MBA Yr 2 ($15,000)</t>
  </si>
  <si>
    <t>Finish MBA (10% Salary Increase)</t>
  </si>
  <si>
    <t>(In Current Year's Dollars)</t>
  </si>
  <si>
    <t>(Adj. for Avg. Lifetime Inflation)</t>
  </si>
  <si>
    <t>Other Item(s):</t>
  </si>
  <si>
    <t>40 Years Worked</t>
  </si>
  <si>
    <t>(Adj. for Current Purchasing Power)</t>
  </si>
  <si>
    <t>Salary Adjusted for Current Purchasing Power</t>
  </si>
  <si>
    <t>"_%" Rule Avg. Withdrawl Rate</t>
  </si>
  <si>
    <t>Annual Retirement Lifetime Withdrawl Rate</t>
  </si>
  <si>
    <t>Avergage Retirement (Conservative) Return:</t>
  </si>
  <si>
    <t>Avg. Investments Return:</t>
  </si>
  <si>
    <t>Bonus Profit Sharing / Variable Income:</t>
  </si>
  <si>
    <t>Profit Sharing / Variable Income Savings Rate:</t>
  </si>
  <si>
    <t>Profti Sharing / Variable Income Investment Rate:</t>
  </si>
  <si>
    <t>Average Murphy Cost (Will Adj for Inf.)</t>
  </si>
  <si>
    <t>Emergency Fund % of Income</t>
  </si>
  <si>
    <t>Years Between "Murphy Visits"</t>
  </si>
  <si>
    <t>Excess Savings of Emergency Fund</t>
  </si>
  <si>
    <t>Saving Total:</t>
  </si>
  <si>
    <t>Salary:</t>
  </si>
  <si>
    <t>Excess Savings Total</t>
  </si>
  <si>
    <t xml:space="preserve">Visualization of Murphy's Law 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</si>
</sst>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(* #,##0.0_);_(* \(#,##0.0\);_(* &quot;-&quot;??_);_(@_)"/>
    <numFmt numFmtId="167" formatCode="_(* #,##0.0_);_(* \(#,##0.0\);_(* &quot;-&quot;?_);_(@_)"/>
  </numFmts>
  <fonts count="12"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name val="Times"/>
      <family val="1"/>
    </font>
    <font>
      <sz val="12"/>
      <name val="Times"/>
      <family val="1"/>
    </font>
    <font>
      <b/>
      <sz val="12"/>
      <name val="Times Roman"/>
    </font>
    <font>
      <sz val="12"/>
      <name val="Times Roman"/>
    </font>
    <font>
      <b/>
      <i/>
      <sz val="12"/>
      <name val="Times"/>
      <family val="1"/>
    </font>
    <font>
      <b/>
      <sz val="14"/>
      <name val="Times"/>
      <family val="1"/>
    </font>
    <font>
      <b/>
      <sz val="18"/>
      <name val="Times"/>
      <family val="1"/>
    </font>
    <font>
      <b/>
      <sz val="2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Border="0" applyProtection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8" fillId="0" borderId="7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3" xfId="0" applyFont="1" applyBorder="1" applyAlignment="1"/>
    <xf numFmtId="164" fontId="5" fillId="0" borderId="0" xfId="3" applyNumberFormat="1" applyFont="1" applyFill="1" applyBorder="1" applyAlignment="1">
      <alignment horizontal="left"/>
    </xf>
    <xf numFmtId="0" fontId="7" fillId="0" borderId="0" xfId="0" applyFont="1" applyFill="1" applyBorder="1"/>
    <xf numFmtId="0" fontId="4" fillId="0" borderId="9" xfId="0" applyFont="1" applyBorder="1" applyAlignment="1"/>
    <xf numFmtId="0" fontId="4" fillId="0" borderId="0" xfId="0" applyFont="1" applyBorder="1" applyAlignment="1"/>
    <xf numFmtId="0" fontId="6" fillId="0" borderId="0" xfId="0" applyFont="1" applyBorder="1"/>
    <xf numFmtId="0" fontId="8" fillId="0" borderId="4" xfId="0" applyFont="1" applyBorder="1" applyAlignment="1">
      <alignment horizontal="center" vertical="center"/>
    </xf>
    <xf numFmtId="164" fontId="5" fillId="2" borderId="8" xfId="3" applyNumberFormat="1" applyFont="1" applyFill="1" applyBorder="1" applyAlignment="1"/>
    <xf numFmtId="10" fontId="7" fillId="2" borderId="0" xfId="1" applyNumberFormat="1" applyFont="1" applyFill="1" applyBorder="1"/>
    <xf numFmtId="10" fontId="7" fillId="2" borderId="6" xfId="1" applyNumberFormat="1" applyFont="1" applyFill="1" applyBorder="1"/>
    <xf numFmtId="10" fontId="7" fillId="2" borderId="8" xfId="1" applyNumberFormat="1" applyFont="1" applyFill="1" applyBorder="1"/>
    <xf numFmtId="164" fontId="5" fillId="2" borderId="6" xfId="3" applyNumberFormat="1" applyFont="1" applyFill="1" applyBorder="1" applyAlignment="1"/>
    <xf numFmtId="165" fontId="7" fillId="2" borderId="8" xfId="4" applyNumberFormat="1" applyFont="1" applyFill="1" applyBorder="1"/>
    <xf numFmtId="0" fontId="0" fillId="0" borderId="0" xfId="0" applyFill="1" applyBorder="1"/>
    <xf numFmtId="0" fontId="7" fillId="2" borderId="0" xfId="0" applyFont="1" applyFill="1" applyBorder="1"/>
    <xf numFmtId="0" fontId="7" fillId="3" borderId="0" xfId="0" applyFont="1" applyFill="1" applyBorder="1"/>
    <xf numFmtId="0" fontId="7" fillId="4" borderId="0" xfId="0" applyFont="1" applyFill="1" applyBorder="1"/>
    <xf numFmtId="0" fontId="9" fillId="0" borderId="0" xfId="0" applyFont="1" applyBorder="1" applyAlignment="1">
      <alignment vertical="center"/>
    </xf>
    <xf numFmtId="0" fontId="0" fillId="0" borderId="0" xfId="0" applyBorder="1"/>
    <xf numFmtId="0" fontId="8" fillId="0" borderId="5" xfId="0" applyFont="1" applyBorder="1" applyAlignment="1">
      <alignment horizontal="center" vertical="center"/>
    </xf>
    <xf numFmtId="164" fontId="5" fillId="0" borderId="14" xfId="3" applyNumberFormat="1" applyFont="1" applyBorder="1" applyAlignment="1">
      <alignment horizontal="left"/>
    </xf>
    <xf numFmtId="164" fontId="5" fillId="0" borderId="7" xfId="3" applyNumberFormat="1" applyFont="1" applyBorder="1" applyAlignment="1">
      <alignment horizontal="left"/>
    </xf>
    <xf numFmtId="0" fontId="7" fillId="0" borderId="1" xfId="0" applyFont="1" applyBorder="1"/>
    <xf numFmtId="164" fontId="5" fillId="0" borderId="8" xfId="3" applyNumberFormat="1" applyFont="1" applyBorder="1" applyAlignment="1">
      <alignment horizontal="left"/>
    </xf>
    <xf numFmtId="0" fontId="7" fillId="0" borderId="8" xfId="0" applyFont="1" applyBorder="1"/>
    <xf numFmtId="0" fontId="7" fillId="0" borderId="9" xfId="0" applyFont="1" applyBorder="1"/>
    <xf numFmtId="0" fontId="7" fillId="0" borderId="0" xfId="0" applyFont="1" applyBorder="1"/>
    <xf numFmtId="164" fontId="5" fillId="0" borderId="0" xfId="3" applyNumberFormat="1" applyFont="1" applyBorder="1" applyAlignment="1">
      <alignment horizontal="left"/>
    </xf>
    <xf numFmtId="164" fontId="5" fillId="0" borderId="10" xfId="3" applyNumberFormat="1" applyFont="1" applyBorder="1" applyAlignment="1">
      <alignment horizontal="left"/>
    </xf>
    <xf numFmtId="0" fontId="7" fillId="0" borderId="9" xfId="0" applyFont="1" applyFill="1" applyBorder="1"/>
    <xf numFmtId="0" fontId="7" fillId="0" borderId="3" xfId="0" applyFont="1" applyFill="1" applyBorder="1"/>
    <xf numFmtId="0" fontId="7" fillId="0" borderId="6" xfId="0" applyFont="1" applyFill="1" applyBorder="1"/>
    <xf numFmtId="164" fontId="5" fillId="0" borderId="6" xfId="3" applyNumberFormat="1" applyFont="1" applyFill="1" applyBorder="1" applyAlignment="1">
      <alignment horizontal="left"/>
    </xf>
    <xf numFmtId="164" fontId="5" fillId="0" borderId="6" xfId="3" applyNumberFormat="1" applyFont="1" applyBorder="1" applyAlignment="1">
      <alignment horizontal="left"/>
    </xf>
    <xf numFmtId="164" fontId="5" fillId="0" borderId="9" xfId="3" applyNumberFormat="1" applyFont="1" applyFill="1" applyBorder="1" applyAlignment="1">
      <alignment horizontal="left"/>
    </xf>
    <xf numFmtId="164" fontId="5" fillId="0" borderId="3" xfId="3" applyNumberFormat="1" applyFont="1" applyFill="1" applyBorder="1" applyAlignment="1">
      <alignment horizontal="left"/>
    </xf>
    <xf numFmtId="0" fontId="0" fillId="0" borderId="15" xfId="0" applyBorder="1"/>
    <xf numFmtId="0" fontId="0" fillId="0" borderId="14" xfId="0" applyBorder="1"/>
    <xf numFmtId="166" fontId="0" fillId="0" borderId="0" xfId="0" applyNumberFormat="1"/>
    <xf numFmtId="167" fontId="0" fillId="0" borderId="0" xfId="0" applyNumberFormat="1"/>
    <xf numFmtId="43" fontId="0" fillId="0" borderId="0" xfId="0" applyNumberFormat="1"/>
    <xf numFmtId="164" fontId="5" fillId="0" borderId="9" xfId="3" applyNumberFormat="1" applyFont="1" applyBorder="1" applyAlignment="1">
      <alignment horizontal="left"/>
    </xf>
    <xf numFmtId="164" fontId="5" fillId="0" borderId="3" xfId="3" applyNumberFormat="1" applyFont="1" applyBorder="1" applyAlignment="1">
      <alignment horizontal="left"/>
    </xf>
    <xf numFmtId="0" fontId="6" fillId="0" borderId="6" xfId="0" applyFont="1" applyBorder="1"/>
    <xf numFmtId="10" fontId="7" fillId="2" borderId="4" xfId="1" applyNumberFormat="1" applyFont="1" applyFill="1" applyBorder="1"/>
    <xf numFmtId="0" fontId="0" fillId="0" borderId="10" xfId="0" applyBorder="1"/>
    <xf numFmtId="0" fontId="0" fillId="0" borderId="4" xfId="0" applyBorder="1"/>
    <xf numFmtId="164" fontId="5" fillId="0" borderId="4" xfId="3" applyNumberFormat="1" applyFont="1" applyBorder="1" applyAlignment="1">
      <alignment horizontal="left"/>
    </xf>
    <xf numFmtId="164" fontId="5" fillId="0" borderId="4" xfId="3" applyNumberFormat="1" applyFont="1" applyFill="1" applyBorder="1" applyAlignment="1">
      <alignment horizontal="left"/>
    </xf>
    <xf numFmtId="164" fontId="0" fillId="0" borderId="0" xfId="0" applyNumberFormat="1"/>
    <xf numFmtId="164" fontId="5" fillId="2" borderId="0" xfId="3" applyNumberFormat="1" applyFont="1" applyFill="1" applyBorder="1" applyAlignment="1"/>
    <xf numFmtId="165" fontId="7" fillId="2" borderId="0" xfId="4" applyNumberFormat="1" applyFont="1" applyFill="1" applyBorder="1"/>
    <xf numFmtId="10" fontId="7" fillId="2" borderId="10" xfId="1" applyNumberFormat="1" applyFont="1" applyFill="1" applyBorder="1"/>
    <xf numFmtId="0" fontId="7" fillId="2" borderId="10" xfId="0" applyFont="1" applyFill="1" applyBorder="1"/>
    <xf numFmtId="44" fontId="7" fillId="2" borderId="4" xfId="3" applyFont="1" applyFill="1" applyBorder="1"/>
    <xf numFmtId="0" fontId="4" fillId="0" borderId="11" xfId="0" applyFont="1" applyBorder="1" applyAlignment="1"/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5">
    <cellStyle name="Comma" xfId="4" builtinId="3"/>
    <cellStyle name="Currency" xfId="3" builtinId="4"/>
    <cellStyle name="Excel Built-in Explanatory Text" xfId="2" xr:uid="{00000000-0005-0000-0000-000007000000}"/>
    <cellStyle name="Normal" xfId="0" builtinId="0"/>
    <cellStyle name="Percent" xfId="1" builtinId="5"/>
  </cellStyles>
  <dxfs count="2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3F3F3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Annual</a:t>
            </a:r>
            <a:r>
              <a:rPr lang="en-US" sz="3600" baseline="0"/>
              <a:t> Income vs 4% Rule Withdrawl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'Retirement Calculator'!$C$5</c:f>
              <c:strCache>
                <c:ptCount val="1"/>
                <c:pt idx="0">
                  <c:v>Salary: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Calculator'!$C$6:$C$61</c:f>
              <c:numCache>
                <c:formatCode>_([$$-409]* #,##0.00_);_([$$-409]* \(#,##0.00\);_([$$-409]* "-"??_);_(@_)</c:formatCode>
                <c:ptCount val="56"/>
                <c:pt idx="0">
                  <c:v>0</c:v>
                </c:pt>
                <c:pt idx="1">
                  <c:v>65000</c:v>
                </c:pt>
                <c:pt idx="2">
                  <c:v>67600</c:v>
                </c:pt>
                <c:pt idx="3">
                  <c:v>70304</c:v>
                </c:pt>
                <c:pt idx="4">
                  <c:v>73116.160000000003</c:v>
                </c:pt>
                <c:pt idx="5">
                  <c:v>83352.42240000001</c:v>
                </c:pt>
                <c:pt idx="6">
                  <c:v>86686.519296000013</c:v>
                </c:pt>
                <c:pt idx="7">
                  <c:v>90153.980067840021</c:v>
                </c:pt>
                <c:pt idx="8">
                  <c:v>93760.139270553627</c:v>
                </c:pt>
                <c:pt idx="9">
                  <c:v>97510.544841375769</c:v>
                </c:pt>
                <c:pt idx="10">
                  <c:v>101410.96663503081</c:v>
                </c:pt>
                <c:pt idx="11">
                  <c:v>105467.40530043204</c:v>
                </c:pt>
                <c:pt idx="12">
                  <c:v>109686.10151244933</c:v>
                </c:pt>
                <c:pt idx="13">
                  <c:v>114073.5455729473</c:v>
                </c:pt>
                <c:pt idx="14">
                  <c:v>118636.4873958652</c:v>
                </c:pt>
                <c:pt idx="15">
                  <c:v>123381.94689169982</c:v>
                </c:pt>
                <c:pt idx="16">
                  <c:v>128317.22476736781</c:v>
                </c:pt>
                <c:pt idx="17">
                  <c:v>133449.91375806252</c:v>
                </c:pt>
                <c:pt idx="18">
                  <c:v>138787.91030838504</c:v>
                </c:pt>
                <c:pt idx="19">
                  <c:v>144339.42672072045</c:v>
                </c:pt>
                <c:pt idx="20">
                  <c:v>150113.00378954929</c:v>
                </c:pt>
                <c:pt idx="21">
                  <c:v>156117.52394113125</c:v>
                </c:pt>
                <c:pt idx="22">
                  <c:v>162362.22489877651</c:v>
                </c:pt>
                <c:pt idx="23">
                  <c:v>168856.71389472758</c:v>
                </c:pt>
                <c:pt idx="24">
                  <c:v>175610.98245051669</c:v>
                </c:pt>
                <c:pt idx="25">
                  <c:v>182635.42174853737</c:v>
                </c:pt>
                <c:pt idx="26">
                  <c:v>189940.83861847885</c:v>
                </c:pt>
                <c:pt idx="27">
                  <c:v>197538.47216321802</c:v>
                </c:pt>
                <c:pt idx="28">
                  <c:v>205440.01104974674</c:v>
                </c:pt>
                <c:pt idx="29">
                  <c:v>213657.61149173661</c:v>
                </c:pt>
                <c:pt idx="30">
                  <c:v>222203.91595140609</c:v>
                </c:pt>
                <c:pt idx="31">
                  <c:v>231092.07258946233</c:v>
                </c:pt>
                <c:pt idx="32">
                  <c:v>240335.75549304084</c:v>
                </c:pt>
                <c:pt idx="33">
                  <c:v>249949.18571276247</c:v>
                </c:pt>
                <c:pt idx="34">
                  <c:v>259947.15314127298</c:v>
                </c:pt>
                <c:pt idx="35">
                  <c:v>270345.03926692391</c:v>
                </c:pt>
                <c:pt idx="36">
                  <c:v>281158.84083760087</c:v>
                </c:pt>
                <c:pt idx="37">
                  <c:v>292405.19447110494</c:v>
                </c:pt>
                <c:pt idx="38">
                  <c:v>304101.40224994917</c:v>
                </c:pt>
                <c:pt idx="39">
                  <c:v>316265.45833994716</c:v>
                </c:pt>
                <c:pt idx="40">
                  <c:v>328916.07667354506</c:v>
                </c:pt>
                <c:pt idx="41">
                  <c:v>342072.71974048688</c:v>
                </c:pt>
                <c:pt idx="42">
                  <c:v>355755.62853010639</c:v>
                </c:pt>
                <c:pt idx="43">
                  <c:v>369985.85367131064</c:v>
                </c:pt>
                <c:pt idx="44">
                  <c:v>384785.28781816311</c:v>
                </c:pt>
                <c:pt idx="45">
                  <c:v>400176.69933088962</c:v>
                </c:pt>
                <c:pt idx="46">
                  <c:v>416183.76730412524</c:v>
                </c:pt>
                <c:pt idx="47">
                  <c:v>432831.11799629027</c:v>
                </c:pt>
                <c:pt idx="48">
                  <c:v>450144.36271614191</c:v>
                </c:pt>
                <c:pt idx="49">
                  <c:v>468150.13722478761</c:v>
                </c:pt>
                <c:pt idx="50">
                  <c:v>486876.14271377912</c:v>
                </c:pt>
                <c:pt idx="51">
                  <c:v>506351.18842233031</c:v>
                </c:pt>
                <c:pt idx="52">
                  <c:v>526605.23595922359</c:v>
                </c:pt>
                <c:pt idx="53">
                  <c:v>547669.4453975925</c:v>
                </c:pt>
                <c:pt idx="54">
                  <c:v>569576.22321349627</c:v>
                </c:pt>
                <c:pt idx="55">
                  <c:v>592359.27214203612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9-6543-939F-2955055F9AF0}"/>
            </c:ext>
          </c:extLst>
        </c:ser>
        <c:ser>
          <c:idx val="2"/>
          <c:order val="1"/>
          <c:tx>
            <c:strRef>
              <c:f>'Retirement Calculator'!$M$4:$O$4</c:f>
              <c:strCache>
                <c:ptCount val="1"/>
                <c:pt idx="0">
                  <c:v>4.5% Rule Withdrawl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Calculator'!$O$6:$O$61</c:f>
              <c:numCache>
                <c:formatCode>_([$$-409]* #,##0.00_);_([$$-409]* \(#,##0.00\);_([$$-409]* "-"??_);_(@_)</c:formatCode>
                <c:ptCount val="56"/>
                <c:pt idx="0">
                  <c:v>450</c:v>
                </c:pt>
                <c:pt idx="1">
                  <c:v>1270.5</c:v>
                </c:pt>
                <c:pt idx="2">
                  <c:v>2196.0450000000001</c:v>
                </c:pt>
                <c:pt idx="3">
                  <c:v>3237.3370500000001</c:v>
                </c:pt>
                <c:pt idx="4">
                  <c:v>4406.0913044999998</c:v>
                </c:pt>
                <c:pt idx="5">
                  <c:v>5802.8685907050003</c:v>
                </c:pt>
                <c:pt idx="6">
                  <c:v>7365.3649954204511</c:v>
                </c:pt>
                <c:pt idx="7">
                  <c:v>9110.0956058223728</c:v>
                </c:pt>
                <c:pt idx="8">
                  <c:v>11055.12588159303</c:v>
                </c:pt>
                <c:pt idx="9">
                  <c:v>13220.213749032915</c:v>
                </c:pt>
                <c:pt idx="10">
                  <c:v>15626.964586066249</c:v>
                </c:pt>
                <c:pt idx="11">
                  <c:v>18299.000262417398</c:v>
                </c:pt>
                <c:pt idx="12">
                  <c:v>21262.143504184358</c:v>
                </c:pt>
                <c:pt idx="13">
                  <c:v>24544.618966436319</c:v>
                </c:pt>
                <c:pt idx="14">
                  <c:v>28177.272522165975</c:v>
                </c:pt>
                <c:pt idx="15">
                  <c:v>32193.810411861312</c:v>
                </c:pt>
                <c:pt idx="16">
                  <c:v>36631.060046137252</c:v>
                </c:pt>
                <c:pt idx="17">
                  <c:v>41529.254415386356</c:v>
                </c:pt>
                <c:pt idx="18">
                  <c:v>46932.342236471755</c:v>
                </c:pt>
                <c:pt idx="19">
                  <c:v>52888.326158402859</c:v>
                </c:pt>
                <c:pt idx="20">
                  <c:v>59449.631558133711</c:v>
                </c:pt>
                <c:pt idx="21">
                  <c:v>66673.508685659326</c:v>
                </c:pt>
                <c:pt idx="22">
                  <c:v>74622.471166153991</c:v>
                </c:pt>
                <c:pt idx="23">
                  <c:v>83364.774137844579</c:v>
                </c:pt>
                <c:pt idx="24">
                  <c:v>92974.93559965679</c:v>
                </c:pt>
                <c:pt idx="25">
                  <c:v>103534.30486460836</c:v>
                </c:pt>
                <c:pt idx="26">
                  <c:v>115131.68236584486</c:v>
                </c:pt>
                <c:pt idx="27">
                  <c:v>127863.99544472952</c:v>
                </c:pt>
                <c:pt idx="28">
                  <c:v>141837.03516735215</c:v>
                </c:pt>
                <c:pt idx="29">
                  <c:v>157166.2596703147</c:v>
                </c:pt>
                <c:pt idx="30">
                  <c:v>173977.67003205992</c:v>
                </c:pt>
                <c:pt idx="31">
                  <c:v>192408.7652060189</c:v>
                </c:pt>
                <c:pt idx="32">
                  <c:v>212609.5831404771</c:v>
                </c:pt>
                <c:pt idx="33">
                  <c:v>234743.83585167321</c:v>
                </c:pt>
                <c:pt idx="34">
                  <c:v>258990.14691601909</c:v>
                </c:pt>
                <c:pt idx="35">
                  <c:v>285543.40060966392</c:v>
                </c:pt>
                <c:pt idx="36">
                  <c:v>314616.21275458491</c:v>
                </c:pt>
                <c:pt idx="37">
                  <c:v>346440.53423615085</c:v>
                </c:pt>
                <c:pt idx="38">
                  <c:v>381269.39914440381</c:v>
                </c:pt>
                <c:pt idx="39">
                  <c:v>419378.8305674796</c:v>
                </c:pt>
                <c:pt idx="40">
                  <c:v>461069.91823863529</c:v>
                </c:pt>
                <c:pt idx="41">
                  <c:v>506671.08351699839</c:v>
                </c:pt>
                <c:pt idx="42">
                  <c:v>556540.54857588955</c:v>
                </c:pt>
                <c:pt idx="43">
                  <c:v>611069.02819177543</c:v>
                </c:pt>
                <c:pt idx="44">
                  <c:v>670682.6641828533</c:v>
                </c:pt>
                <c:pt idx="45">
                  <c:v>735846.22435128072</c:v>
                </c:pt>
                <c:pt idx="46">
                  <c:v>807066.58975054568</c:v>
                </c:pt>
                <c:pt idx="47">
                  <c:v>884896.55624405039</c:v>
                </c:pt>
                <c:pt idx="48">
                  <c:v>969938.97865860863</c:v>
                </c:pt>
                <c:pt idx="49">
                  <c:v>1062851.288384581</c:v>
                </c:pt>
                <c:pt idx="50">
                  <c:v>1164350.4180517585</c:v>
                </c:pt>
                <c:pt idx="51">
                  <c:v>1275218.1699374849</c:v>
                </c:pt>
                <c:pt idx="52">
                  <c:v>1396307.0680633693</c:v>
                </c:pt>
                <c:pt idx="53">
                  <c:v>1528546.7375338436</c:v>
                </c:pt>
                <c:pt idx="54">
                  <c:v>1672950.8585904518</c:v>
                </c:pt>
                <c:pt idx="55">
                  <c:v>1830624.7471292971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9-6543-939F-2955055F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432352"/>
        <c:axId val="1291090208"/>
      </c:lineChart>
      <c:catAx>
        <c:axId val="13604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90208"/>
        <c:crosses val="autoZero"/>
        <c:auto val="1"/>
        <c:lblAlgn val="ctr"/>
        <c:lblOffset val="100"/>
        <c:noMultiLvlLbl val="0"/>
      </c:catAx>
      <c:valAx>
        <c:axId val="12910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Value Of Investments At</a:t>
            </a:r>
            <a:r>
              <a:rPr lang="en-US" sz="2800" baseline="0"/>
              <a:t> the End of</a:t>
            </a:r>
          </a:p>
          <a:p>
            <a:pPr>
              <a:defRPr/>
            </a:pPr>
            <a:r>
              <a:rPr lang="en-US" sz="2800"/>
              <a:t> Each</a:t>
            </a:r>
            <a:r>
              <a:rPr lang="en-US" sz="2800" baseline="0"/>
              <a:t> Year Worked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'Retirement Calculator'!$G$5</c:f>
              <c:strCache>
                <c:ptCount val="1"/>
                <c:pt idx="0">
                  <c:v>Retirement Total: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Calculator'!$G$6:$G$61</c:f>
              <c:numCache>
                <c:formatCode>_([$$-409]* #,##0.00_);_([$$-409]* \(#,##0.00\);_([$$-409]* "-"??_);_(@_)</c:formatCode>
                <c:ptCount val="56"/>
                <c:pt idx="0">
                  <c:v>10000</c:v>
                </c:pt>
                <c:pt idx="1">
                  <c:v>28233.333333333332</c:v>
                </c:pt>
                <c:pt idx="2">
                  <c:v>48801</c:v>
                </c:pt>
                <c:pt idx="3">
                  <c:v>71940.823333333334</c:v>
                </c:pt>
                <c:pt idx="4">
                  <c:v>97913.140100000004</c:v>
                </c:pt>
                <c:pt idx="5">
                  <c:v>128952.63534900002</c:v>
                </c:pt>
                <c:pt idx="6">
                  <c:v>163674.77767601004</c:v>
                </c:pt>
                <c:pt idx="7">
                  <c:v>202446.56901827495</c:v>
                </c:pt>
                <c:pt idx="8">
                  <c:v>245669.46403540068</c:v>
                </c:pt>
                <c:pt idx="9">
                  <c:v>293782.52775628702</c:v>
                </c:pt>
                <c:pt idx="10">
                  <c:v>347265.87969036109</c:v>
                </c:pt>
                <c:pt idx="11">
                  <c:v>406644.45027594216</c:v>
                </c:pt>
                <c:pt idx="12">
                  <c:v>472492.07787076349</c:v>
                </c:pt>
                <c:pt idx="13">
                  <c:v>545435.97703191824</c:v>
                </c:pt>
                <c:pt idx="14">
                  <c:v>626161.61160368833</c:v>
                </c:pt>
                <c:pt idx="15">
                  <c:v>715418.00915247365</c:v>
                </c:pt>
                <c:pt idx="16">
                  <c:v>814023.5565808278</c:v>
                </c:pt>
                <c:pt idx="17">
                  <c:v>922872.32034191908</c:v>
                </c:pt>
                <c:pt idx="18">
                  <c:v>1042940.9385882613</c:v>
                </c:pt>
                <c:pt idx="19">
                  <c:v>1175296.1368533969</c:v>
                </c:pt>
                <c:pt idx="20">
                  <c:v>1321102.9235140826</c:v>
                </c:pt>
                <c:pt idx="21">
                  <c:v>1481633.526347985</c:v>
                </c:pt>
                <c:pt idx="22">
                  <c:v>1658277.1370256443</c:v>
                </c:pt>
                <c:pt idx="23">
                  <c:v>1852550.5363965463</c:v>
                </c:pt>
                <c:pt idx="24">
                  <c:v>2066109.6799923733</c:v>
                </c:pt>
                <c:pt idx="25">
                  <c:v>2300762.3303246303</c:v>
                </c:pt>
                <c:pt idx="26">
                  <c:v>2558481.830352108</c:v>
                </c:pt>
                <c:pt idx="27">
                  <c:v>2841422.1209939895</c:v>
                </c:pt>
                <c:pt idx="28">
                  <c:v>3151934.1148300478</c:v>
                </c:pt>
                <c:pt idx="29">
                  <c:v>3492583.5482292157</c:v>
                </c:pt>
                <c:pt idx="30">
                  <c:v>3866170.4451568872</c:v>
                </c:pt>
                <c:pt idx="31">
                  <c:v>4275750.3379115313</c:v>
                </c:pt>
                <c:pt idx="32">
                  <c:v>4724657.4031217135</c:v>
                </c:pt>
                <c:pt idx="33">
                  <c:v>5216529.685592738</c:v>
                </c:pt>
                <c:pt idx="34">
                  <c:v>5755336.5981337577</c:v>
                </c:pt>
                <c:pt idx="35">
                  <c:v>6345408.9024369763</c:v>
                </c:pt>
                <c:pt idx="36">
                  <c:v>6991471.3945463318</c:v>
                </c:pt>
                <c:pt idx="37">
                  <c:v>7698678.5385811301</c:v>
                </c:pt>
                <c:pt idx="38">
                  <c:v>8472653.3143200856</c:v>
                </c:pt>
                <c:pt idx="39">
                  <c:v>9319529.5681662131</c:v>
                </c:pt>
                <c:pt idx="40">
                  <c:v>10245998.183080785</c:v>
                </c:pt>
                <c:pt idx="41">
                  <c:v>11259357.411488853</c:v>
                </c:pt>
                <c:pt idx="42">
                  <c:v>12367567.74613088</c:v>
                </c:pt>
                <c:pt idx="43">
                  <c:v>13579311.737595011</c:v>
                </c:pt>
                <c:pt idx="44">
                  <c:v>14904059.204063406</c:v>
                </c:pt>
                <c:pt idx="45">
                  <c:v>16352138.318917351</c:v>
                </c:pt>
                <c:pt idx="46">
                  <c:v>17934813.105567683</c:v>
                </c:pt>
                <c:pt idx="47">
                  <c:v>19664367.916534454</c:v>
                </c:pt>
                <c:pt idx="48">
                  <c:v>21554199.52574686</c:v>
                </c:pt>
                <c:pt idx="49">
                  <c:v>23618917.519657355</c:v>
                </c:pt>
                <c:pt idx="50">
                  <c:v>25874453.734483525</c:v>
                </c:pt>
                <c:pt idx="51">
                  <c:v>28338181.554166332</c:v>
                </c:pt>
                <c:pt idx="52">
                  <c:v>31029045.956963763</c:v>
                </c:pt>
                <c:pt idx="53">
                  <c:v>33967705.27852986</c:v>
                </c:pt>
                <c:pt idx="54">
                  <c:v>37176685.746454485</c:v>
                </c:pt>
                <c:pt idx="55">
                  <c:v>40680549.936206602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8-1F41-8813-DDB052A9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509136"/>
        <c:axId val="1360510816"/>
      </c:barChart>
      <c:catAx>
        <c:axId val="136050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10816"/>
        <c:crosses val="autoZero"/>
        <c:auto val="1"/>
        <c:lblAlgn val="ctr"/>
        <c:lblOffset val="100"/>
        <c:noMultiLvlLbl val="0"/>
      </c:catAx>
      <c:valAx>
        <c:axId val="13605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0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Annunity</a:t>
            </a:r>
            <a:r>
              <a:rPr lang="en-US" sz="3200" baseline="0"/>
              <a:t> Value for the Rest of Retirement at Given Ages</a:t>
            </a:r>
            <a:endParaRPr lang="en-US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'Retirement Calculator'!$L$5</c:f>
              <c:strCache>
                <c:ptCount val="1"/>
                <c:pt idx="0">
                  <c:v>(In Current Year's Dollars)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Calculator'!$L$6:$L$61</c:f>
              <c:numCache>
                <c:formatCode>_([$$-409]* #,##0.00_);_([$$-409]* \(#,##0.00\);_([$$-409]* "-"??_);_(@_)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368498.43841412145</c:v>
                </c:pt>
                <c:pt idx="38">
                  <c:v>413210.11083105684</c:v>
                </c:pt>
                <c:pt idx="39">
                  <c:v>463243.80467639538</c:v>
                </c:pt>
                <c:pt idx="40">
                  <c:v>519280.34270840313</c:v>
                </c:pt>
                <c:pt idx="41">
                  <c:v>582099.39934043493</c:v>
                </c:pt>
                <c:pt idx="42">
                  <c:v>652596.36563324078</c:v>
                </c:pt>
                <c:pt idx="43">
                  <c:v>731802.64655102638</c:v>
                </c:pt>
                <c:pt idx="44">
                  <c:v>820910.2226170185</c:v>
                </c:pt>
                <c:pt idx="45">
                  <c:v>921301.54607437132</c:v>
                </c:pt>
                <c:pt idx="46">
                  <c:v>1034586.1589641832</c:v>
                </c:pt>
                <c:pt idx="47">
                  <c:v>1162645.8476886163</c:v>
                </c:pt>
                <c:pt idx="48">
                  <c:v>1307690.7295745616</c:v>
                </c:pt>
                <c:pt idx="49">
                  <c:v>1472329.4657724379</c:v>
                </c:pt>
                <c:pt idx="50">
                  <c:v>1659657.9062433527</c:v>
                </c:pt>
                <c:pt idx="51">
                  <c:v>1873372.0386976963</c:v>
                </c:pt>
                <c:pt idx="52">
                  <c:v>2117913.3506699414</c:v>
                </c:pt>
                <c:pt idx="53">
                  <c:v>2398657.9580553472</c:v>
                </c:pt>
                <c:pt idx="54">
                  <c:v>2722165.6343004396</c:v>
                </c:pt>
                <c:pt idx="55">
                  <c:v>3096512.0457685445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F-8042-A657-A1DFB551A45F}"/>
            </c:ext>
          </c:extLst>
        </c:ser>
        <c:ser>
          <c:idx val="1"/>
          <c:order val="1"/>
          <c:tx>
            <c:v>Adjusted For Inflation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'Retirement Calculator'!$J$6:$J$61</c:f>
              <c:numCache>
                <c:formatCode>_([$$-409]* #,##0.00_);_([$$-409]* \(#,##0.00\);_([$$-409]* "-"??_);_(@_)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69005.075666733872</c:v>
                </c:pt>
                <c:pt idx="38">
                  <c:v>76208.285557072741</c:v>
                </c:pt>
                <c:pt idx="39">
                  <c:v>84144.69465181022</c:v>
                </c:pt>
                <c:pt idx="40">
                  <c:v>92897.680129013374</c:v>
                </c:pt>
                <c:pt idx="41">
                  <c:v>102561.8873872635</c:v>
                </c:pt>
                <c:pt idx="42">
                  <c:v>113245.08736148474</c:v>
                </c:pt>
                <c:pt idx="43">
                  <c:v>125070.40702842467</c:v>
                </c:pt>
                <c:pt idx="44">
                  <c:v>138179.02325032651</c:v>
                </c:pt>
                <c:pt idx="45">
                  <c:v>152733.43586458592</c:v>
                </c:pt>
                <c:pt idx="46">
                  <c:v>168921.4702729464</c:v>
                </c:pt>
                <c:pt idx="47">
                  <c:v>186961.20601857378</c:v>
                </c:pt>
                <c:pt idx="48">
                  <c:v>207107.09071876702</c:v>
                </c:pt>
                <c:pt idx="49">
                  <c:v>229657.58518038777</c:v>
                </c:pt>
                <c:pt idx="50">
                  <c:v>254964.80581644789</c:v>
                </c:pt>
                <c:pt idx="51">
                  <c:v>283446.79998391162</c:v>
                </c:pt>
                <c:pt idx="52">
                  <c:v>315603.33200806775</c:v>
                </c:pt>
                <c:pt idx="53">
                  <c:v>352036.4087697115</c:v>
                </c:pt>
                <c:pt idx="54">
                  <c:v>393477.29115809913</c:v>
                </c:pt>
                <c:pt idx="55">
                  <c:v>440822.51383295271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F-8042-A657-A1DFB551A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5740800"/>
        <c:axId val="1310631600"/>
      </c:barChart>
      <c:catAx>
        <c:axId val="13657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631600"/>
        <c:crosses val="autoZero"/>
        <c:auto val="1"/>
        <c:lblAlgn val="ctr"/>
        <c:lblOffset val="100"/>
        <c:noMultiLvlLbl val="0"/>
      </c:catAx>
      <c:valAx>
        <c:axId val="13106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aseline="0"/>
              <a:t>Purchasing Power Adjusted for Average Lifetime Inflation to Base Year Per Working Year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Salary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Calculator'!$Q$6:$Q$61</c:f>
              <c:numCache>
                <c:formatCode>_([$$-409]* #,##0.00_);_([$$-409]* \(#,##0.00\);_([$$-409]* "-"??_);_(@_)</c:formatCode>
                <c:ptCount val="56"/>
                <c:pt idx="0">
                  <c:v>0</c:v>
                </c:pt>
                <c:pt idx="1">
                  <c:v>63050</c:v>
                </c:pt>
                <c:pt idx="2">
                  <c:v>63604.84</c:v>
                </c:pt>
                <c:pt idx="3">
                  <c:v>64164.562591999995</c:v>
                </c:pt>
                <c:pt idx="4">
                  <c:v>64729.210742809599</c:v>
                </c:pt>
                <c:pt idx="5">
                  <c:v>71577.561239398856</c:v>
                </c:pt>
                <c:pt idx="6">
                  <c:v>72207.443778305576</c:v>
                </c:pt>
                <c:pt idx="7">
                  <c:v>72842.869283554668</c:v>
                </c:pt>
                <c:pt idx="8">
                  <c:v>73483.886533249955</c:v>
                </c:pt>
                <c:pt idx="9">
                  <c:v>74130.544734742536</c:v>
                </c:pt>
                <c:pt idx="10">
                  <c:v>74782.893528408284</c:v>
                </c:pt>
                <c:pt idx="11">
                  <c:v>75440.982991458266</c:v>
                </c:pt>
                <c:pt idx="12">
                  <c:v>76104.8636417831</c:v>
                </c:pt>
                <c:pt idx="13">
                  <c:v>76774.586441830805</c:v>
                </c:pt>
                <c:pt idx="14">
                  <c:v>77450.202802518921</c:v>
                </c:pt>
                <c:pt idx="15">
                  <c:v>78131.764587181082</c:v>
                </c:pt>
                <c:pt idx="16">
                  <c:v>78819.324115548283</c:v>
                </c:pt>
                <c:pt idx="17">
                  <c:v>79512.93416776511</c:v>
                </c:pt>
                <c:pt idx="18">
                  <c:v>80212.647988441444</c:v>
                </c:pt>
                <c:pt idx="19">
                  <c:v>80918.519290739743</c:v>
                </c:pt>
                <c:pt idx="20">
                  <c:v>81630.602260498257</c:v>
                </c:pt>
                <c:pt idx="21">
                  <c:v>82348.951560390633</c:v>
                </c:pt>
                <c:pt idx="22">
                  <c:v>83073.622334122076</c:v>
                </c:pt>
                <c:pt idx="23">
                  <c:v>83804.670210662356</c:v>
                </c:pt>
                <c:pt idx="24">
                  <c:v>84542.151308516186</c:v>
                </c:pt>
                <c:pt idx="25">
                  <c:v>85286.122240031124</c:v>
                </c:pt>
                <c:pt idx="26">
                  <c:v>86036.640115743387</c:v>
                </c:pt>
                <c:pt idx="27">
                  <c:v>86793.762548761937</c:v>
                </c:pt>
                <c:pt idx="28">
                  <c:v>87557.547659191041</c:v>
                </c:pt>
                <c:pt idx="29">
                  <c:v>88328.054078591915</c:v>
                </c:pt>
                <c:pt idx="30">
                  <c:v>89105.34095448353</c:v>
                </c:pt>
                <c:pt idx="31">
                  <c:v>89889.467954882988</c:v>
                </c:pt>
                <c:pt idx="32">
                  <c:v>90680.495272885964</c:v>
                </c:pt>
                <c:pt idx="33">
                  <c:v>91478.483631287352</c:v>
                </c:pt>
                <c:pt idx="34">
                  <c:v>92283.494287242676</c:v>
                </c:pt>
                <c:pt idx="35">
                  <c:v>93095.589036970414</c:v>
                </c:pt>
                <c:pt idx="36">
                  <c:v>93914.830220495744</c:v>
                </c:pt>
                <c:pt idx="37">
                  <c:v>94741.280726436118</c:v>
                </c:pt>
                <c:pt idx="38">
                  <c:v>95575.00399682876</c:v>
                </c:pt>
                <c:pt idx="39">
                  <c:v>96416.064032000868</c:v>
                </c:pt>
                <c:pt idx="40">
                  <c:v>97264.525395482488</c:v>
                </c:pt>
                <c:pt idx="41">
                  <c:v>98120.453218962735</c:v>
                </c:pt>
                <c:pt idx="42">
                  <c:v>98983.913207289617</c:v>
                </c:pt>
                <c:pt idx="43">
                  <c:v>99854.971643513752</c:v>
                </c:pt>
                <c:pt idx="44">
                  <c:v>100733.6953939767</c:v>
                </c:pt>
                <c:pt idx="45">
                  <c:v>101620.15191344368</c:v>
                </c:pt>
                <c:pt idx="46">
                  <c:v>102514.40925028198</c:v>
                </c:pt>
                <c:pt idx="47">
                  <c:v>103416.53605168448</c:v>
                </c:pt>
                <c:pt idx="48">
                  <c:v>104326.60156893931</c:v>
                </c:pt>
                <c:pt idx="49">
                  <c:v>105244.67566274598</c:v>
                </c:pt>
                <c:pt idx="50">
                  <c:v>106170.82880857814</c:v>
                </c:pt>
                <c:pt idx="51">
                  <c:v>107105.13210209363</c:v>
                </c:pt>
                <c:pt idx="52">
                  <c:v>108047.65726459207</c:v>
                </c:pt>
                <c:pt idx="53">
                  <c:v>108998.47664852047</c:v>
                </c:pt>
                <c:pt idx="54">
                  <c:v>109957.66324302746</c:v>
                </c:pt>
                <c:pt idx="55">
                  <c:v>110925.29067956611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9-6745-BC99-BB1BD56E4C8C}"/>
            </c:ext>
          </c:extLst>
        </c:ser>
        <c:ser>
          <c:idx val="1"/>
          <c:order val="1"/>
          <c:tx>
            <c:v>4% Rule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Calculator'!$M$6:$M$61</c:f>
              <c:numCache>
                <c:formatCode>_([$$-409]* #,##0.00_);_([$$-409]* \(#,##0.00\);_([$$-409]* "-"??_);_(@_)</c:formatCode>
                <c:ptCount val="56"/>
                <c:pt idx="0">
                  <c:v>148.04059246534069</c:v>
                </c:pt>
                <c:pt idx="1">
                  <c:v>411.65068007993887</c:v>
                </c:pt>
                <c:pt idx="2">
                  <c:v>700.77930843140598</c:v>
                </c:pt>
                <c:pt idx="3">
                  <c:v>1017.451742095292</c:v>
                </c:pt>
                <c:pt idx="4">
                  <c:v>1363.8457721656646</c:v>
                </c:pt>
                <c:pt idx="5">
                  <c:v>1769.0510767360379</c:v>
                </c:pt>
                <c:pt idx="6">
                  <c:v>2211.4533219558539</c:v>
                </c:pt>
                <c:pt idx="7">
                  <c:v>2693.9672100225207</c:v>
                </c:pt>
                <c:pt idx="8">
                  <c:v>3219.7261133113248</c:v>
                </c:pt>
                <c:pt idx="9">
                  <c:v>3792.0982582030269</c:v>
                </c:pt>
                <c:pt idx="10">
                  <c:v>4414.7041014090719</c:v>
                </c:pt>
                <c:pt idx="11">
                  <c:v>5091.4349865360145</c:v>
                </c:pt>
                <c:pt idx="12">
                  <c:v>5826.4731750832434</c:v>
                </c:pt>
                <c:pt idx="13">
                  <c:v>6624.3133529956258</c:v>
                </c:pt>
                <c:pt idx="14">
                  <c:v>7489.785721328989</c:v>
                </c:pt>
                <c:pt idx="15">
                  <c:v>8428.0807875700521</c:v>
                </c:pt>
                <c:pt idx="16">
                  <c:v>9444.7759827225927</c:v>
                </c:pt>
                <c:pt idx="17">
                  <c:v>10545.864238472559</c:v>
                </c:pt>
                <c:pt idx="18">
                  <c:v>11737.784668621607</c:v>
                </c:pt>
                <c:pt idx="19">
                  <c:v>13027.455509582449</c:v>
                </c:pt>
                <c:pt idx="20">
                  <c:v>14422.309486111908</c:v>
                </c:pt>
                <c:pt idx="21">
                  <c:v>15930.33178067822</c:v>
                </c:pt>
                <c:pt idx="22">
                  <c:v>17560.100797977178</c:v>
                </c:pt>
                <c:pt idx="23">
                  <c:v>19320.831930195473</c:v>
                </c:pt>
                <c:pt idx="24">
                  <c:v>21222.424543737729</c:v>
                </c:pt>
                <c:pt idx="25">
                  <c:v>23275.512424364675</c:v>
                </c:pt>
                <c:pt idx="26">
                  <c:v>25491.517935113141</c:v>
                </c:pt>
                <c:pt idx="27">
                  <c:v>27882.710160074133</c:v>
                </c:pt>
                <c:pt idx="28">
                  <c:v>30462.26732718464</c:v>
                </c:pt>
                <c:pt idx="29">
                  <c:v>33244.343824746618</c:v>
                </c:pt>
                <c:pt idx="30">
                  <c:v>36244.142149527266</c:v>
                </c:pt>
                <c:pt idx="31">
                  <c:v>39477.990149139099</c:v>
                </c:pt>
                <c:pt idx="32">
                  <c:v>42963.423948067182</c:v>
                </c:pt>
                <c:pt idx="33">
                  <c:v>46719.276975343208</c:v>
                </c:pt>
                <c:pt idx="34">
                  <c:v>50765.775542600764</c:v>
                </c:pt>
                <c:pt idx="35">
                  <c:v>55124.641454243778</c:v>
                </c:pt>
                <c:pt idx="36">
                  <c:v>59819.202166880816</c:v>
                </c:pt>
                <c:pt idx="37">
                  <c:v>64874.509053206275</c:v>
                </c:pt>
                <c:pt idx="38">
                  <c:v>70317.464366330387</c:v>
                </c:pt>
                <c:pt idx="39">
                  <c:v>76176.95754438646</c:v>
                </c:pt>
                <c:pt idx="40">
                  <c:v>82484.011542287801</c:v>
                </c:pt>
                <c:pt idx="41">
                  <c:v>89271.939928015418</c:v>
                </c:pt>
                <c:pt idx="42">
                  <c:v>96576.515535033759</c:v>
                </c:pt>
                <c:pt idx="43">
                  <c:v>104436.15152064126</c:v>
                </c:pt>
                <c:pt idx="44">
                  <c:v>112892.09574254381</c:v>
                </c:pt>
                <c:pt idx="45">
                  <c:v>121988.63943302399</c:v>
                </c:pt>
                <c:pt idx="46">
                  <c:v>131773.3412220864</c:v>
                </c:pt>
                <c:pt idx="47">
                  <c:v>142297.26763827004</c:v>
                </c:pt>
                <c:pt idx="48">
                  <c:v>153615.25129880712</c:v>
                </c:pt>
                <c:pt idx="49">
                  <c:v>165786.16808990322</c:v>
                </c:pt>
                <c:pt idx="50">
                  <c:v>178873.23473355433</c:v>
                </c:pt>
                <c:pt idx="51">
                  <c:v>192944.32823999668</c:v>
                </c:pt>
                <c:pt idx="52">
                  <c:v>208072.32885510585</c:v>
                </c:pt>
                <c:pt idx="53">
                  <c:v>224335.48823039685</c:v>
                </c:pt>
                <c:pt idx="54">
                  <c:v>241817.82467030271</c:v>
                </c:pt>
                <c:pt idx="55">
                  <c:v>260609.54744778335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9-6745-BC99-BB1BD56E4C8C}"/>
            </c:ext>
          </c:extLst>
        </c:ser>
        <c:ser>
          <c:idx val="0"/>
          <c:order val="2"/>
          <c:tx>
            <c:v>Retirement Annunity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'Retirement Calculator'!$B$6:$B$61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</c:numCache>
            </c:numRef>
          </c:cat>
          <c:val>
            <c:numRef>
              <c:f>'Retirement Calculator'!$J$6:$J$61</c:f>
              <c:numCache>
                <c:formatCode>_([$$-409]* #,##0.00_);_([$$-409]* \(#,##0.00\);_([$$-409]* "-"??_);_(@_)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69005.075666733872</c:v>
                </c:pt>
                <c:pt idx="38">
                  <c:v>76208.285557072741</c:v>
                </c:pt>
                <c:pt idx="39">
                  <c:v>84144.69465181022</c:v>
                </c:pt>
                <c:pt idx="40">
                  <c:v>92897.680129013374</c:v>
                </c:pt>
                <c:pt idx="41">
                  <c:v>102561.8873872635</c:v>
                </c:pt>
                <c:pt idx="42">
                  <c:v>113245.08736148474</c:v>
                </c:pt>
                <c:pt idx="43">
                  <c:v>125070.40702842467</c:v>
                </c:pt>
                <c:pt idx="44">
                  <c:v>138179.02325032651</c:v>
                </c:pt>
                <c:pt idx="45">
                  <c:v>152733.43586458592</c:v>
                </c:pt>
                <c:pt idx="46">
                  <c:v>168921.4702729464</c:v>
                </c:pt>
                <c:pt idx="47">
                  <c:v>186961.20601857378</c:v>
                </c:pt>
                <c:pt idx="48">
                  <c:v>207107.09071876702</c:v>
                </c:pt>
                <c:pt idx="49">
                  <c:v>229657.58518038777</c:v>
                </c:pt>
                <c:pt idx="50">
                  <c:v>254964.80581644789</c:v>
                </c:pt>
                <c:pt idx="51">
                  <c:v>283446.79998391162</c:v>
                </c:pt>
                <c:pt idx="52">
                  <c:v>315603.33200806775</c:v>
                </c:pt>
                <c:pt idx="53">
                  <c:v>352036.4087697115</c:v>
                </c:pt>
                <c:pt idx="54">
                  <c:v>393477.29115809913</c:v>
                </c:pt>
                <c:pt idx="55">
                  <c:v>440822.51383295271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9-6745-BC99-BB1BD56E4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10367"/>
        <c:axId val="86490191"/>
      </c:lineChart>
      <c:catAx>
        <c:axId val="11701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90191"/>
        <c:crosses val="autoZero"/>
        <c:auto val="1"/>
        <c:lblAlgn val="ctr"/>
        <c:lblOffset val="100"/>
        <c:noMultiLvlLbl val="0"/>
      </c:catAx>
      <c:valAx>
        <c:axId val="864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31751</xdr:colOff>
      <xdr:row>61</xdr:row>
      <xdr:rowOff>96739</xdr:rowOff>
    </xdr:from>
    <xdr:to>
      <xdr:col>6</xdr:col>
      <xdr:colOff>406400</xdr:colOff>
      <xdr:row>86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A8A02F-3D2C-F548-AA4F-B45EDC073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61</xdr:row>
      <xdr:rowOff>101600</xdr:rowOff>
    </xdr:from>
    <xdr:to>
      <xdr:col>9</xdr:col>
      <xdr:colOff>1879600</xdr:colOff>
      <xdr:row>86</xdr:row>
      <xdr:rowOff>102419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9FD97B-45F5-F64E-AE68-E0CF33E1E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9</xdr:col>
      <xdr:colOff>1987857</xdr:colOff>
      <xdr:row>61</xdr:row>
      <xdr:rowOff>104774</xdr:rowOff>
    </xdr:from>
    <xdr:to>
      <xdr:col>12</xdr:col>
      <xdr:colOff>2760133</xdr:colOff>
      <xdr:row>86</xdr:row>
      <xdr:rowOff>81936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A64D67-16D2-B44C-8E4E-B481A25AD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187817</xdr:colOff>
      <xdr:row>61</xdr:row>
      <xdr:rowOff>101600</xdr:rowOff>
    </xdr:from>
    <xdr:to>
      <xdr:col>17</xdr:col>
      <xdr:colOff>0</xdr:colOff>
      <xdr:row>86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4188D-266C-1F42-A4BD-CAC3F7CB3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88</xdr:row>
      <xdr:rowOff>87586</xdr:rowOff>
    </xdr:from>
    <xdr:to>
      <xdr:col>5</xdr:col>
      <xdr:colOff>1664138</xdr:colOff>
      <xdr:row>101</xdr:row>
      <xdr:rowOff>131380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BB4BE0-2AE4-AE42-B8E5-4BB176E409BE}"/>
            </a:ext>
          </a:extLst>
        </xdr:cNvPr>
        <xdr:cNvSpPr txBox="1"/>
      </xdr:nvSpPr>
      <xdr:spPr>
        <a:xfrm>
          <a:off x="0" y="17539138"/>
          <a:ext cx="8014138" cy="2649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Future</a:t>
          </a:r>
          <a:r>
            <a:rPr lang="en-US" sz="1600" baseline="0"/>
            <a:t> Ideas &amp; Additions: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much would the withdrawls be per year for rest of life</a:t>
          </a:r>
          <a:r>
            <a:rPr lang="en-US" sz="1600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Inheritence allocation Calculator with kids, charities, chruch, etc. </a:t>
          </a:r>
          <a:r>
            <a:rPr lang="en-US" sz="1600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Dynamically updating amount of cells geneated until death year</a:t>
          </a:r>
          <a:r>
            <a:rPr lang="en-US" sz="1600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Monte Carlo random generatation of values for inflation rates, raise, market return, etc. (option for user) </a:t>
          </a:r>
          <a:r>
            <a:rPr lang="en-US" sz="1600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Spendible income due to taxes and tax rates for given year outside of savings/investing </a:t>
          </a:r>
          <a:r>
            <a:rPr lang="en-US" sz="1600"/>
            <a:t>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600"/>
            <a:t>More Robust Promotion Schedule in work?, create optimistic, pesimist, and interval year raises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BB22-53E0-8F47-AAFF-7643E00FA7D5}">
  <sheetPr codeName="Sheet2"/>
  <dimension ref="A1:T106"/>
  <sheetViews>
    <sheetView tabSelected="1" zoomScale="50" zoomScaleNormal="190" workbookViewId="0">
      <selection sqref="A1:C2"/>
    </sheetView>
  </sheetViews>
  <sheetFormatPr baseColWidth="10" defaultRowHeight="16"/>
  <cols>
    <col min="1" max="1" width="8.85546875" customWidth="1"/>
    <col min="2" max="2" width="7.140625" customWidth="1"/>
    <col min="3" max="3" width="15.85546875" customWidth="1"/>
    <col min="4" max="4" width="24.7109375" bestFit="1" customWidth="1"/>
    <col min="5" max="5" width="15" customWidth="1"/>
    <col min="6" max="6" width="22.5703125" bestFit="1" customWidth="1"/>
    <col min="7" max="7" width="15.85546875" bestFit="1" customWidth="1"/>
    <col min="8" max="8" width="41.28515625" bestFit="1" customWidth="1"/>
    <col min="9" max="9" width="20" bestFit="1" customWidth="1"/>
    <col min="10" max="10" width="28.5703125" bestFit="1" customWidth="1"/>
    <col min="11" max="11" width="34.28515625" bestFit="1" customWidth="1"/>
    <col min="12" max="12" width="31" bestFit="1" customWidth="1"/>
    <col min="13" max="13" width="29.7109375" bestFit="1" customWidth="1"/>
    <col min="14" max="14" width="33.140625" bestFit="1" customWidth="1"/>
    <col min="15" max="15" width="23" customWidth="1"/>
    <col min="16" max="16" width="4.140625" customWidth="1"/>
    <col min="17" max="17" width="41.140625" bestFit="1" customWidth="1"/>
    <col min="18" max="18" width="30.42578125" bestFit="1" customWidth="1"/>
    <col min="19" max="19" width="30.5703125" bestFit="1" customWidth="1"/>
    <col min="20" max="20" width="18.42578125" bestFit="1" customWidth="1"/>
  </cols>
  <sheetData>
    <row r="1" spans="1:20" ht="16" customHeight="1">
      <c r="A1" s="63" t="s">
        <v>12</v>
      </c>
      <c r="B1" s="64"/>
      <c r="C1" s="65"/>
      <c r="D1" s="6" t="s">
        <v>25</v>
      </c>
      <c r="E1" s="14">
        <v>65000</v>
      </c>
      <c r="F1" s="2" t="s">
        <v>41</v>
      </c>
      <c r="G1" s="17">
        <v>0.09</v>
      </c>
      <c r="H1" s="2" t="s">
        <v>42</v>
      </c>
      <c r="I1" s="17">
        <v>0.1</v>
      </c>
      <c r="J1" s="2" t="s">
        <v>11</v>
      </c>
      <c r="K1" s="19">
        <v>22</v>
      </c>
      <c r="L1" s="2" t="s">
        <v>27</v>
      </c>
      <c r="M1" s="19">
        <v>65</v>
      </c>
      <c r="N1" s="12" t="s">
        <v>46</v>
      </c>
      <c r="O1" s="59">
        <v>0.5</v>
      </c>
      <c r="Q1" s="25"/>
    </row>
    <row r="2" spans="1:20" ht="16" customHeight="1">
      <c r="A2" s="66"/>
      <c r="B2" s="67"/>
      <c r="C2" s="68"/>
      <c r="D2" s="10" t="s">
        <v>19</v>
      </c>
      <c r="E2" s="15">
        <v>0.1</v>
      </c>
      <c r="F2" s="11" t="s">
        <v>20</v>
      </c>
      <c r="G2" s="15">
        <v>0.04</v>
      </c>
      <c r="H2" s="12" t="s">
        <v>43</v>
      </c>
      <c r="I2" s="15">
        <v>0.05</v>
      </c>
      <c r="J2" s="11" t="s">
        <v>3</v>
      </c>
      <c r="K2" s="21">
        <v>2019</v>
      </c>
      <c r="L2" s="11" t="s">
        <v>24</v>
      </c>
      <c r="M2" s="58">
        <v>95</v>
      </c>
      <c r="N2" s="11" t="s">
        <v>47</v>
      </c>
      <c r="O2" s="60">
        <v>7</v>
      </c>
      <c r="Q2" s="25"/>
    </row>
    <row r="3" spans="1:20">
      <c r="A3" s="6" t="s">
        <v>16</v>
      </c>
      <c r="C3" s="14">
        <v>1000</v>
      </c>
      <c r="D3" s="11" t="s">
        <v>18</v>
      </c>
      <c r="E3" s="15">
        <v>0.2</v>
      </c>
      <c r="F3" s="11" t="s">
        <v>22</v>
      </c>
      <c r="G3" s="15">
        <v>5.0000000000000001E-3</v>
      </c>
      <c r="H3" s="12" t="s">
        <v>44</v>
      </c>
      <c r="I3" s="15">
        <v>0.1</v>
      </c>
      <c r="J3" s="11" t="s">
        <v>38</v>
      </c>
      <c r="K3" s="16">
        <v>4.4999999999999998E-2</v>
      </c>
      <c r="L3" s="11" t="s">
        <v>9</v>
      </c>
      <c r="M3" s="57">
        <v>3000000</v>
      </c>
      <c r="N3" s="3" t="s">
        <v>45</v>
      </c>
      <c r="O3" s="61">
        <v>15000</v>
      </c>
      <c r="Q3" s="25"/>
    </row>
    <row r="4" spans="1:20" ht="24">
      <c r="A4" s="7" t="s">
        <v>17</v>
      </c>
      <c r="C4" s="18">
        <v>10000</v>
      </c>
      <c r="D4" s="3" t="s">
        <v>15</v>
      </c>
      <c r="E4" s="16">
        <v>0.05</v>
      </c>
      <c r="F4" s="3" t="s">
        <v>21</v>
      </c>
      <c r="G4" s="16">
        <v>0.03</v>
      </c>
      <c r="H4" s="50" t="s">
        <v>40</v>
      </c>
      <c r="I4" s="51">
        <v>0.04</v>
      </c>
      <c r="J4" s="69" t="s">
        <v>39</v>
      </c>
      <c r="K4" s="70"/>
      <c r="L4" s="71"/>
      <c r="M4" s="69" t="str">
        <f>SUBSTITUTE("{1}% Rule Withdrawl Rate","{1}",$K$3*100)</f>
        <v>4.5% Rule Withdrawl Rate</v>
      </c>
      <c r="N4" s="72"/>
      <c r="O4" s="71"/>
      <c r="P4" s="43"/>
      <c r="Q4" s="69" t="s">
        <v>34</v>
      </c>
      <c r="R4" s="72"/>
      <c r="S4" s="72"/>
      <c r="T4" s="71"/>
    </row>
    <row r="5" spans="1:20">
      <c r="A5" s="5" t="s">
        <v>2</v>
      </c>
      <c r="B5" s="5" t="s">
        <v>1</v>
      </c>
      <c r="C5" s="4" t="s">
        <v>50</v>
      </c>
      <c r="D5" s="4" t="s">
        <v>10</v>
      </c>
      <c r="E5" s="4" t="s">
        <v>49</v>
      </c>
      <c r="F5" s="4" t="s">
        <v>0</v>
      </c>
      <c r="G5" s="4" t="s">
        <v>7</v>
      </c>
      <c r="H5" s="4" t="s">
        <v>13</v>
      </c>
      <c r="I5" s="7" t="s">
        <v>6</v>
      </c>
      <c r="J5" s="26" t="s">
        <v>33</v>
      </c>
      <c r="K5" s="1" t="s">
        <v>36</v>
      </c>
      <c r="L5" s="13" t="s">
        <v>32</v>
      </c>
      <c r="M5" s="26" t="s">
        <v>33</v>
      </c>
      <c r="N5" s="26" t="s">
        <v>36</v>
      </c>
      <c r="O5" s="26" t="s">
        <v>14</v>
      </c>
      <c r="P5" s="44"/>
      <c r="Q5" s="5" t="s">
        <v>37</v>
      </c>
      <c r="R5" s="62" t="s">
        <v>52</v>
      </c>
      <c r="S5" s="62" t="s">
        <v>48</v>
      </c>
      <c r="T5" s="5" t="s">
        <v>51</v>
      </c>
    </row>
    <row r="6" spans="1:20">
      <c r="A6" s="29">
        <f>K2</f>
        <v>2019</v>
      </c>
      <c r="B6" s="33">
        <f>K1</f>
        <v>22</v>
      </c>
      <c r="C6" s="30">
        <v>0</v>
      </c>
      <c r="D6" s="30">
        <v>1000</v>
      </c>
      <c r="E6" s="30">
        <f>C3</f>
        <v>1000</v>
      </c>
      <c r="F6" s="30">
        <f>C4</f>
        <v>10000</v>
      </c>
      <c r="G6" s="30">
        <f>F6</f>
        <v>10000</v>
      </c>
      <c r="H6" s="31" t="s">
        <v>28</v>
      </c>
      <c r="I6" s="30">
        <v>1</v>
      </c>
      <c r="J6" s="41">
        <f t="shared" ref="J6:J37" si="0">IF((OR(B6&lt;59, B6&gt;=$M$2)), 0,-1*PMT($I$4,($M$2-B6),G6,-$M$3)*(I6*(1-$G$4)^(($M$2-B6)/2)))</f>
        <v>0</v>
      </c>
      <c r="K6" s="34">
        <f t="shared" ref="K6:K37" si="1">IF((OR(B6&lt;59, B6&gt;=$M$2)),0,-1*PMT($I$4,($M$2-B6),G6,-$M$3)*I6)</f>
        <v>0</v>
      </c>
      <c r="L6" s="8">
        <f t="shared" ref="L6:L37" si="2">IF((OR(B6&lt;59, B6&gt;=$M$2)),0,-1*PMT($I$4,($M$2-B6),G6,-$M$3))</f>
        <v>0</v>
      </c>
      <c r="M6" s="48">
        <f t="shared" ref="M6:M37" si="3">$K$3*G6*(I6*(1-$G$4)^(($M$2-B6)/2))</f>
        <v>148.04059246534069</v>
      </c>
      <c r="N6" s="34">
        <f>$K$3*G6*I6</f>
        <v>450</v>
      </c>
      <c r="O6" s="35">
        <f>$K$3*G6</f>
        <v>450</v>
      </c>
      <c r="P6" s="52"/>
      <c r="Q6" s="27">
        <f t="shared" ref="Q6:Q37" si="4">C6*I6</f>
        <v>0</v>
      </c>
      <c r="R6" s="27">
        <v>0</v>
      </c>
      <c r="S6" s="27">
        <v>0</v>
      </c>
      <c r="T6" s="27">
        <v>0</v>
      </c>
    </row>
    <row r="7" spans="1:20">
      <c r="A7" s="32">
        <f>A6+1</f>
        <v>2020</v>
      </c>
      <c r="B7" s="33">
        <f>B6+1</f>
        <v>23</v>
      </c>
      <c r="C7" s="34">
        <f>E1</f>
        <v>65000</v>
      </c>
      <c r="D7" s="34">
        <f t="shared" ref="D7:D38" si="5">IF($E$2*C7+$I$1*C7/(1-$I$1)*$I$2+E6-(C7*$O$1)&lt;0,$E$2*C7+$I$1*C7/(1-$I$1)*$I$2, IF((C7*$O$1)-E6&gt;0,(C7*$O$1)-E6,0))</f>
        <v>6861.1111111111113</v>
      </c>
      <c r="E7" s="34">
        <f t="shared" ref="E7:E38" si="6">D7+E6*(1+$G$3)+IF(MOD(B7-$B$6,$O$2)=0,FV($G$4,B7-$B$6,0,$O$3,),0)</f>
        <v>7866.1111111111113</v>
      </c>
      <c r="F7" s="34">
        <f t="shared" ref="F7:F38" si="7">IF($E$3&gt;=0.05, $E$3*C7+(C7/(1-$I$1)*$E$4)+$I$1*C7/(1-$I$1)*$I$3, $E$3*C7+(C7/(1-$I$1)*$E$3)+$I$1*C7/(1-$I$1)*$I$3)</f>
        <v>17333.333333333332</v>
      </c>
      <c r="G7" s="34">
        <f>G6*(1+G1)+F7</f>
        <v>28233.333333333332</v>
      </c>
      <c r="H7" s="33"/>
      <c r="I7" s="34">
        <f t="shared" ref="I7:I38" si="8">I6*(1-$G$4)</f>
        <v>0.97</v>
      </c>
      <c r="J7" s="41">
        <f t="shared" si="0"/>
        <v>0</v>
      </c>
      <c r="K7" s="34">
        <f t="shared" si="1"/>
        <v>0</v>
      </c>
      <c r="L7" s="8">
        <f t="shared" si="2"/>
        <v>0</v>
      </c>
      <c r="M7" s="48">
        <f t="shared" si="3"/>
        <v>411.65068007993887</v>
      </c>
      <c r="N7" s="34">
        <f t="shared" ref="N7:N61" si="9">$K$3*G7*I7</f>
        <v>1232.385</v>
      </c>
      <c r="O7" s="35">
        <f t="shared" ref="O7:O61" si="10">$K$3*G7</f>
        <v>1270.5</v>
      </c>
      <c r="P7" s="52"/>
      <c r="Q7" s="27">
        <f t="shared" si="4"/>
        <v>63050</v>
      </c>
      <c r="R7" s="27">
        <f t="shared" ref="R7:R38" si="11">IF(MOD(B7-$B$6,$O$2)=0,FV($G$4,B7-$B$6,0,$O$3,),0)</f>
        <v>0</v>
      </c>
      <c r="S7" s="27">
        <f t="shared" ref="S7:S61" si="12">IF($E$2*C7+$I$1*C7/(1-$I$1)*$I$2+E6-(C7*$O$1)&lt;0, 0,($E$2*C7+$I$1*C7/(1-$I$1)*$I$2) - ((C7*$O$1)-E6))</f>
        <v>0</v>
      </c>
      <c r="T7" s="27">
        <f>S7+T6</f>
        <v>0</v>
      </c>
    </row>
    <row r="8" spans="1:20">
      <c r="A8" s="32">
        <f>A7+1</f>
        <v>2021</v>
      </c>
      <c r="B8" s="33">
        <f>B7+1</f>
        <v>24</v>
      </c>
      <c r="C8" s="34">
        <f>C7*(1+$G$2)</f>
        <v>67600</v>
      </c>
      <c r="D8" s="34">
        <f t="shared" si="5"/>
        <v>7135.5555555555557</v>
      </c>
      <c r="E8" s="34">
        <f t="shared" si="6"/>
        <v>15040.99722222222</v>
      </c>
      <c r="F8" s="34">
        <f t="shared" si="7"/>
        <v>18026.666666666664</v>
      </c>
      <c r="G8" s="34">
        <f t="shared" ref="G8:G39" si="13">G7*(1+$G$1)+F8</f>
        <v>48801</v>
      </c>
      <c r="H8" s="25"/>
      <c r="I8" s="34">
        <f t="shared" si="8"/>
        <v>0.94089999999999996</v>
      </c>
      <c r="J8" s="41">
        <f t="shared" si="0"/>
        <v>0</v>
      </c>
      <c r="K8" s="34">
        <f t="shared" si="1"/>
        <v>0</v>
      </c>
      <c r="L8" s="8">
        <f t="shared" si="2"/>
        <v>0</v>
      </c>
      <c r="M8" s="48">
        <f t="shared" si="3"/>
        <v>700.77930843140598</v>
      </c>
      <c r="N8" s="34">
        <f t="shared" si="9"/>
        <v>2066.2587404999999</v>
      </c>
      <c r="O8" s="35">
        <f t="shared" si="10"/>
        <v>2196.0450000000001</v>
      </c>
      <c r="P8" s="52"/>
      <c r="Q8" s="27">
        <f t="shared" si="4"/>
        <v>63604.84</v>
      </c>
      <c r="R8" s="27">
        <f t="shared" si="11"/>
        <v>0</v>
      </c>
      <c r="S8" s="27">
        <f t="shared" si="12"/>
        <v>0</v>
      </c>
      <c r="T8" s="27">
        <f t="shared" ref="T8:T61" si="14">S8+T7</f>
        <v>0</v>
      </c>
    </row>
    <row r="9" spans="1:20">
      <c r="A9" s="32">
        <f t="shared" ref="A9:A59" si="15">A8+1</f>
        <v>2022</v>
      </c>
      <c r="B9" s="33">
        <f t="shared" ref="B9:B45" si="16">B8+1</f>
        <v>25</v>
      </c>
      <c r="C9" s="34">
        <f>C8*(1+$G$2)</f>
        <v>70304</v>
      </c>
      <c r="D9" s="34">
        <f t="shared" si="5"/>
        <v>7420.9777777777781</v>
      </c>
      <c r="E9" s="34">
        <f t="shared" si="6"/>
        <v>22537.179986111107</v>
      </c>
      <c r="F9" s="34">
        <f t="shared" si="7"/>
        <v>18747.733333333334</v>
      </c>
      <c r="G9" s="34">
        <f t="shared" si="13"/>
        <v>71940.823333333334</v>
      </c>
      <c r="H9" s="22" t="s">
        <v>29</v>
      </c>
      <c r="I9" s="34">
        <f t="shared" si="8"/>
        <v>0.91267299999999996</v>
      </c>
      <c r="J9" s="41">
        <f t="shared" si="0"/>
        <v>0</v>
      </c>
      <c r="K9" s="34">
        <f t="shared" si="1"/>
        <v>0</v>
      </c>
      <c r="L9" s="8">
        <f t="shared" si="2"/>
        <v>0</v>
      </c>
      <c r="M9" s="48">
        <f t="shared" si="3"/>
        <v>1017.451742095292</v>
      </c>
      <c r="N9" s="34">
        <f t="shared" si="9"/>
        <v>2954.6301174346499</v>
      </c>
      <c r="O9" s="35">
        <f t="shared" si="10"/>
        <v>3237.3370500000001</v>
      </c>
      <c r="P9" s="52"/>
      <c r="Q9" s="27">
        <f t="shared" si="4"/>
        <v>64164.562591999995</v>
      </c>
      <c r="R9" s="27">
        <f t="shared" si="11"/>
        <v>0</v>
      </c>
      <c r="S9" s="27">
        <f t="shared" si="12"/>
        <v>0</v>
      </c>
      <c r="T9" s="27">
        <f t="shared" si="14"/>
        <v>0</v>
      </c>
    </row>
    <row r="10" spans="1:20">
      <c r="A10" s="32">
        <f t="shared" si="15"/>
        <v>2023</v>
      </c>
      <c r="B10" s="33">
        <f t="shared" si="16"/>
        <v>26</v>
      </c>
      <c r="C10" s="34">
        <f>C9*(1+$G$2)</f>
        <v>73116.160000000003</v>
      </c>
      <c r="D10" s="34">
        <f t="shared" si="5"/>
        <v>7717.8168888888895</v>
      </c>
      <c r="E10" s="34">
        <f t="shared" si="6"/>
        <v>30367.682774930548</v>
      </c>
      <c r="F10" s="34">
        <f t="shared" si="7"/>
        <v>19497.642666666667</v>
      </c>
      <c r="G10" s="34">
        <f t="shared" si="13"/>
        <v>97913.140100000004</v>
      </c>
      <c r="H10" s="22" t="s">
        <v>30</v>
      </c>
      <c r="I10" s="34">
        <f t="shared" si="8"/>
        <v>0.88529280999999993</v>
      </c>
      <c r="J10" s="41">
        <f t="shared" si="0"/>
        <v>0</v>
      </c>
      <c r="K10" s="34">
        <f t="shared" si="1"/>
        <v>0</v>
      </c>
      <c r="L10" s="8">
        <f t="shared" si="2"/>
        <v>0</v>
      </c>
      <c r="M10" s="48">
        <f t="shared" si="3"/>
        <v>1363.8457721656646</v>
      </c>
      <c r="N10" s="34">
        <f t="shared" si="9"/>
        <v>3900.68095207737</v>
      </c>
      <c r="O10" s="35">
        <f t="shared" si="10"/>
        <v>4406.0913044999998</v>
      </c>
      <c r="P10" s="52"/>
      <c r="Q10" s="27">
        <f t="shared" si="4"/>
        <v>64729.210742809599</v>
      </c>
      <c r="R10" s="27">
        <f t="shared" si="11"/>
        <v>0</v>
      </c>
      <c r="S10" s="27">
        <f t="shared" si="12"/>
        <v>0</v>
      </c>
      <c r="T10" s="27">
        <f t="shared" si="14"/>
        <v>0</v>
      </c>
    </row>
    <row r="11" spans="1:20">
      <c r="A11" s="32">
        <f t="shared" si="15"/>
        <v>2024</v>
      </c>
      <c r="B11" s="33">
        <f t="shared" si="16"/>
        <v>27</v>
      </c>
      <c r="C11" s="8">
        <f>C10*(1+$G$2+0.1)</f>
        <v>83352.42240000001</v>
      </c>
      <c r="D11" s="34">
        <f t="shared" si="5"/>
        <v>8798.3112533333351</v>
      </c>
      <c r="E11" s="34">
        <f t="shared" si="6"/>
        <v>39317.832442138533</v>
      </c>
      <c r="F11" s="34">
        <f t="shared" si="7"/>
        <v>22227.312640000004</v>
      </c>
      <c r="G11" s="34">
        <f t="shared" si="13"/>
        <v>128952.63534900002</v>
      </c>
      <c r="H11" s="23" t="s">
        <v>31</v>
      </c>
      <c r="I11" s="34">
        <f t="shared" si="8"/>
        <v>0.8587340256999999</v>
      </c>
      <c r="J11" s="41">
        <f t="shared" si="0"/>
        <v>0</v>
      </c>
      <c r="K11" s="34">
        <f t="shared" si="1"/>
        <v>0</v>
      </c>
      <c r="L11" s="8">
        <f t="shared" si="2"/>
        <v>0</v>
      </c>
      <c r="M11" s="48">
        <f t="shared" si="3"/>
        <v>1769.0510767360379</v>
      </c>
      <c r="N11" s="34">
        <f t="shared" si="9"/>
        <v>4983.1207055041896</v>
      </c>
      <c r="O11" s="35">
        <f t="shared" si="10"/>
        <v>5802.8685907050003</v>
      </c>
      <c r="P11" s="52"/>
      <c r="Q11" s="27">
        <f t="shared" si="4"/>
        <v>71577.561239398856</v>
      </c>
      <c r="R11" s="27">
        <f t="shared" si="11"/>
        <v>0</v>
      </c>
      <c r="S11" s="27">
        <f t="shared" si="12"/>
        <v>0</v>
      </c>
      <c r="T11" s="27">
        <f t="shared" si="14"/>
        <v>0</v>
      </c>
    </row>
    <row r="12" spans="1:20">
      <c r="A12" s="32">
        <f t="shared" si="15"/>
        <v>2025</v>
      </c>
      <c r="B12" s="33">
        <f t="shared" si="16"/>
        <v>28</v>
      </c>
      <c r="C12" s="34">
        <f t="shared" ref="C12:C43" si="17">C11*(1+$G$2)</f>
        <v>86686.519296000013</v>
      </c>
      <c r="D12" s="34">
        <f t="shared" si="5"/>
        <v>4025.4272058614733</v>
      </c>
      <c r="E12" s="34">
        <f t="shared" si="6"/>
        <v>43539.848810210693</v>
      </c>
      <c r="F12" s="34">
        <f t="shared" si="7"/>
        <v>23116.405145600005</v>
      </c>
      <c r="G12" s="34">
        <f t="shared" si="13"/>
        <v>163674.77767601004</v>
      </c>
      <c r="H12" s="33"/>
      <c r="I12" s="34">
        <f t="shared" si="8"/>
        <v>0.83297200492899992</v>
      </c>
      <c r="J12" s="41">
        <f t="shared" si="0"/>
        <v>0</v>
      </c>
      <c r="K12" s="34">
        <f t="shared" si="1"/>
        <v>0</v>
      </c>
      <c r="L12" s="8">
        <f t="shared" si="2"/>
        <v>0</v>
      </c>
      <c r="M12" s="48">
        <f t="shared" si="3"/>
        <v>2211.4533219558539</v>
      </c>
      <c r="N12" s="34">
        <f t="shared" si="9"/>
        <v>6135.1428472692478</v>
      </c>
      <c r="O12" s="35">
        <f t="shared" si="10"/>
        <v>7365.3649954204511</v>
      </c>
      <c r="P12" s="52"/>
      <c r="Q12" s="27">
        <f t="shared" si="4"/>
        <v>72207.443778305576</v>
      </c>
      <c r="R12" s="27">
        <f t="shared" si="11"/>
        <v>0</v>
      </c>
      <c r="S12" s="27">
        <f t="shared" si="12"/>
        <v>5124.8164976051958</v>
      </c>
      <c r="T12" s="27">
        <f t="shared" si="14"/>
        <v>5124.8164976051958</v>
      </c>
    </row>
    <row r="13" spans="1:20">
      <c r="A13" s="32">
        <f t="shared" si="15"/>
        <v>2026</v>
      </c>
      <c r="B13" s="33">
        <f t="shared" si="16"/>
        <v>29</v>
      </c>
      <c r="C13" s="34">
        <f t="shared" si="17"/>
        <v>90153.980067840021</v>
      </c>
      <c r="D13" s="34">
        <f t="shared" si="5"/>
        <v>1537.1412237093173</v>
      </c>
      <c r="E13" s="34">
        <f t="shared" si="6"/>
        <v>26846.581296598011</v>
      </c>
      <c r="F13" s="34">
        <f t="shared" si="7"/>
        <v>24041.061351424003</v>
      </c>
      <c r="G13" s="34">
        <f t="shared" si="13"/>
        <v>202446.56901827495</v>
      </c>
      <c r="H13" s="33"/>
      <c r="I13" s="34">
        <f t="shared" si="8"/>
        <v>0.80798284478112992</v>
      </c>
      <c r="J13" s="41">
        <f t="shared" si="0"/>
        <v>0</v>
      </c>
      <c r="K13" s="34">
        <f t="shared" si="1"/>
        <v>0</v>
      </c>
      <c r="L13" s="8">
        <f t="shared" si="2"/>
        <v>0</v>
      </c>
      <c r="M13" s="48">
        <f t="shared" si="3"/>
        <v>2693.9672100225207</v>
      </c>
      <c r="N13" s="34">
        <f t="shared" si="9"/>
        <v>7360.8009638204321</v>
      </c>
      <c r="O13" s="35">
        <f t="shared" si="10"/>
        <v>9110.0956058223728</v>
      </c>
      <c r="P13" s="52"/>
      <c r="Q13" s="27">
        <f t="shared" si="4"/>
        <v>72842.869283554668</v>
      </c>
      <c r="R13" s="27">
        <f t="shared" si="11"/>
        <v>-18448.10798137305</v>
      </c>
      <c r="S13" s="27">
        <f t="shared" si="12"/>
        <v>7979.1122278960174</v>
      </c>
      <c r="T13" s="27">
        <f t="shared" si="14"/>
        <v>13103.928725501213</v>
      </c>
    </row>
    <row r="14" spans="1:20">
      <c r="A14" s="32">
        <f t="shared" si="15"/>
        <v>2027</v>
      </c>
      <c r="B14" s="33">
        <f t="shared" si="16"/>
        <v>30</v>
      </c>
      <c r="C14" s="34">
        <f t="shared" si="17"/>
        <v>93760.139270553627</v>
      </c>
      <c r="D14" s="34">
        <f t="shared" si="5"/>
        <v>9896.9035896695495</v>
      </c>
      <c r="E14" s="34">
        <f t="shared" si="6"/>
        <v>36877.717792750547</v>
      </c>
      <c r="F14" s="34">
        <f t="shared" si="7"/>
        <v>25002.703805480967</v>
      </c>
      <c r="G14" s="34">
        <f t="shared" si="13"/>
        <v>245669.46403540068</v>
      </c>
      <c r="H14" s="33"/>
      <c r="I14" s="34">
        <f t="shared" si="8"/>
        <v>0.78374335943769602</v>
      </c>
      <c r="J14" s="41">
        <f t="shared" si="0"/>
        <v>0</v>
      </c>
      <c r="K14" s="34">
        <f t="shared" si="1"/>
        <v>0</v>
      </c>
      <c r="L14" s="8">
        <f t="shared" si="2"/>
        <v>0</v>
      </c>
      <c r="M14" s="48">
        <f t="shared" si="3"/>
        <v>3219.7261133113248</v>
      </c>
      <c r="N14" s="34">
        <f t="shared" si="9"/>
        <v>8664.3814974463421</v>
      </c>
      <c r="O14" s="35">
        <f t="shared" si="10"/>
        <v>11055.12588159303</v>
      </c>
      <c r="P14" s="52"/>
      <c r="Q14" s="27">
        <f t="shared" si="4"/>
        <v>73483.886533249955</v>
      </c>
      <c r="R14" s="27">
        <f t="shared" si="11"/>
        <v>0</v>
      </c>
      <c r="S14" s="27">
        <f t="shared" si="12"/>
        <v>0</v>
      </c>
      <c r="T14" s="27">
        <f t="shared" si="14"/>
        <v>13103.928725501213</v>
      </c>
    </row>
    <row r="15" spans="1:20">
      <c r="A15" s="36">
        <f t="shared" si="15"/>
        <v>2028</v>
      </c>
      <c r="B15" s="9">
        <f t="shared" si="16"/>
        <v>31</v>
      </c>
      <c r="C15" s="8">
        <f t="shared" si="17"/>
        <v>97510.544841375769</v>
      </c>
      <c r="D15" s="34">
        <f t="shared" si="5"/>
        <v>10292.779733256331</v>
      </c>
      <c r="E15" s="34">
        <f t="shared" si="6"/>
        <v>47354.886114970621</v>
      </c>
      <c r="F15" s="34">
        <f t="shared" si="7"/>
        <v>26002.811957700207</v>
      </c>
      <c r="G15" s="8">
        <f t="shared" si="13"/>
        <v>293782.52775628702</v>
      </c>
      <c r="H15" s="9"/>
      <c r="I15" s="8">
        <f t="shared" si="8"/>
        <v>0.76023105865456508</v>
      </c>
      <c r="J15" s="41">
        <f t="shared" si="0"/>
        <v>0</v>
      </c>
      <c r="K15" s="34">
        <f t="shared" si="1"/>
        <v>0</v>
      </c>
      <c r="L15" s="8">
        <f t="shared" si="2"/>
        <v>0</v>
      </c>
      <c r="M15" s="48">
        <f t="shared" si="3"/>
        <v>3792.0982582030269</v>
      </c>
      <c r="N15" s="34">
        <f t="shared" si="9"/>
        <v>10050.41709406693</v>
      </c>
      <c r="O15" s="35">
        <f t="shared" si="10"/>
        <v>13220.213749032915</v>
      </c>
      <c r="P15" s="52"/>
      <c r="Q15" s="27">
        <f t="shared" si="4"/>
        <v>74130.544734742536</v>
      </c>
      <c r="R15" s="27">
        <f t="shared" si="11"/>
        <v>0</v>
      </c>
      <c r="S15" s="27">
        <f t="shared" si="12"/>
        <v>0</v>
      </c>
      <c r="T15" s="27">
        <f t="shared" si="14"/>
        <v>13103.928725501213</v>
      </c>
    </row>
    <row r="16" spans="1:20">
      <c r="A16" s="36">
        <f t="shared" si="15"/>
        <v>2029</v>
      </c>
      <c r="B16" s="9">
        <f t="shared" si="16"/>
        <v>32</v>
      </c>
      <c r="C16" s="8">
        <f t="shared" si="17"/>
        <v>101410.96663503081</v>
      </c>
      <c r="D16" s="34">
        <f t="shared" si="5"/>
        <v>3350.5972025447845</v>
      </c>
      <c r="E16" s="34">
        <f t="shared" si="6"/>
        <v>50942.257748090255</v>
      </c>
      <c r="F16" s="34">
        <f t="shared" si="7"/>
        <v>27042.924436008219</v>
      </c>
      <c r="G16" s="8">
        <f t="shared" si="13"/>
        <v>347265.87969036109</v>
      </c>
      <c r="H16" s="9"/>
      <c r="I16" s="8">
        <f t="shared" si="8"/>
        <v>0.73742412689492809</v>
      </c>
      <c r="J16" s="41">
        <f t="shared" si="0"/>
        <v>0</v>
      </c>
      <c r="K16" s="34">
        <f t="shared" si="1"/>
        <v>0</v>
      </c>
      <c r="L16" s="8">
        <f t="shared" si="2"/>
        <v>0</v>
      </c>
      <c r="M16" s="48">
        <f t="shared" si="3"/>
        <v>4414.7041014090719</v>
      </c>
      <c r="N16" s="34">
        <f t="shared" si="9"/>
        <v>11523.700715897865</v>
      </c>
      <c r="O16" s="35">
        <f t="shared" si="10"/>
        <v>15626.964586066249</v>
      </c>
      <c r="P16" s="52"/>
      <c r="Q16" s="27">
        <f t="shared" si="4"/>
        <v>74782.893528408284</v>
      </c>
      <c r="R16" s="27">
        <f t="shared" si="11"/>
        <v>0</v>
      </c>
      <c r="S16" s="27">
        <f t="shared" si="12"/>
        <v>7353.8937200418022</v>
      </c>
      <c r="T16" s="27">
        <f t="shared" si="14"/>
        <v>20457.822445543017</v>
      </c>
    </row>
    <row r="17" spans="1:20">
      <c r="A17" s="36">
        <f t="shared" si="15"/>
        <v>2030</v>
      </c>
      <c r="B17" s="9">
        <f t="shared" si="16"/>
        <v>33</v>
      </c>
      <c r="C17" s="8">
        <f t="shared" si="17"/>
        <v>105467.40530043204</v>
      </c>
      <c r="D17" s="34">
        <f t="shared" si="5"/>
        <v>1791.4449021257678</v>
      </c>
      <c r="E17" s="34">
        <f t="shared" si="6"/>
        <v>52988.413938956466</v>
      </c>
      <c r="F17" s="34">
        <f t="shared" si="7"/>
        <v>28124.641413448549</v>
      </c>
      <c r="G17" s="8">
        <f t="shared" si="13"/>
        <v>406644.45027594216</v>
      </c>
      <c r="H17" s="9"/>
      <c r="I17" s="8">
        <f t="shared" si="8"/>
        <v>0.71530140308808021</v>
      </c>
      <c r="J17" s="41">
        <f t="shared" si="0"/>
        <v>0</v>
      </c>
      <c r="K17" s="34">
        <f t="shared" si="1"/>
        <v>0</v>
      </c>
      <c r="L17" s="8">
        <f t="shared" si="2"/>
        <v>0</v>
      </c>
      <c r="M17" s="48">
        <f t="shared" si="3"/>
        <v>5091.4349865360145</v>
      </c>
      <c r="N17" s="34">
        <f t="shared" si="9"/>
        <v>13089.300562816312</v>
      </c>
      <c r="O17" s="35">
        <f t="shared" si="10"/>
        <v>18299.000262417398</v>
      </c>
      <c r="P17" s="52"/>
      <c r="Q17" s="27">
        <f t="shared" si="4"/>
        <v>75440.982991458266</v>
      </c>
      <c r="R17" s="27">
        <f t="shared" si="11"/>
        <v>0</v>
      </c>
      <c r="S17" s="27">
        <f t="shared" si="12"/>
        <v>9341.2256573642826</v>
      </c>
      <c r="T17" s="27">
        <f t="shared" si="14"/>
        <v>29799.048102907298</v>
      </c>
    </row>
    <row r="18" spans="1:20">
      <c r="A18" s="36">
        <f t="shared" si="15"/>
        <v>2031</v>
      </c>
      <c r="B18" s="9">
        <f t="shared" si="16"/>
        <v>34</v>
      </c>
      <c r="C18" s="8">
        <f t="shared" si="17"/>
        <v>109686.10151244933</v>
      </c>
      <c r="D18" s="34">
        <f t="shared" si="5"/>
        <v>1854.6368172681978</v>
      </c>
      <c r="E18" s="34">
        <f t="shared" si="6"/>
        <v>55107.992825919442</v>
      </c>
      <c r="F18" s="34">
        <f t="shared" si="7"/>
        <v>29249.627069986491</v>
      </c>
      <c r="G18" s="8">
        <f t="shared" si="13"/>
        <v>472492.07787076349</v>
      </c>
      <c r="H18" s="9"/>
      <c r="I18" s="8">
        <f t="shared" si="8"/>
        <v>0.69384236099543783</v>
      </c>
      <c r="J18" s="41">
        <f t="shared" si="0"/>
        <v>0</v>
      </c>
      <c r="K18" s="34">
        <f t="shared" si="1"/>
        <v>0</v>
      </c>
      <c r="L18" s="8">
        <f t="shared" si="2"/>
        <v>0</v>
      </c>
      <c r="M18" s="48">
        <f t="shared" si="3"/>
        <v>5826.4731750832434</v>
      </c>
      <c r="N18" s="34">
        <f t="shared" si="9"/>
        <v>14752.575848767086</v>
      </c>
      <c r="O18" s="35">
        <f t="shared" si="10"/>
        <v>21262.143504184358</v>
      </c>
      <c r="P18" s="52"/>
      <c r="Q18" s="27">
        <f t="shared" si="4"/>
        <v>76104.8636417831</v>
      </c>
      <c r="R18" s="27">
        <f t="shared" si="11"/>
        <v>0</v>
      </c>
      <c r="S18" s="27">
        <f t="shared" si="12"/>
        <v>9723.3405646014544</v>
      </c>
      <c r="T18" s="27">
        <f t="shared" si="14"/>
        <v>39522.388667508756</v>
      </c>
    </row>
    <row r="19" spans="1:20">
      <c r="A19" s="36">
        <f t="shared" si="15"/>
        <v>2032</v>
      </c>
      <c r="B19" s="9">
        <f t="shared" si="16"/>
        <v>35</v>
      </c>
      <c r="C19" s="8">
        <f t="shared" si="17"/>
        <v>114073.5455729473</v>
      </c>
      <c r="D19" s="34">
        <f t="shared" si="5"/>
        <v>1928.7799605542095</v>
      </c>
      <c r="E19" s="34">
        <f t="shared" si="6"/>
        <v>57312.31275060324</v>
      </c>
      <c r="F19" s="34">
        <f t="shared" si="7"/>
        <v>30419.61215278595</v>
      </c>
      <c r="G19" s="8">
        <f t="shared" si="13"/>
        <v>545435.97703191824</v>
      </c>
      <c r="H19" s="9"/>
      <c r="I19" s="8">
        <f t="shared" si="8"/>
        <v>0.67302709016557472</v>
      </c>
      <c r="J19" s="41">
        <f t="shared" si="0"/>
        <v>0</v>
      </c>
      <c r="K19" s="34">
        <f t="shared" si="1"/>
        <v>0</v>
      </c>
      <c r="L19" s="8">
        <f t="shared" si="2"/>
        <v>0</v>
      </c>
      <c r="M19" s="48">
        <f t="shared" si="3"/>
        <v>6624.3133529956258</v>
      </c>
      <c r="N19" s="34">
        <f t="shared" si="9"/>
        <v>16519.193482203413</v>
      </c>
      <c r="O19" s="35">
        <f t="shared" si="10"/>
        <v>24544.618966436319</v>
      </c>
      <c r="P19" s="52"/>
      <c r="Q19" s="27">
        <f t="shared" si="4"/>
        <v>76774.586441830805</v>
      </c>
      <c r="R19" s="27">
        <f t="shared" si="11"/>
        <v>0</v>
      </c>
      <c r="S19" s="27">
        <f t="shared" si="12"/>
        <v>10112.316516590228</v>
      </c>
      <c r="T19" s="27">
        <f t="shared" si="14"/>
        <v>49634.705184098988</v>
      </c>
    </row>
    <row r="20" spans="1:20">
      <c r="A20" s="36">
        <f t="shared" si="15"/>
        <v>2033</v>
      </c>
      <c r="B20" s="9">
        <f t="shared" si="16"/>
        <v>36</v>
      </c>
      <c r="C20" s="8">
        <f t="shared" si="17"/>
        <v>118636.4873958652</v>
      </c>
      <c r="D20" s="34">
        <f t="shared" si="5"/>
        <v>2005.9309473293615</v>
      </c>
      <c r="E20" s="34">
        <f t="shared" si="6"/>
        <v>36915.959388858944</v>
      </c>
      <c r="F20" s="34">
        <f t="shared" si="7"/>
        <v>31636.396638897386</v>
      </c>
      <c r="G20" s="8">
        <f t="shared" si="13"/>
        <v>626161.61160368833</v>
      </c>
      <c r="H20" s="9"/>
      <c r="I20" s="8">
        <f t="shared" si="8"/>
        <v>0.65283627746060746</v>
      </c>
      <c r="J20" s="41">
        <f t="shared" si="0"/>
        <v>0</v>
      </c>
      <c r="K20" s="34">
        <f t="shared" si="1"/>
        <v>0</v>
      </c>
      <c r="L20" s="8">
        <f t="shared" si="2"/>
        <v>0</v>
      </c>
      <c r="M20" s="48">
        <f t="shared" si="3"/>
        <v>7489.785721328989</v>
      </c>
      <c r="N20" s="34">
        <f t="shared" si="9"/>
        <v>18395.145702363898</v>
      </c>
      <c r="O20" s="35">
        <f t="shared" si="10"/>
        <v>28177.272522165975</v>
      </c>
      <c r="P20" s="52"/>
      <c r="Q20" s="27">
        <f t="shared" si="4"/>
        <v>77450.202802518921</v>
      </c>
      <c r="R20" s="27">
        <f t="shared" si="11"/>
        <v>-22688.845872826667</v>
      </c>
      <c r="S20" s="27">
        <f t="shared" si="12"/>
        <v>10516.809388900854</v>
      </c>
      <c r="T20" s="27">
        <f t="shared" si="14"/>
        <v>60151.51457299984</v>
      </c>
    </row>
    <row r="21" spans="1:20">
      <c r="A21" s="36">
        <f t="shared" si="15"/>
        <v>2034</v>
      </c>
      <c r="B21" s="9">
        <f t="shared" si="16"/>
        <v>37</v>
      </c>
      <c r="C21" s="8">
        <f t="shared" si="17"/>
        <v>123381.94689169982</v>
      </c>
      <c r="D21" s="34">
        <f t="shared" si="5"/>
        <v>13023.649949679426</v>
      </c>
      <c r="E21" s="34">
        <f t="shared" si="6"/>
        <v>50124.189135482666</v>
      </c>
      <c r="F21" s="34">
        <f t="shared" si="7"/>
        <v>32901.852504453287</v>
      </c>
      <c r="G21" s="8">
        <f t="shared" si="13"/>
        <v>715418.00915247365</v>
      </c>
      <c r="H21" s="9"/>
      <c r="I21" s="8">
        <f t="shared" si="8"/>
        <v>0.63325118913678924</v>
      </c>
      <c r="J21" s="41">
        <f t="shared" si="0"/>
        <v>0</v>
      </c>
      <c r="K21" s="34">
        <f t="shared" si="1"/>
        <v>0</v>
      </c>
      <c r="L21" s="8">
        <f t="shared" si="2"/>
        <v>0</v>
      </c>
      <c r="M21" s="48">
        <f t="shared" si="3"/>
        <v>8428.0807875700521</v>
      </c>
      <c r="N21" s="34">
        <f t="shared" si="9"/>
        <v>20386.768726155522</v>
      </c>
      <c r="O21" s="35">
        <f t="shared" si="10"/>
        <v>32193.810411861312</v>
      </c>
      <c r="P21" s="52"/>
      <c r="Q21" s="27">
        <f t="shared" si="4"/>
        <v>78131.764587181082</v>
      </c>
      <c r="R21" s="27">
        <f t="shared" si="11"/>
        <v>0</v>
      </c>
      <c r="S21" s="27">
        <f t="shared" si="12"/>
        <v>0</v>
      </c>
      <c r="T21" s="27">
        <f t="shared" si="14"/>
        <v>60151.51457299984</v>
      </c>
    </row>
    <row r="22" spans="1:20">
      <c r="A22" s="36">
        <f t="shared" si="15"/>
        <v>2035</v>
      </c>
      <c r="B22" s="9">
        <f t="shared" si="16"/>
        <v>38</v>
      </c>
      <c r="C22" s="8">
        <f t="shared" si="17"/>
        <v>128317.22476736781</v>
      </c>
      <c r="D22" s="34">
        <f t="shared" si="5"/>
        <v>13544.595947666601</v>
      </c>
      <c r="E22" s="34">
        <f t="shared" si="6"/>
        <v>63919.406028826677</v>
      </c>
      <c r="F22" s="34">
        <f t="shared" si="7"/>
        <v>34217.926604631415</v>
      </c>
      <c r="G22" s="8">
        <f t="shared" si="13"/>
        <v>814023.5565808278</v>
      </c>
      <c r="H22" s="9"/>
      <c r="I22" s="8">
        <f t="shared" si="8"/>
        <v>0.61425365346268557</v>
      </c>
      <c r="J22" s="41">
        <f t="shared" si="0"/>
        <v>0</v>
      </c>
      <c r="K22" s="34">
        <f t="shared" si="1"/>
        <v>0</v>
      </c>
      <c r="L22" s="8">
        <f t="shared" si="2"/>
        <v>0</v>
      </c>
      <c r="M22" s="48">
        <f t="shared" si="3"/>
        <v>9444.7759827225927</v>
      </c>
      <c r="N22" s="34">
        <f t="shared" si="9"/>
        <v>22500.762463550818</v>
      </c>
      <c r="O22" s="35">
        <f t="shared" si="10"/>
        <v>36631.060046137252</v>
      </c>
      <c r="P22" s="52"/>
      <c r="Q22" s="27">
        <f t="shared" si="4"/>
        <v>78819.324115548283</v>
      </c>
      <c r="R22" s="27">
        <f t="shared" si="11"/>
        <v>0</v>
      </c>
      <c r="S22" s="27">
        <f t="shared" si="12"/>
        <v>0</v>
      </c>
      <c r="T22" s="27">
        <f t="shared" si="14"/>
        <v>60151.51457299984</v>
      </c>
    </row>
    <row r="23" spans="1:20">
      <c r="A23" s="36">
        <f t="shared" si="15"/>
        <v>2036</v>
      </c>
      <c r="B23" s="9">
        <f t="shared" si="16"/>
        <v>39</v>
      </c>
      <c r="C23" s="8">
        <f t="shared" si="17"/>
        <v>133449.91375806252</v>
      </c>
      <c r="D23" s="34">
        <f t="shared" si="5"/>
        <v>2805.550850204585</v>
      </c>
      <c r="E23" s="34">
        <f t="shared" si="6"/>
        <v>67044.553909175389</v>
      </c>
      <c r="F23" s="34">
        <f t="shared" si="7"/>
        <v>35586.643668816672</v>
      </c>
      <c r="G23" s="8">
        <f t="shared" si="13"/>
        <v>922872.32034191908</v>
      </c>
      <c r="H23" s="9"/>
      <c r="I23" s="8">
        <f t="shared" si="8"/>
        <v>0.595826043858805</v>
      </c>
      <c r="J23" s="41">
        <f t="shared" si="0"/>
        <v>0</v>
      </c>
      <c r="K23" s="34">
        <f t="shared" si="1"/>
        <v>0</v>
      </c>
      <c r="L23" s="8">
        <f t="shared" si="2"/>
        <v>0</v>
      </c>
      <c r="M23" s="48">
        <f t="shared" si="3"/>
        <v>10545.864238472559</v>
      </c>
      <c r="N23" s="34">
        <f t="shared" si="9"/>
        <v>24744.211362725462</v>
      </c>
      <c r="O23" s="35">
        <f t="shared" si="10"/>
        <v>41529.254415386356</v>
      </c>
      <c r="P23" s="52"/>
      <c r="Q23" s="27">
        <f t="shared" si="4"/>
        <v>79512.93416776511</v>
      </c>
      <c r="R23" s="27">
        <f t="shared" si="11"/>
        <v>0</v>
      </c>
      <c r="S23" s="27">
        <f t="shared" si="12"/>
        <v>11280.828935368683</v>
      </c>
      <c r="T23" s="27">
        <f t="shared" si="14"/>
        <v>71432.343508368518</v>
      </c>
    </row>
    <row r="24" spans="1:20">
      <c r="A24" s="36">
        <f t="shared" si="15"/>
        <v>2037</v>
      </c>
      <c r="B24" s="9">
        <f t="shared" si="16"/>
        <v>40</v>
      </c>
      <c r="C24" s="8">
        <f t="shared" si="17"/>
        <v>138787.91030838504</v>
      </c>
      <c r="D24" s="34">
        <f t="shared" si="5"/>
        <v>2349.4012450171285</v>
      </c>
      <c r="E24" s="34">
        <f t="shared" si="6"/>
        <v>69729.177923738389</v>
      </c>
      <c r="F24" s="34">
        <f t="shared" si="7"/>
        <v>37010.109415569343</v>
      </c>
      <c r="G24" s="8">
        <f t="shared" si="13"/>
        <v>1042940.9385882613</v>
      </c>
      <c r="H24" s="21" t="s">
        <v>23</v>
      </c>
      <c r="I24" s="8">
        <f t="shared" si="8"/>
        <v>0.57795126254304086</v>
      </c>
      <c r="J24" s="41">
        <f t="shared" si="0"/>
        <v>0</v>
      </c>
      <c r="K24" s="34">
        <f t="shared" si="1"/>
        <v>0</v>
      </c>
      <c r="L24" s="8">
        <f t="shared" si="2"/>
        <v>0</v>
      </c>
      <c r="M24" s="48">
        <f t="shared" si="3"/>
        <v>11737.784668621607</v>
      </c>
      <c r="N24" s="34">
        <f t="shared" si="9"/>
        <v>27124.606449670933</v>
      </c>
      <c r="O24" s="35">
        <f t="shared" si="10"/>
        <v>46932.342236471755</v>
      </c>
      <c r="P24" s="52"/>
      <c r="Q24" s="27">
        <f t="shared" si="4"/>
        <v>80212.647988441444</v>
      </c>
      <c r="R24" s="27">
        <f t="shared" si="11"/>
        <v>0</v>
      </c>
      <c r="S24" s="27">
        <f t="shared" si="12"/>
        <v>12300.43373197907</v>
      </c>
      <c r="T24" s="27">
        <f t="shared" si="14"/>
        <v>83732.777240347583</v>
      </c>
    </row>
    <row r="25" spans="1:20">
      <c r="A25" s="36">
        <f t="shared" si="15"/>
        <v>2038</v>
      </c>
      <c r="B25" s="9">
        <f t="shared" si="16"/>
        <v>41</v>
      </c>
      <c r="C25" s="8">
        <f t="shared" si="17"/>
        <v>144339.42672072045</v>
      </c>
      <c r="D25" s="34">
        <f t="shared" si="5"/>
        <v>2440.535436621838</v>
      </c>
      <c r="E25" s="34">
        <f t="shared" si="6"/>
        <v>72518.359249978908</v>
      </c>
      <c r="F25" s="34">
        <f t="shared" si="7"/>
        <v>38490.51379219212</v>
      </c>
      <c r="G25" s="8">
        <f t="shared" si="13"/>
        <v>1175296.1368533969</v>
      </c>
      <c r="H25" s="9"/>
      <c r="I25" s="8">
        <f t="shared" si="8"/>
        <v>0.56061272466674961</v>
      </c>
      <c r="J25" s="41">
        <f t="shared" si="0"/>
        <v>0</v>
      </c>
      <c r="K25" s="34">
        <f t="shared" si="1"/>
        <v>0</v>
      </c>
      <c r="L25" s="8">
        <f t="shared" si="2"/>
        <v>0</v>
      </c>
      <c r="M25" s="48">
        <f t="shared" si="3"/>
        <v>13027.455509582449</v>
      </c>
      <c r="N25" s="34">
        <f t="shared" si="9"/>
        <v>29649.868630725952</v>
      </c>
      <c r="O25" s="35">
        <f t="shared" si="10"/>
        <v>52888.326158402859</v>
      </c>
      <c r="P25" s="52"/>
      <c r="Q25" s="27">
        <f t="shared" si="4"/>
        <v>80918.519290739743</v>
      </c>
      <c r="R25" s="27">
        <f t="shared" si="11"/>
        <v>0</v>
      </c>
      <c r="S25" s="27">
        <f t="shared" si="12"/>
        <v>12795.29293945421</v>
      </c>
      <c r="T25" s="27">
        <f t="shared" si="14"/>
        <v>96528.070179801798</v>
      </c>
    </row>
    <row r="26" spans="1:20">
      <c r="A26" s="36">
        <f t="shared" si="15"/>
        <v>2039</v>
      </c>
      <c r="B26" s="9">
        <f t="shared" si="16"/>
        <v>42</v>
      </c>
      <c r="C26" s="8">
        <f t="shared" si="17"/>
        <v>150113.00378954929</v>
      </c>
      <c r="D26" s="34">
        <f t="shared" si="5"/>
        <v>2538.1426447957347</v>
      </c>
      <c r="E26" s="34">
        <f t="shared" si="6"/>
        <v>75419.093691024536</v>
      </c>
      <c r="F26" s="34">
        <f t="shared" si="7"/>
        <v>40030.134343879814</v>
      </c>
      <c r="G26" s="8">
        <f t="shared" si="13"/>
        <v>1321102.9235140826</v>
      </c>
      <c r="H26" s="9"/>
      <c r="I26" s="8">
        <f t="shared" si="8"/>
        <v>0.54379434292674711</v>
      </c>
      <c r="J26" s="41">
        <f t="shared" si="0"/>
        <v>0</v>
      </c>
      <c r="K26" s="34">
        <f t="shared" si="1"/>
        <v>0</v>
      </c>
      <c r="L26" s="8">
        <f t="shared" si="2"/>
        <v>0</v>
      </c>
      <c r="M26" s="48">
        <f t="shared" si="3"/>
        <v>14422.309486111908</v>
      </c>
      <c r="N26" s="34">
        <f t="shared" si="9"/>
        <v>32328.373330392529</v>
      </c>
      <c r="O26" s="35">
        <f t="shared" si="10"/>
        <v>59449.631558133711</v>
      </c>
      <c r="P26" s="52"/>
      <c r="Q26" s="27">
        <f t="shared" si="4"/>
        <v>81630.602260498257</v>
      </c>
      <c r="R26" s="27">
        <f t="shared" si="11"/>
        <v>0</v>
      </c>
      <c r="S26" s="27">
        <f t="shared" si="12"/>
        <v>13307.118866323357</v>
      </c>
      <c r="T26" s="27">
        <f t="shared" si="14"/>
        <v>109835.18904612516</v>
      </c>
    </row>
    <row r="27" spans="1:20">
      <c r="A27" s="36">
        <f t="shared" si="15"/>
        <v>2040</v>
      </c>
      <c r="B27" s="9">
        <f t="shared" si="16"/>
        <v>43</v>
      </c>
      <c r="C27" s="8">
        <f t="shared" si="17"/>
        <v>156117.52394113125</v>
      </c>
      <c r="D27" s="34">
        <f t="shared" si="5"/>
        <v>2639.6682795410889</v>
      </c>
      <c r="E27" s="34">
        <f t="shared" si="6"/>
        <v>50531.438863378309</v>
      </c>
      <c r="F27" s="34">
        <f t="shared" si="7"/>
        <v>41631.339717635004</v>
      </c>
      <c r="G27" s="8">
        <f t="shared" si="13"/>
        <v>1481633.526347985</v>
      </c>
      <c r="H27" s="9"/>
      <c r="I27" s="8">
        <f t="shared" si="8"/>
        <v>0.52748051263894469</v>
      </c>
      <c r="J27" s="41">
        <f t="shared" si="0"/>
        <v>0</v>
      </c>
      <c r="K27" s="34">
        <f t="shared" si="1"/>
        <v>0</v>
      </c>
      <c r="L27" s="8">
        <f t="shared" si="2"/>
        <v>0</v>
      </c>
      <c r="M27" s="48">
        <f t="shared" si="3"/>
        <v>15930.33178067822</v>
      </c>
      <c r="N27" s="34">
        <f t="shared" si="9"/>
        <v>35168.976540948715</v>
      </c>
      <c r="O27" s="35">
        <f t="shared" si="10"/>
        <v>66673.508685659326</v>
      </c>
      <c r="P27" s="52"/>
      <c r="Q27" s="27">
        <f t="shared" si="4"/>
        <v>82348.951560390633</v>
      </c>
      <c r="R27" s="27">
        <f t="shared" si="11"/>
        <v>-27904.41857564243</v>
      </c>
      <c r="S27" s="27">
        <f t="shared" si="12"/>
        <v>13839.403692022766</v>
      </c>
      <c r="T27" s="27">
        <f t="shared" si="14"/>
        <v>123674.59273814793</v>
      </c>
    </row>
    <row r="28" spans="1:20">
      <c r="A28" s="36">
        <f t="shared" si="15"/>
        <v>2041</v>
      </c>
      <c r="B28" s="9">
        <f t="shared" si="16"/>
        <v>44</v>
      </c>
      <c r="C28" s="8">
        <f t="shared" si="17"/>
        <v>162362.22489877651</v>
      </c>
      <c r="D28" s="34">
        <f t="shared" si="5"/>
        <v>17138.234850426408</v>
      </c>
      <c r="E28" s="34">
        <f t="shared" si="6"/>
        <v>67922.330908121599</v>
      </c>
      <c r="F28" s="34">
        <f t="shared" si="7"/>
        <v>43296.593306340401</v>
      </c>
      <c r="G28" s="8">
        <f t="shared" si="13"/>
        <v>1658277.1370256443</v>
      </c>
      <c r="H28" s="9"/>
      <c r="I28" s="8">
        <f t="shared" si="8"/>
        <v>0.51165609725977634</v>
      </c>
      <c r="J28" s="41">
        <f t="shared" si="0"/>
        <v>0</v>
      </c>
      <c r="K28" s="34">
        <f t="shared" si="1"/>
        <v>0</v>
      </c>
      <c r="L28" s="8">
        <f t="shared" si="2"/>
        <v>0</v>
      </c>
      <c r="M28" s="48">
        <f t="shared" si="3"/>
        <v>17560.100797977178</v>
      </c>
      <c r="N28" s="34">
        <f t="shared" si="9"/>
        <v>38181.042364754539</v>
      </c>
      <c r="O28" s="35">
        <f t="shared" si="10"/>
        <v>74622.471166153991</v>
      </c>
      <c r="P28" s="52"/>
      <c r="Q28" s="27">
        <f t="shared" si="4"/>
        <v>83073.622334122076</v>
      </c>
      <c r="R28" s="27">
        <f t="shared" si="11"/>
        <v>0</v>
      </c>
      <c r="S28" s="27">
        <f t="shared" si="12"/>
        <v>0</v>
      </c>
      <c r="T28" s="27">
        <f t="shared" si="14"/>
        <v>123674.59273814793</v>
      </c>
    </row>
    <row r="29" spans="1:20">
      <c r="A29" s="36">
        <f t="shared" si="15"/>
        <v>2042</v>
      </c>
      <c r="B29" s="9">
        <f t="shared" si="16"/>
        <v>45</v>
      </c>
      <c r="C29" s="8">
        <f t="shared" si="17"/>
        <v>168856.71389472758</v>
      </c>
      <c r="D29" s="34">
        <f t="shared" si="5"/>
        <v>16506.026039242191</v>
      </c>
      <c r="E29" s="34">
        <f t="shared" si="6"/>
        <v>84767.968601904387</v>
      </c>
      <c r="F29" s="34">
        <f t="shared" si="7"/>
        <v>45028.457038594024</v>
      </c>
      <c r="G29" s="8">
        <f t="shared" si="13"/>
        <v>1852550.5363965463</v>
      </c>
      <c r="H29" s="9"/>
      <c r="I29" s="8">
        <f t="shared" si="8"/>
        <v>0.49630641434198303</v>
      </c>
      <c r="J29" s="41">
        <f t="shared" si="0"/>
        <v>0</v>
      </c>
      <c r="K29" s="34">
        <f t="shared" si="1"/>
        <v>0</v>
      </c>
      <c r="L29" s="8">
        <f t="shared" si="2"/>
        <v>0</v>
      </c>
      <c r="M29" s="48">
        <f t="shared" si="3"/>
        <v>19320.831930195473</v>
      </c>
      <c r="N29" s="34">
        <f t="shared" si="9"/>
        <v>41374.472134782925</v>
      </c>
      <c r="O29" s="35">
        <f t="shared" si="10"/>
        <v>83364.774137844579</v>
      </c>
      <c r="P29" s="52"/>
      <c r="Q29" s="27">
        <f t="shared" si="4"/>
        <v>83804.670210662356</v>
      </c>
      <c r="R29" s="27">
        <f t="shared" si="11"/>
        <v>0</v>
      </c>
      <c r="S29" s="27">
        <f t="shared" si="12"/>
        <v>1317.7382052012763</v>
      </c>
      <c r="T29" s="27">
        <f t="shared" si="14"/>
        <v>124992.3309433492</v>
      </c>
    </row>
    <row r="30" spans="1:20">
      <c r="A30" s="36">
        <f t="shared" si="15"/>
        <v>2043</v>
      </c>
      <c r="B30" s="9">
        <f t="shared" si="16"/>
        <v>46</v>
      </c>
      <c r="C30" s="8">
        <f t="shared" si="17"/>
        <v>175610.98245051669</v>
      </c>
      <c r="D30" s="34">
        <f t="shared" si="5"/>
        <v>3037.5226233539579</v>
      </c>
      <c r="E30" s="34">
        <f t="shared" si="6"/>
        <v>88229.331068267857</v>
      </c>
      <c r="F30" s="34">
        <f t="shared" si="7"/>
        <v>46829.595320137792</v>
      </c>
      <c r="G30" s="8">
        <f t="shared" si="13"/>
        <v>2066109.6799923733</v>
      </c>
      <c r="H30" s="22" t="s">
        <v>4</v>
      </c>
      <c r="I30" s="8">
        <f t="shared" si="8"/>
        <v>0.48141722191172354</v>
      </c>
      <c r="J30" s="41">
        <f t="shared" si="0"/>
        <v>0</v>
      </c>
      <c r="K30" s="34">
        <f t="shared" si="1"/>
        <v>0</v>
      </c>
      <c r="L30" s="8">
        <f t="shared" si="2"/>
        <v>0</v>
      </c>
      <c r="M30" s="48">
        <f t="shared" si="3"/>
        <v>21222.424543737729</v>
      </c>
      <c r="N30" s="34">
        <f t="shared" si="9"/>
        <v>44759.735203808181</v>
      </c>
      <c r="O30" s="35">
        <f t="shared" si="10"/>
        <v>92974.93559965679</v>
      </c>
      <c r="P30" s="52"/>
      <c r="Q30" s="27">
        <f t="shared" si="4"/>
        <v>84542.151308516186</v>
      </c>
      <c r="R30" s="27">
        <f t="shared" si="11"/>
        <v>0</v>
      </c>
      <c r="S30" s="27">
        <f t="shared" si="12"/>
        <v>15499.192190867252</v>
      </c>
      <c r="T30" s="27">
        <f t="shared" si="14"/>
        <v>140491.52313421643</v>
      </c>
    </row>
    <row r="31" spans="1:20">
      <c r="A31" s="36">
        <f t="shared" si="15"/>
        <v>2044</v>
      </c>
      <c r="B31" s="9">
        <f t="shared" si="16"/>
        <v>47</v>
      </c>
      <c r="C31" s="8">
        <f t="shared" si="17"/>
        <v>182635.42174853737</v>
      </c>
      <c r="D31" s="34">
        <f t="shared" si="5"/>
        <v>3088.3798060008266</v>
      </c>
      <c r="E31" s="34">
        <f t="shared" si="6"/>
        <v>91758.857529610017</v>
      </c>
      <c r="F31" s="34">
        <f t="shared" si="7"/>
        <v>48702.779132943302</v>
      </c>
      <c r="G31" s="8">
        <f t="shared" si="13"/>
        <v>2300762.3303246303</v>
      </c>
      <c r="H31" s="9"/>
      <c r="I31" s="8">
        <f t="shared" si="8"/>
        <v>0.46697470525437179</v>
      </c>
      <c r="J31" s="41">
        <f t="shared" si="0"/>
        <v>0</v>
      </c>
      <c r="K31" s="34">
        <f t="shared" si="1"/>
        <v>0</v>
      </c>
      <c r="L31" s="8">
        <f t="shared" si="2"/>
        <v>0</v>
      </c>
      <c r="M31" s="48">
        <f t="shared" si="3"/>
        <v>23275.512424364675</v>
      </c>
      <c r="N31" s="34">
        <f t="shared" si="9"/>
        <v>48347.901497866762</v>
      </c>
      <c r="O31" s="35">
        <f t="shared" si="10"/>
        <v>103534.30486460836</v>
      </c>
      <c r="P31" s="52"/>
      <c r="Q31" s="27">
        <f t="shared" si="4"/>
        <v>85286.122240031124</v>
      </c>
      <c r="R31" s="27">
        <f t="shared" si="11"/>
        <v>0</v>
      </c>
      <c r="S31" s="27">
        <f t="shared" si="12"/>
        <v>16189.80360078923</v>
      </c>
      <c r="T31" s="27">
        <f t="shared" si="14"/>
        <v>156681.32673500566</v>
      </c>
    </row>
    <row r="32" spans="1:20">
      <c r="A32" s="36">
        <f t="shared" si="15"/>
        <v>2045</v>
      </c>
      <c r="B32" s="9">
        <f t="shared" si="16"/>
        <v>48</v>
      </c>
      <c r="C32" s="8">
        <f t="shared" si="17"/>
        <v>189940.83861847885</v>
      </c>
      <c r="D32" s="34">
        <f t="shared" si="5"/>
        <v>3211.56177962941</v>
      </c>
      <c r="E32" s="34">
        <f t="shared" si="6"/>
        <v>95429.213596887465</v>
      </c>
      <c r="F32" s="34">
        <f t="shared" si="7"/>
        <v>50650.890298261023</v>
      </c>
      <c r="G32" s="8">
        <f t="shared" si="13"/>
        <v>2558481.830352108</v>
      </c>
      <c r="H32" s="9"/>
      <c r="I32" s="8">
        <f t="shared" si="8"/>
        <v>0.4529654640967406</v>
      </c>
      <c r="J32" s="41">
        <f t="shared" si="0"/>
        <v>0</v>
      </c>
      <c r="K32" s="34">
        <f t="shared" si="1"/>
        <v>0</v>
      </c>
      <c r="L32" s="8">
        <f t="shared" si="2"/>
        <v>0</v>
      </c>
      <c r="M32" s="48">
        <f t="shared" si="3"/>
        <v>25491.517935113141</v>
      </c>
      <c r="N32" s="34">
        <f t="shared" si="9"/>
        <v>52150.67593508344</v>
      </c>
      <c r="O32" s="35">
        <f t="shared" si="10"/>
        <v>115131.68236584486</v>
      </c>
      <c r="P32" s="52"/>
      <c r="Q32" s="27">
        <f t="shared" si="4"/>
        <v>86036.640115743387</v>
      </c>
      <c r="R32" s="27">
        <f t="shared" si="11"/>
        <v>0</v>
      </c>
      <c r="S32" s="27">
        <f t="shared" si="12"/>
        <v>16837.748963432245</v>
      </c>
      <c r="T32" s="27">
        <f t="shared" si="14"/>
        <v>173519.0756984379</v>
      </c>
    </row>
    <row r="33" spans="1:20">
      <c r="A33" s="36">
        <f t="shared" si="15"/>
        <v>2046</v>
      </c>
      <c r="B33" s="9">
        <f t="shared" si="16"/>
        <v>49</v>
      </c>
      <c r="C33" s="8">
        <f t="shared" si="17"/>
        <v>197538.47216321802</v>
      </c>
      <c r="D33" s="34">
        <f t="shared" si="5"/>
        <v>3340.0224847215432</v>
      </c>
      <c r="E33" s="34">
        <f t="shared" si="6"/>
        <v>99246.382149593439</v>
      </c>
      <c r="F33" s="34">
        <f t="shared" si="7"/>
        <v>52676.925910191472</v>
      </c>
      <c r="G33" s="8">
        <f t="shared" si="13"/>
        <v>2841422.1209939895</v>
      </c>
      <c r="H33" s="9"/>
      <c r="I33" s="8">
        <f t="shared" si="8"/>
        <v>0.43937650017383839</v>
      </c>
      <c r="J33" s="41">
        <f t="shared" si="0"/>
        <v>0</v>
      </c>
      <c r="K33" s="34">
        <f t="shared" si="1"/>
        <v>0</v>
      </c>
      <c r="L33" s="8">
        <f t="shared" si="2"/>
        <v>0</v>
      </c>
      <c r="M33" s="48">
        <f t="shared" si="3"/>
        <v>27882.710160074133</v>
      </c>
      <c r="N33" s="34">
        <f t="shared" si="9"/>
        <v>56180.434816748872</v>
      </c>
      <c r="O33" s="35">
        <f t="shared" si="10"/>
        <v>127863.99544472952</v>
      </c>
      <c r="P33" s="52"/>
      <c r="Q33" s="27">
        <f t="shared" si="4"/>
        <v>86793.762548761937</v>
      </c>
      <c r="R33" s="27">
        <f t="shared" si="11"/>
        <v>0</v>
      </c>
      <c r="S33" s="27">
        <f t="shared" si="12"/>
        <v>17511.260688062583</v>
      </c>
      <c r="T33" s="27">
        <f t="shared" si="14"/>
        <v>191030.33638650048</v>
      </c>
    </row>
    <row r="34" spans="1:20">
      <c r="A34" s="36">
        <f t="shared" si="15"/>
        <v>2047</v>
      </c>
      <c r="B34" s="9">
        <f t="shared" si="16"/>
        <v>50</v>
      </c>
      <c r="C34" s="8">
        <f t="shared" si="17"/>
        <v>205440.01104974674</v>
      </c>
      <c r="D34" s="34">
        <f t="shared" si="5"/>
        <v>3473.6233752799308</v>
      </c>
      <c r="E34" s="34">
        <f t="shared" si="6"/>
        <v>68897.322299562424</v>
      </c>
      <c r="F34" s="34">
        <f t="shared" si="7"/>
        <v>54784.002946599132</v>
      </c>
      <c r="G34" s="8">
        <f t="shared" si="13"/>
        <v>3151934.1148300478</v>
      </c>
      <c r="H34" s="9"/>
      <c r="I34" s="8">
        <f t="shared" si="8"/>
        <v>0.42619520516862325</v>
      </c>
      <c r="J34" s="41">
        <f t="shared" si="0"/>
        <v>0</v>
      </c>
      <c r="K34" s="34">
        <f t="shared" si="1"/>
        <v>0</v>
      </c>
      <c r="L34" s="8">
        <f t="shared" si="2"/>
        <v>0</v>
      </c>
      <c r="M34" s="48">
        <f t="shared" si="3"/>
        <v>30462.26732718464</v>
      </c>
      <c r="N34" s="34">
        <f t="shared" si="9"/>
        <v>60450.264303658878</v>
      </c>
      <c r="O34" s="35">
        <f t="shared" si="10"/>
        <v>141837.03516735215</v>
      </c>
      <c r="P34" s="52"/>
      <c r="Q34" s="27">
        <f t="shared" si="4"/>
        <v>87557.547659191041</v>
      </c>
      <c r="R34" s="27">
        <f t="shared" si="11"/>
        <v>-34318.915136058902</v>
      </c>
      <c r="S34" s="27">
        <f t="shared" si="12"/>
        <v>18211.71112441556</v>
      </c>
      <c r="T34" s="27">
        <f t="shared" si="14"/>
        <v>209242.04751091605</v>
      </c>
    </row>
    <row r="35" spans="1:20">
      <c r="A35" s="36">
        <f t="shared" si="15"/>
        <v>2048</v>
      </c>
      <c r="B35" s="9">
        <f t="shared" si="16"/>
        <v>51</v>
      </c>
      <c r="C35" s="8">
        <f t="shared" si="17"/>
        <v>213657.61149173661</v>
      </c>
      <c r="D35" s="34">
        <f t="shared" si="5"/>
        <v>22552.747879683309</v>
      </c>
      <c r="E35" s="34">
        <f t="shared" si="6"/>
        <v>91794.556790743547</v>
      </c>
      <c r="F35" s="34">
        <f t="shared" si="7"/>
        <v>56975.363064463098</v>
      </c>
      <c r="G35" s="8">
        <f t="shared" si="13"/>
        <v>3492583.5482292157</v>
      </c>
      <c r="H35" s="9"/>
      <c r="I35" s="8">
        <f t="shared" si="8"/>
        <v>0.41340934901356452</v>
      </c>
      <c r="J35" s="41">
        <f t="shared" si="0"/>
        <v>0</v>
      </c>
      <c r="K35" s="34">
        <f t="shared" si="1"/>
        <v>0</v>
      </c>
      <c r="L35" s="8">
        <f t="shared" si="2"/>
        <v>0</v>
      </c>
      <c r="M35" s="48">
        <f t="shared" si="3"/>
        <v>33244.343824746618</v>
      </c>
      <c r="N35" s="34">
        <f t="shared" si="9"/>
        <v>64974.001097201639</v>
      </c>
      <c r="O35" s="35">
        <f t="shared" si="10"/>
        <v>157166.2596703147</v>
      </c>
      <c r="P35" s="52"/>
      <c r="Q35" s="27">
        <f t="shared" si="4"/>
        <v>88328.054078591915</v>
      </c>
      <c r="R35" s="27">
        <f t="shared" si="11"/>
        <v>0</v>
      </c>
      <c r="S35" s="27">
        <f t="shared" si="12"/>
        <v>0</v>
      </c>
      <c r="T35" s="27">
        <f t="shared" si="14"/>
        <v>209242.04751091605</v>
      </c>
    </row>
    <row r="36" spans="1:20">
      <c r="A36" s="36">
        <f t="shared" si="15"/>
        <v>2049</v>
      </c>
      <c r="B36" s="9">
        <f t="shared" si="16"/>
        <v>52</v>
      </c>
      <c r="C36" s="8">
        <f t="shared" si="17"/>
        <v>222203.91595140609</v>
      </c>
      <c r="D36" s="34">
        <f t="shared" si="5"/>
        <v>19307.401184959497</v>
      </c>
      <c r="E36" s="34">
        <f t="shared" si="6"/>
        <v>111560.93075965675</v>
      </c>
      <c r="F36" s="34">
        <f t="shared" si="7"/>
        <v>59254.377587041628</v>
      </c>
      <c r="G36" s="8">
        <f t="shared" si="13"/>
        <v>3866170.4451568872</v>
      </c>
      <c r="H36" s="9"/>
      <c r="I36" s="8">
        <f t="shared" si="8"/>
        <v>0.4010070685431576</v>
      </c>
      <c r="J36" s="41">
        <f t="shared" si="0"/>
        <v>0</v>
      </c>
      <c r="K36" s="34">
        <f t="shared" si="1"/>
        <v>0</v>
      </c>
      <c r="L36" s="8">
        <f t="shared" si="2"/>
        <v>0</v>
      </c>
      <c r="M36" s="48">
        <f t="shared" si="3"/>
        <v>36244.142149527266</v>
      </c>
      <c r="N36" s="34">
        <f t="shared" si="9"/>
        <v>69766.275451525114</v>
      </c>
      <c r="O36" s="35">
        <f t="shared" si="10"/>
        <v>173977.67003205992</v>
      </c>
      <c r="P36" s="52"/>
      <c r="Q36" s="27">
        <f t="shared" si="4"/>
        <v>89105.34095448353</v>
      </c>
      <c r="R36" s="27">
        <f t="shared" si="11"/>
        <v>0</v>
      </c>
      <c r="S36" s="27">
        <f t="shared" si="12"/>
        <v>4147.4566099111471</v>
      </c>
      <c r="T36" s="27">
        <f t="shared" si="14"/>
        <v>213389.50412082719</v>
      </c>
    </row>
    <row r="37" spans="1:20">
      <c r="A37" s="36">
        <f t="shared" si="15"/>
        <v>2050</v>
      </c>
      <c r="B37" s="9">
        <f t="shared" si="16"/>
        <v>53</v>
      </c>
      <c r="C37" s="8">
        <f t="shared" si="17"/>
        <v>231092.07258946233</v>
      </c>
      <c r="D37" s="34">
        <f t="shared" si="5"/>
        <v>3985.1055350744136</v>
      </c>
      <c r="E37" s="34">
        <f t="shared" si="6"/>
        <v>116103.84094852944</v>
      </c>
      <c r="F37" s="34">
        <f t="shared" si="7"/>
        <v>61624.552690523291</v>
      </c>
      <c r="G37" s="8">
        <f t="shared" si="13"/>
        <v>4275750.3379115313</v>
      </c>
      <c r="H37" s="9"/>
      <c r="I37" s="8">
        <f t="shared" si="8"/>
        <v>0.38897685648686287</v>
      </c>
      <c r="J37" s="41">
        <f t="shared" si="0"/>
        <v>0</v>
      </c>
      <c r="K37" s="34">
        <f t="shared" si="1"/>
        <v>0</v>
      </c>
      <c r="L37" s="8">
        <f t="shared" si="2"/>
        <v>0</v>
      </c>
      <c r="M37" s="48">
        <f t="shared" si="3"/>
        <v>39477.990149139099</v>
      </c>
      <c r="N37" s="34">
        <f t="shared" si="9"/>
        <v>74842.556650356113</v>
      </c>
      <c r="O37" s="35">
        <f t="shared" si="10"/>
        <v>192408.7652060189</v>
      </c>
      <c r="P37" s="52"/>
      <c r="Q37" s="27">
        <f t="shared" si="4"/>
        <v>89889.467954882988</v>
      </c>
      <c r="R37" s="27">
        <f t="shared" si="11"/>
        <v>0</v>
      </c>
      <c r="S37" s="27">
        <f t="shared" si="12"/>
        <v>20407.946571591056</v>
      </c>
      <c r="T37" s="27">
        <f t="shared" si="14"/>
        <v>233797.45069241824</v>
      </c>
    </row>
    <row r="38" spans="1:20">
      <c r="A38" s="36">
        <f t="shared" si="15"/>
        <v>2051</v>
      </c>
      <c r="B38" s="9">
        <f t="shared" si="16"/>
        <v>54</v>
      </c>
      <c r="C38" s="8">
        <f t="shared" si="17"/>
        <v>240335.75549304084</v>
      </c>
      <c r="D38" s="34">
        <f t="shared" si="5"/>
        <v>4064.0367979909788</v>
      </c>
      <c r="E38" s="34">
        <f t="shared" si="6"/>
        <v>120748.39695126306</v>
      </c>
      <c r="F38" s="34">
        <f t="shared" si="7"/>
        <v>64089.534798144225</v>
      </c>
      <c r="G38" s="8">
        <f t="shared" si="13"/>
        <v>4724657.4031217135</v>
      </c>
      <c r="H38" s="9"/>
      <c r="I38" s="8">
        <f t="shared" si="8"/>
        <v>0.37730755079225697</v>
      </c>
      <c r="J38" s="41">
        <f t="shared" ref="J38:J61" si="18">IF((OR(B38&lt;59, B38&gt;=$M$2)), 0,-1*PMT($I$4,($M$2-B38),G38,-$M$3)*(I38*(1-$G$4)^(($M$2-B38)/2)))</f>
        <v>0</v>
      </c>
      <c r="K38" s="34">
        <f t="shared" ref="K38:K61" si="19">IF((OR(B38&lt;59, B38&gt;=$M$2)),0,-1*PMT($I$4,($M$2-B38),G38,-$M$3)*I38)</f>
        <v>0</v>
      </c>
      <c r="L38" s="8">
        <f t="shared" ref="L38:L61" si="20">IF((OR(B38&lt;59, B38&gt;=$M$2)),0,-1*PMT($I$4,($M$2-B38),G38,-$M$3))</f>
        <v>0</v>
      </c>
      <c r="M38" s="48">
        <f t="shared" ref="M38:M61" si="21">$K$3*G38*(I38*(1-$G$4)^(($M$2-B38)/2))</f>
        <v>42963.423948067182</v>
      </c>
      <c r="N38" s="34">
        <f t="shared" si="9"/>
        <v>80219.201089696144</v>
      </c>
      <c r="O38" s="35">
        <f t="shared" si="10"/>
        <v>212609.5831404771</v>
      </c>
      <c r="P38" s="52"/>
      <c r="Q38" s="27">
        <f t="shared" ref="Q38:Q61" si="22">C38*I38</f>
        <v>90680.495272885964</v>
      </c>
      <c r="R38" s="27">
        <f t="shared" si="11"/>
        <v>0</v>
      </c>
      <c r="S38" s="27">
        <f t="shared" si="12"/>
        <v>21304.737392941111</v>
      </c>
      <c r="T38" s="27">
        <f t="shared" si="14"/>
        <v>255102.18808535935</v>
      </c>
    </row>
    <row r="39" spans="1:20">
      <c r="A39" s="36">
        <f t="shared" si="15"/>
        <v>2052</v>
      </c>
      <c r="B39" s="9">
        <f t="shared" si="16"/>
        <v>55</v>
      </c>
      <c r="C39" s="8">
        <f t="shared" si="17"/>
        <v>249949.18571276247</v>
      </c>
      <c r="D39" s="34">
        <f t="shared" ref="D39:D61" si="23">IF($E$2*C39+$I$1*C39/(1-$I$1)*$I$2+E38-(C39*$O$1)&lt;0,$E$2*C39+$I$1*C39/(1-$I$1)*$I$2, IF((C39*$O$1)-E38&gt;0,(C39*$O$1)-E38,0))</f>
        <v>4226.1959051181766</v>
      </c>
      <c r="E39" s="34">
        <f t="shared" ref="E39:E61" si="24">D39+E38*(1+$G$3)+IF(MOD(B39-$B$6,$O$2)=0,FV($G$4,B39-$B$6,0,$O$3,),0)</f>
        <v>125578.33484113753</v>
      </c>
      <c r="F39" s="34">
        <f t="shared" ref="F39:F61" si="25">IF($E$3&gt;=0.05, $E$3*C39+(C39/(1-$I$1)*$E$4)+$I$1*C39/(1-$I$1)*$I$3, $E$3*C39+(C39/(1-$I$1)*$E$3)+$I$1*C39/(1-$I$1)*$I$3)</f>
        <v>66653.116190069995</v>
      </c>
      <c r="G39" s="8">
        <f t="shared" si="13"/>
        <v>5216529.685592738</v>
      </c>
      <c r="H39" s="23" t="s">
        <v>5</v>
      </c>
      <c r="I39" s="8">
        <f t="shared" ref="I39:I61" si="26">I38*(1-$G$4)</f>
        <v>0.36598832426848926</v>
      </c>
      <c r="J39" s="41">
        <f t="shared" si="18"/>
        <v>0</v>
      </c>
      <c r="K39" s="34">
        <f t="shared" si="19"/>
        <v>0</v>
      </c>
      <c r="L39" s="8">
        <f t="shared" si="20"/>
        <v>0</v>
      </c>
      <c r="M39" s="48">
        <f t="shared" si="21"/>
        <v>46719.276975343208</v>
      </c>
      <c r="N39" s="34">
        <f t="shared" si="9"/>
        <v>85913.503115711195</v>
      </c>
      <c r="O39" s="35">
        <f t="shared" si="10"/>
        <v>234743.83585167321</v>
      </c>
      <c r="P39" s="52"/>
      <c r="Q39" s="27">
        <f t="shared" si="22"/>
        <v>91478.483631287352</v>
      </c>
      <c r="R39" s="27">
        <f t="shared" ref="R39:R61" si="27">IF(MOD(B39-$B$6,$O$2)=0,FV($G$4,B39-$B$6,0,$O$3,),0)</f>
        <v>0</v>
      </c>
      <c r="S39" s="27">
        <f t="shared" si="12"/>
        <v>22157.329253451197</v>
      </c>
      <c r="T39" s="27">
        <f t="shared" si="14"/>
        <v>277259.51733881055</v>
      </c>
    </row>
    <row r="40" spans="1:20">
      <c r="A40" s="36">
        <f t="shared" si="15"/>
        <v>2053</v>
      </c>
      <c r="B40" s="9">
        <f t="shared" si="16"/>
        <v>56</v>
      </c>
      <c r="C40" s="8">
        <f t="shared" si="17"/>
        <v>259947.15314127298</v>
      </c>
      <c r="D40" s="34">
        <f t="shared" si="23"/>
        <v>4395.2417294989573</v>
      </c>
      <c r="E40" s="34">
        <f t="shared" si="24"/>
        <v>130601.46824484217</v>
      </c>
      <c r="F40" s="34">
        <f t="shared" si="25"/>
        <v>69319.240837672798</v>
      </c>
      <c r="G40" s="8">
        <f t="shared" ref="G40:G61" si="28">G39*(1+$G$1)+F40</f>
        <v>5755336.5981337577</v>
      </c>
      <c r="H40" s="9"/>
      <c r="I40" s="8">
        <f t="shared" si="26"/>
        <v>0.35500867454043455</v>
      </c>
      <c r="J40" s="41">
        <f t="shared" si="18"/>
        <v>0</v>
      </c>
      <c r="K40" s="34">
        <f t="shared" si="19"/>
        <v>0</v>
      </c>
      <c r="L40" s="8">
        <f t="shared" si="20"/>
        <v>0</v>
      </c>
      <c r="M40" s="48">
        <f t="shared" si="21"/>
        <v>50765.775542600764</v>
      </c>
      <c r="N40" s="34">
        <f t="shared" si="9"/>
        <v>91943.748775688349</v>
      </c>
      <c r="O40" s="35">
        <f t="shared" si="10"/>
        <v>258990.14691601909</v>
      </c>
      <c r="P40" s="52"/>
      <c r="Q40" s="27">
        <f t="shared" si="22"/>
        <v>92283.494287242676</v>
      </c>
      <c r="R40" s="27">
        <f t="shared" si="27"/>
        <v>0</v>
      </c>
      <c r="S40" s="27">
        <f t="shared" si="12"/>
        <v>23043.624435413192</v>
      </c>
      <c r="T40" s="27">
        <f t="shared" si="14"/>
        <v>300303.14177422377</v>
      </c>
    </row>
    <row r="41" spans="1:20">
      <c r="A41" s="36">
        <f t="shared" si="15"/>
        <v>2054</v>
      </c>
      <c r="B41" s="9">
        <f t="shared" si="16"/>
        <v>57</v>
      </c>
      <c r="C41" s="8">
        <f t="shared" si="17"/>
        <v>270345.03926692391</v>
      </c>
      <c r="D41" s="34">
        <f t="shared" si="23"/>
        <v>4571.0513886197878</v>
      </c>
      <c r="E41" s="34">
        <f t="shared" si="24"/>
        <v>93617.590159113315</v>
      </c>
      <c r="F41" s="34">
        <f t="shared" si="25"/>
        <v>72092.010471179718</v>
      </c>
      <c r="G41" s="8">
        <f t="shared" si="28"/>
        <v>6345408.9024369763</v>
      </c>
      <c r="H41" s="20"/>
      <c r="I41" s="8">
        <f t="shared" si="26"/>
        <v>0.34435841430422148</v>
      </c>
      <c r="J41" s="41">
        <f t="shared" si="18"/>
        <v>0</v>
      </c>
      <c r="K41" s="34">
        <f t="shared" si="19"/>
        <v>0</v>
      </c>
      <c r="L41" s="8">
        <f t="shared" si="20"/>
        <v>0</v>
      </c>
      <c r="M41" s="48">
        <f t="shared" si="21"/>
        <v>55124.641454243778</v>
      </c>
      <c r="N41" s="34">
        <f t="shared" si="9"/>
        <v>98329.272648978935</v>
      </c>
      <c r="O41" s="35">
        <f t="shared" si="10"/>
        <v>285543.40060966392</v>
      </c>
      <c r="P41" s="52"/>
      <c r="Q41" s="27">
        <f t="shared" si="22"/>
        <v>93095.589036970414</v>
      </c>
      <c r="R41" s="27">
        <f t="shared" si="27"/>
        <v>-42207.936815572837</v>
      </c>
      <c r="S41" s="27">
        <f t="shared" si="12"/>
        <v>23965.369422888849</v>
      </c>
      <c r="T41" s="27">
        <f t="shared" si="14"/>
        <v>324268.51119711262</v>
      </c>
    </row>
    <row r="42" spans="1:20">
      <c r="A42" s="36">
        <f t="shared" si="15"/>
        <v>2055</v>
      </c>
      <c r="B42" s="9">
        <f t="shared" si="16"/>
        <v>58</v>
      </c>
      <c r="C42" s="8">
        <f t="shared" si="17"/>
        <v>281158.84083760087</v>
      </c>
      <c r="D42" s="34">
        <f t="shared" si="23"/>
        <v>29677.877643968983</v>
      </c>
      <c r="E42" s="34">
        <f t="shared" si="24"/>
        <v>123763.55575387785</v>
      </c>
      <c r="F42" s="34">
        <f t="shared" si="25"/>
        <v>74975.690890026905</v>
      </c>
      <c r="G42" s="8">
        <f t="shared" si="28"/>
        <v>6991471.3945463318</v>
      </c>
      <c r="H42" s="9"/>
      <c r="I42" s="8">
        <f t="shared" si="26"/>
        <v>0.33402766187509481</v>
      </c>
      <c r="J42" s="41">
        <f t="shared" si="18"/>
        <v>0</v>
      </c>
      <c r="K42" s="34">
        <f t="shared" si="19"/>
        <v>0</v>
      </c>
      <c r="L42" s="8">
        <f t="shared" si="20"/>
        <v>0</v>
      </c>
      <c r="M42" s="48">
        <f t="shared" si="21"/>
        <v>59819.202166880816</v>
      </c>
      <c r="N42" s="34">
        <f t="shared" si="9"/>
        <v>105090.51793441137</v>
      </c>
      <c r="O42" s="35">
        <f t="shared" si="10"/>
        <v>314616.21275458491</v>
      </c>
      <c r="P42" s="52"/>
      <c r="Q42" s="27">
        <f t="shared" si="22"/>
        <v>93914.830220495744</v>
      </c>
      <c r="R42" s="27">
        <f t="shared" si="27"/>
        <v>0</v>
      </c>
      <c r="S42" s="27">
        <f t="shared" si="12"/>
        <v>0</v>
      </c>
      <c r="T42" s="27">
        <f t="shared" si="14"/>
        <v>324268.51119711262</v>
      </c>
    </row>
    <row r="43" spans="1:20">
      <c r="A43" s="36">
        <f t="shared" si="15"/>
        <v>2056</v>
      </c>
      <c r="B43" s="9">
        <f t="shared" si="16"/>
        <v>59</v>
      </c>
      <c r="C43" s="8">
        <f t="shared" si="17"/>
        <v>292405.19447110494</v>
      </c>
      <c r="D43" s="34">
        <f t="shared" si="23"/>
        <v>22439.04148167462</v>
      </c>
      <c r="E43" s="34">
        <f t="shared" si="24"/>
        <v>146821.41501432186</v>
      </c>
      <c r="F43" s="34">
        <f t="shared" si="25"/>
        <v>77974.718525627977</v>
      </c>
      <c r="G43" s="8">
        <f t="shared" si="28"/>
        <v>7698678.5385811301</v>
      </c>
      <c r="H43" s="9" t="s">
        <v>8</v>
      </c>
      <c r="I43" s="8">
        <f t="shared" si="26"/>
        <v>0.32400683201884195</v>
      </c>
      <c r="J43" s="41">
        <f t="shared" si="18"/>
        <v>69005.075666733872</v>
      </c>
      <c r="K43" s="34">
        <f t="shared" si="19"/>
        <v>119396.01163444982</v>
      </c>
      <c r="L43" s="8">
        <f t="shared" si="20"/>
        <v>368498.43841412145</v>
      </c>
      <c r="M43" s="48">
        <f t="shared" si="21"/>
        <v>64874.509053206275</v>
      </c>
      <c r="N43" s="34">
        <f t="shared" si="9"/>
        <v>112249.09998077039</v>
      </c>
      <c r="O43" s="35">
        <f t="shared" si="10"/>
        <v>346440.53423615085</v>
      </c>
      <c r="P43" s="52"/>
      <c r="Q43" s="27">
        <f t="shared" si="22"/>
        <v>94741.280726436118</v>
      </c>
      <c r="R43" s="27">
        <f t="shared" si="27"/>
        <v>0</v>
      </c>
      <c r="S43" s="27">
        <f t="shared" si="12"/>
        <v>8425.9512680531261</v>
      </c>
      <c r="T43" s="27">
        <f t="shared" si="14"/>
        <v>332694.46246516577</v>
      </c>
    </row>
    <row r="44" spans="1:20">
      <c r="A44" s="36">
        <f t="shared" si="15"/>
        <v>2057</v>
      </c>
      <c r="B44" s="9">
        <f t="shared" si="16"/>
        <v>60</v>
      </c>
      <c r="C44" s="8">
        <f t="shared" ref="C44:C61" si="29">C43*(1+$G$2)</f>
        <v>304101.40224994917</v>
      </c>
      <c r="D44" s="34">
        <f t="shared" si="23"/>
        <v>5229.2861106527271</v>
      </c>
      <c r="E44" s="34">
        <f t="shared" si="24"/>
        <v>152784.80820004619</v>
      </c>
      <c r="F44" s="34">
        <f t="shared" si="25"/>
        <v>81093.707266653117</v>
      </c>
      <c r="G44" s="8">
        <f t="shared" si="28"/>
        <v>8472653.3143200856</v>
      </c>
      <c r="H44" s="9"/>
      <c r="I44" s="8">
        <f t="shared" si="26"/>
        <v>0.3142866270582767</v>
      </c>
      <c r="J44" s="41">
        <f t="shared" si="18"/>
        <v>76208.285557072741</v>
      </c>
      <c r="K44" s="34">
        <f t="shared" si="19"/>
        <v>129866.41199946954</v>
      </c>
      <c r="L44" s="8">
        <f t="shared" si="20"/>
        <v>413210.11083105684</v>
      </c>
      <c r="M44" s="48">
        <f t="shared" si="21"/>
        <v>70317.464366330387</v>
      </c>
      <c r="N44" s="34">
        <f t="shared" si="9"/>
        <v>119827.87345763049</v>
      </c>
      <c r="O44" s="35">
        <f t="shared" si="10"/>
        <v>381269.39914440381</v>
      </c>
      <c r="P44" s="52"/>
      <c r="Q44" s="27">
        <f t="shared" si="22"/>
        <v>95575.00399682876</v>
      </c>
      <c r="R44" s="27">
        <f t="shared" si="27"/>
        <v>0</v>
      </c>
      <c r="S44" s="27">
        <f t="shared" si="12"/>
        <v>26870.306349064129</v>
      </c>
      <c r="T44" s="27">
        <f t="shared" si="14"/>
        <v>359564.76881422987</v>
      </c>
    </row>
    <row r="45" spans="1:20">
      <c r="A45" s="36">
        <f t="shared" si="15"/>
        <v>2058</v>
      </c>
      <c r="B45" s="9">
        <f t="shared" si="16"/>
        <v>61</v>
      </c>
      <c r="C45" s="8">
        <f t="shared" si="29"/>
        <v>316265.45833994716</v>
      </c>
      <c r="D45" s="34">
        <f t="shared" si="23"/>
        <v>5347.9209699273924</v>
      </c>
      <c r="E45" s="34">
        <f t="shared" si="24"/>
        <v>158896.6532109738</v>
      </c>
      <c r="F45" s="34">
        <f t="shared" si="25"/>
        <v>84337.455557319248</v>
      </c>
      <c r="G45" s="8">
        <f t="shared" si="28"/>
        <v>9319529.5681662131</v>
      </c>
      <c r="H45" s="9"/>
      <c r="I45" s="8">
        <f t="shared" si="26"/>
        <v>0.30485802824652841</v>
      </c>
      <c r="J45" s="41">
        <f t="shared" si="18"/>
        <v>84144.69465181022</v>
      </c>
      <c r="K45" s="34">
        <f t="shared" si="19"/>
        <v>141223.59289106584</v>
      </c>
      <c r="L45" s="8">
        <f t="shared" si="20"/>
        <v>463243.80467639538</v>
      </c>
      <c r="M45" s="48">
        <f t="shared" si="21"/>
        <v>76176.95754438646</v>
      </c>
      <c r="N45" s="34">
        <f t="shared" si="9"/>
        <v>127851.00337513674</v>
      </c>
      <c r="O45" s="35">
        <f t="shared" si="10"/>
        <v>419378.8305674796</v>
      </c>
      <c r="P45" s="52"/>
      <c r="Q45" s="27">
        <f t="shared" si="22"/>
        <v>96416.064032000868</v>
      </c>
      <c r="R45" s="27">
        <f t="shared" si="27"/>
        <v>0</v>
      </c>
      <c r="S45" s="27">
        <f t="shared" si="12"/>
        <v>28035.655188178142</v>
      </c>
      <c r="T45" s="27">
        <f t="shared" si="14"/>
        <v>387600.42400240799</v>
      </c>
    </row>
    <row r="46" spans="1:20">
      <c r="A46" s="36">
        <f t="shared" si="15"/>
        <v>2059</v>
      </c>
      <c r="B46" s="9">
        <f>B45+1</f>
        <v>62</v>
      </c>
      <c r="C46" s="8">
        <f t="shared" si="29"/>
        <v>328916.07667354506</v>
      </c>
      <c r="D46" s="34">
        <f t="shared" si="23"/>
        <v>5561.3851257987262</v>
      </c>
      <c r="E46" s="34">
        <f t="shared" si="24"/>
        <v>165252.52160282739</v>
      </c>
      <c r="F46" s="34">
        <f t="shared" si="25"/>
        <v>87710.953779612028</v>
      </c>
      <c r="G46" s="8">
        <f t="shared" si="28"/>
        <v>10245998.183080785</v>
      </c>
      <c r="H46" s="9" t="s">
        <v>35</v>
      </c>
      <c r="I46" s="8">
        <f t="shared" si="26"/>
        <v>0.29571228739913258</v>
      </c>
      <c r="J46" s="41">
        <f t="shared" si="18"/>
        <v>92897.680129013374</v>
      </c>
      <c r="K46" s="34">
        <f t="shared" si="19"/>
        <v>153557.57794370738</v>
      </c>
      <c r="L46" s="8">
        <f t="shared" si="20"/>
        <v>519280.34270840313</v>
      </c>
      <c r="M46" s="48">
        <f t="shared" si="21"/>
        <v>82484.011542287801</v>
      </c>
      <c r="N46" s="34">
        <f t="shared" si="9"/>
        <v>136344.04017327787</v>
      </c>
      <c r="O46" s="35">
        <f t="shared" si="10"/>
        <v>461069.91823863529</v>
      </c>
      <c r="P46" s="52"/>
      <c r="Q46" s="27">
        <f t="shared" si="22"/>
        <v>97264.525395482488</v>
      </c>
      <c r="R46" s="27">
        <f t="shared" si="27"/>
        <v>0</v>
      </c>
      <c r="S46" s="27">
        <f t="shared" si="12"/>
        <v>29157.534078631033</v>
      </c>
      <c r="T46" s="27">
        <f t="shared" si="14"/>
        <v>416757.95808103902</v>
      </c>
    </row>
    <row r="47" spans="1:20">
      <c r="A47" s="36">
        <f t="shared" si="15"/>
        <v>2060</v>
      </c>
      <c r="B47" s="9">
        <f t="shared" ref="B47:B61" si="30">B46+1</f>
        <v>63</v>
      </c>
      <c r="C47" s="8">
        <f t="shared" si="29"/>
        <v>342072.71974048688</v>
      </c>
      <c r="D47" s="34">
        <f t="shared" si="23"/>
        <v>5783.838267416053</v>
      </c>
      <c r="E47" s="34">
        <f t="shared" si="24"/>
        <v>171862.62247825754</v>
      </c>
      <c r="F47" s="34">
        <f t="shared" si="25"/>
        <v>91219.391930796497</v>
      </c>
      <c r="G47" s="8">
        <f t="shared" si="28"/>
        <v>11259357.411488853</v>
      </c>
      <c r="H47" s="9"/>
      <c r="I47" s="8">
        <f t="shared" si="26"/>
        <v>0.28684091877715862</v>
      </c>
      <c r="J47" s="41">
        <f t="shared" si="18"/>
        <v>102561.8873872635</v>
      </c>
      <c r="K47" s="34">
        <f t="shared" si="19"/>
        <v>166969.92652644252</v>
      </c>
      <c r="L47" s="8">
        <f t="shared" si="20"/>
        <v>582099.39934043493</v>
      </c>
      <c r="M47" s="48">
        <f t="shared" si="21"/>
        <v>89271.939928015418</v>
      </c>
      <c r="N47" s="34">
        <f t="shared" si="9"/>
        <v>145333.99911383429</v>
      </c>
      <c r="O47" s="35">
        <f t="shared" si="10"/>
        <v>506671.08351699839</v>
      </c>
      <c r="P47" s="52"/>
      <c r="Q47" s="27">
        <f t="shared" si="22"/>
        <v>98120.453218962735</v>
      </c>
      <c r="R47" s="27">
        <f t="shared" si="27"/>
        <v>0</v>
      </c>
      <c r="S47" s="27">
        <f t="shared" si="12"/>
        <v>30323.83770519089</v>
      </c>
      <c r="T47" s="27">
        <f t="shared" si="14"/>
        <v>447081.79578622989</v>
      </c>
    </row>
    <row r="48" spans="1:20">
      <c r="A48" s="36">
        <f t="shared" si="15"/>
        <v>2061</v>
      </c>
      <c r="B48" s="9">
        <f>B47+1</f>
        <v>64</v>
      </c>
      <c r="C48" s="8">
        <f t="shared" si="29"/>
        <v>355755.62853010639</v>
      </c>
      <c r="D48" s="34">
        <f t="shared" si="23"/>
        <v>6015.1917867956508</v>
      </c>
      <c r="E48" s="34">
        <f t="shared" si="24"/>
        <v>126826.68897446722</v>
      </c>
      <c r="F48" s="34">
        <f t="shared" si="25"/>
        <v>94868.16760802838</v>
      </c>
      <c r="G48" s="8">
        <f t="shared" si="28"/>
        <v>12367567.74613088</v>
      </c>
      <c r="H48" s="9"/>
      <c r="I48" s="8">
        <f t="shared" si="26"/>
        <v>0.27823569121384384</v>
      </c>
      <c r="J48" s="41">
        <f t="shared" si="18"/>
        <v>113245.08736148474</v>
      </c>
      <c r="K48" s="34">
        <f t="shared" si="19"/>
        <v>181575.60087560711</v>
      </c>
      <c r="L48" s="8">
        <f t="shared" si="20"/>
        <v>652596.36563324078</v>
      </c>
      <c r="M48" s="48">
        <f t="shared" si="21"/>
        <v>96576.515535033759</v>
      </c>
      <c r="N48" s="34">
        <f t="shared" si="9"/>
        <v>154849.44422154446</v>
      </c>
      <c r="O48" s="35">
        <f t="shared" si="10"/>
        <v>556540.54857588955</v>
      </c>
      <c r="P48" s="52"/>
      <c r="Q48" s="27">
        <f t="shared" si="22"/>
        <v>98983.913207289617</v>
      </c>
      <c r="R48" s="27">
        <f t="shared" si="27"/>
        <v>-51910.438402977241</v>
      </c>
      <c r="S48" s="27">
        <f t="shared" si="12"/>
        <v>31536.791224715584</v>
      </c>
      <c r="T48" s="27">
        <f t="shared" si="14"/>
        <v>478618.58701094548</v>
      </c>
    </row>
    <row r="49" spans="1:20">
      <c r="A49" s="36">
        <f t="shared" si="15"/>
        <v>2062</v>
      </c>
      <c r="B49" s="9">
        <f t="shared" si="30"/>
        <v>65</v>
      </c>
      <c r="C49" s="8">
        <f t="shared" si="29"/>
        <v>369985.85367131064</v>
      </c>
      <c r="D49" s="34">
        <f t="shared" si="23"/>
        <v>39054.062331971683</v>
      </c>
      <c r="E49" s="34">
        <f t="shared" si="24"/>
        <v>166514.88475131121</v>
      </c>
      <c r="F49" s="34">
        <f t="shared" si="25"/>
        <v>98662.894312349512</v>
      </c>
      <c r="G49" s="8">
        <f t="shared" si="28"/>
        <v>13579311.737595011</v>
      </c>
      <c r="H49" s="9"/>
      <c r="I49" s="8">
        <f t="shared" si="26"/>
        <v>0.26988862047742851</v>
      </c>
      <c r="J49" s="41">
        <f t="shared" si="18"/>
        <v>125070.40702842467</v>
      </c>
      <c r="K49" s="34">
        <f t="shared" si="19"/>
        <v>197505.20673938771</v>
      </c>
      <c r="L49" s="8">
        <f t="shared" si="20"/>
        <v>731802.64655102638</v>
      </c>
      <c r="M49" s="48">
        <f t="shared" si="21"/>
        <v>104436.15152064126</v>
      </c>
      <c r="N49" s="34">
        <f t="shared" si="9"/>
        <v>164920.57703516114</v>
      </c>
      <c r="O49" s="35">
        <f t="shared" si="10"/>
        <v>611069.02819177543</v>
      </c>
      <c r="P49" s="52"/>
      <c r="Q49" s="27">
        <f t="shared" si="22"/>
        <v>99854.971643513752</v>
      </c>
      <c r="R49" s="27">
        <f t="shared" si="27"/>
        <v>0</v>
      </c>
      <c r="S49" s="27">
        <f t="shared" si="12"/>
        <v>0</v>
      </c>
      <c r="T49" s="27">
        <f t="shared" si="14"/>
        <v>478618.58701094548</v>
      </c>
    </row>
    <row r="50" spans="1:20">
      <c r="A50" s="36">
        <f t="shared" si="15"/>
        <v>2063</v>
      </c>
      <c r="B50" s="9">
        <f t="shared" si="30"/>
        <v>66</v>
      </c>
      <c r="C50" s="8">
        <f t="shared" si="29"/>
        <v>384785.28781816311</v>
      </c>
      <c r="D50" s="34">
        <f t="shared" si="23"/>
        <v>25877.759157770342</v>
      </c>
      <c r="E50" s="34">
        <f t="shared" si="24"/>
        <v>193225.21833283809</v>
      </c>
      <c r="F50" s="34">
        <f t="shared" si="25"/>
        <v>102609.4100848435</v>
      </c>
      <c r="G50" s="8">
        <f t="shared" si="28"/>
        <v>14904059.204063406</v>
      </c>
      <c r="H50" s="9"/>
      <c r="I50" s="8">
        <f t="shared" si="26"/>
        <v>0.26179196186310566</v>
      </c>
      <c r="J50" s="41">
        <f t="shared" si="18"/>
        <v>138179.02325032651</v>
      </c>
      <c r="K50" s="34">
        <f t="shared" si="19"/>
        <v>214907.69769238809</v>
      </c>
      <c r="L50" s="8">
        <f t="shared" si="20"/>
        <v>820910.2226170185</v>
      </c>
      <c r="M50" s="48">
        <f t="shared" si="21"/>
        <v>112892.09574254381</v>
      </c>
      <c r="N50" s="34">
        <f t="shared" si="9"/>
        <v>175579.33044400363</v>
      </c>
      <c r="O50" s="35">
        <f t="shared" si="10"/>
        <v>670682.6641828533</v>
      </c>
      <c r="P50" s="52"/>
      <c r="Q50" s="27">
        <f t="shared" si="22"/>
        <v>100733.6953939767</v>
      </c>
      <c r="R50" s="27">
        <f t="shared" si="27"/>
        <v>0</v>
      </c>
      <c r="S50" s="27">
        <f t="shared" si="12"/>
        <v>14738.46566748021</v>
      </c>
      <c r="T50" s="27">
        <f t="shared" si="14"/>
        <v>493357.05267842568</v>
      </c>
    </row>
    <row r="51" spans="1:20">
      <c r="A51" s="36">
        <f t="shared" si="15"/>
        <v>2064</v>
      </c>
      <c r="B51" s="9">
        <f t="shared" si="30"/>
        <v>67</v>
      </c>
      <c r="C51" s="8">
        <f t="shared" si="29"/>
        <v>400176.69933088962</v>
      </c>
      <c r="D51" s="34">
        <f t="shared" si="23"/>
        <v>6863.1313326067175</v>
      </c>
      <c r="E51" s="34">
        <f t="shared" si="24"/>
        <v>201054.47575710897</v>
      </c>
      <c r="F51" s="34">
        <f t="shared" si="25"/>
        <v>106713.78648823724</v>
      </c>
      <c r="G51" s="8">
        <f t="shared" si="28"/>
        <v>16352138.318917351</v>
      </c>
      <c r="H51" s="9"/>
      <c r="I51" s="8">
        <f t="shared" si="26"/>
        <v>0.25393820300721248</v>
      </c>
      <c r="J51" s="41">
        <f t="shared" si="18"/>
        <v>152733.43586458592</v>
      </c>
      <c r="K51" s="34">
        <f t="shared" si="19"/>
        <v>233953.65903789242</v>
      </c>
      <c r="L51" s="8">
        <f t="shared" si="20"/>
        <v>921301.54607437132</v>
      </c>
      <c r="M51" s="48">
        <f t="shared" si="21"/>
        <v>121988.63943302399</v>
      </c>
      <c r="N51" s="34">
        <f t="shared" si="9"/>
        <v>186859.46790140634</v>
      </c>
      <c r="O51" s="35">
        <f t="shared" si="10"/>
        <v>735846.22435128072</v>
      </c>
      <c r="P51" s="52"/>
      <c r="Q51" s="27">
        <f t="shared" si="22"/>
        <v>101620.15191344368</v>
      </c>
      <c r="R51" s="27">
        <f t="shared" si="27"/>
        <v>0</v>
      </c>
      <c r="S51" s="27">
        <f t="shared" si="12"/>
        <v>35377.742485653856</v>
      </c>
      <c r="T51" s="27">
        <f t="shared" si="14"/>
        <v>528734.79516407952</v>
      </c>
    </row>
    <row r="52" spans="1:20">
      <c r="A52" s="36">
        <f t="shared" si="15"/>
        <v>2065</v>
      </c>
      <c r="B52" s="9">
        <f t="shared" si="30"/>
        <v>68</v>
      </c>
      <c r="C52" s="8">
        <f t="shared" si="29"/>
        <v>416183.76730412524</v>
      </c>
      <c r="D52" s="34">
        <f t="shared" si="23"/>
        <v>7037.4078949536488</v>
      </c>
      <c r="E52" s="34">
        <f t="shared" si="24"/>
        <v>209097.15603084816</v>
      </c>
      <c r="F52" s="34">
        <f t="shared" si="25"/>
        <v>110982.33794776673</v>
      </c>
      <c r="G52" s="8">
        <f t="shared" si="28"/>
        <v>17934813.105567683</v>
      </c>
      <c r="H52" s="9"/>
      <c r="I52" s="8">
        <f t="shared" si="26"/>
        <v>0.2463200569169961</v>
      </c>
      <c r="J52" s="41">
        <f t="shared" si="18"/>
        <v>168921.4702729464</v>
      </c>
      <c r="K52" s="34">
        <f t="shared" si="19"/>
        <v>254839.32156159397</v>
      </c>
      <c r="L52" s="8">
        <f t="shared" si="20"/>
        <v>1034586.1589641832</v>
      </c>
      <c r="M52" s="48">
        <f t="shared" si="21"/>
        <v>131773.3412220864</v>
      </c>
      <c r="N52" s="34">
        <f t="shared" si="9"/>
        <v>198796.68832316034</v>
      </c>
      <c r="O52" s="35">
        <f t="shared" si="10"/>
        <v>807066.58975054568</v>
      </c>
      <c r="P52" s="52"/>
      <c r="Q52" s="27">
        <f t="shared" si="22"/>
        <v>102514.40925028198</v>
      </c>
      <c r="R52" s="27">
        <f t="shared" si="27"/>
        <v>0</v>
      </c>
      <c r="S52" s="27">
        <f t="shared" si="12"/>
        <v>36893.100876037352</v>
      </c>
      <c r="T52" s="27">
        <f t="shared" si="14"/>
        <v>565627.8960401169</v>
      </c>
    </row>
    <row r="53" spans="1:20">
      <c r="A53" s="36">
        <f t="shared" si="15"/>
        <v>2066</v>
      </c>
      <c r="B53" s="9">
        <f t="shared" si="30"/>
        <v>69</v>
      </c>
      <c r="C53" s="8">
        <f t="shared" si="29"/>
        <v>432831.11799629027</v>
      </c>
      <c r="D53" s="34">
        <f t="shared" si="23"/>
        <v>7318.4029672969773</v>
      </c>
      <c r="E53" s="34">
        <f t="shared" si="24"/>
        <v>217461.04477829934</v>
      </c>
      <c r="F53" s="34">
        <f t="shared" si="25"/>
        <v>115421.6314656774</v>
      </c>
      <c r="G53" s="8">
        <f t="shared" si="28"/>
        <v>19664367.916534454</v>
      </c>
      <c r="H53" s="9"/>
      <c r="I53" s="8">
        <f t="shared" si="26"/>
        <v>0.23893045520948622</v>
      </c>
      <c r="J53" s="41">
        <f t="shared" si="18"/>
        <v>186961.20601857378</v>
      </c>
      <c r="K53" s="34">
        <f t="shared" si="19"/>
        <v>277791.50163566007</v>
      </c>
      <c r="L53" s="8">
        <f t="shared" si="20"/>
        <v>1162645.8476886163</v>
      </c>
      <c r="M53" s="48">
        <f t="shared" si="21"/>
        <v>142297.26763827004</v>
      </c>
      <c r="N53" s="34">
        <f t="shared" si="9"/>
        <v>211428.7369966977</v>
      </c>
      <c r="O53" s="35">
        <f t="shared" si="10"/>
        <v>884896.55624405039</v>
      </c>
      <c r="P53" s="52"/>
      <c r="Q53" s="27">
        <f t="shared" si="22"/>
        <v>103416.53605168448</v>
      </c>
      <c r="R53" s="27">
        <f t="shared" si="27"/>
        <v>0</v>
      </c>
      <c r="S53" s="27">
        <f t="shared" si="12"/>
        <v>38369.326154533665</v>
      </c>
      <c r="T53" s="27">
        <f t="shared" si="14"/>
        <v>603997.22219465056</v>
      </c>
    </row>
    <row r="54" spans="1:20">
      <c r="A54" s="36">
        <f t="shared" si="15"/>
        <v>2067</v>
      </c>
      <c r="B54" s="9">
        <f t="shared" si="30"/>
        <v>70</v>
      </c>
      <c r="C54" s="8">
        <f t="shared" si="29"/>
        <v>450144.36271614191</v>
      </c>
      <c r="D54" s="34">
        <f t="shared" si="23"/>
        <v>7611.1365797716135</v>
      </c>
      <c r="E54" s="34">
        <f t="shared" si="24"/>
        <v>226159.48658196244</v>
      </c>
      <c r="F54" s="34">
        <f t="shared" si="25"/>
        <v>120038.49672430451</v>
      </c>
      <c r="G54" s="8">
        <f t="shared" si="28"/>
        <v>21554199.52574686</v>
      </c>
      <c r="H54" s="9"/>
      <c r="I54" s="8">
        <f t="shared" si="26"/>
        <v>0.23176254155320164</v>
      </c>
      <c r="J54" s="41">
        <f t="shared" si="18"/>
        <v>207107.09071876702</v>
      </c>
      <c r="K54" s="34">
        <f t="shared" si="19"/>
        <v>303073.72705176088</v>
      </c>
      <c r="L54" s="8">
        <f t="shared" si="20"/>
        <v>1307690.7295745616</v>
      </c>
      <c r="M54" s="48">
        <f t="shared" si="21"/>
        <v>153615.25129880712</v>
      </c>
      <c r="N54" s="34">
        <f t="shared" si="9"/>
        <v>224795.52284543574</v>
      </c>
      <c r="O54" s="35">
        <f t="shared" si="10"/>
        <v>969938.97865860863</v>
      </c>
      <c r="P54" s="52"/>
      <c r="Q54" s="27">
        <f t="shared" si="22"/>
        <v>104326.60156893931</v>
      </c>
      <c r="R54" s="27">
        <f t="shared" si="27"/>
        <v>0</v>
      </c>
      <c r="S54" s="27">
        <f t="shared" si="12"/>
        <v>39904.101706932255</v>
      </c>
      <c r="T54" s="27">
        <f t="shared" si="14"/>
        <v>643901.32390158286</v>
      </c>
    </row>
    <row r="55" spans="1:20">
      <c r="A55" s="36">
        <f t="shared" si="15"/>
        <v>2068</v>
      </c>
      <c r="B55" s="9">
        <f t="shared" si="30"/>
        <v>71</v>
      </c>
      <c r="C55" s="8">
        <f t="shared" si="29"/>
        <v>468150.13722478761</v>
      </c>
      <c r="D55" s="34">
        <f t="shared" si="23"/>
        <v>7915.5820304313675</v>
      </c>
      <c r="E55" s="34">
        <f t="shared" si="24"/>
        <v>171362.57451073435</v>
      </c>
      <c r="F55" s="34">
        <f t="shared" si="25"/>
        <v>124840.0365932767</v>
      </c>
      <c r="G55" s="8">
        <f t="shared" si="28"/>
        <v>23618917.519657355</v>
      </c>
      <c r="H55" s="9"/>
      <c r="I55" s="8">
        <f t="shared" si="26"/>
        <v>0.22480966530660559</v>
      </c>
      <c r="J55" s="41">
        <f t="shared" si="18"/>
        <v>229657.58518038777</v>
      </c>
      <c r="K55" s="34">
        <f t="shared" si="19"/>
        <v>330993.89442135516</v>
      </c>
      <c r="L55" s="8">
        <f t="shared" si="20"/>
        <v>1472329.4657724379</v>
      </c>
      <c r="M55" s="48">
        <f t="shared" si="21"/>
        <v>165786.16808990322</v>
      </c>
      <c r="N55" s="34">
        <f t="shared" si="9"/>
        <v>238939.24241243218</v>
      </c>
      <c r="O55" s="35">
        <f t="shared" si="10"/>
        <v>1062851.288384581</v>
      </c>
      <c r="P55" s="52"/>
      <c r="Q55" s="27">
        <f t="shared" si="22"/>
        <v>105244.67566274598</v>
      </c>
      <c r="R55" s="27">
        <f t="shared" si="27"/>
        <v>-63843.291534569216</v>
      </c>
      <c r="S55" s="27">
        <f t="shared" si="12"/>
        <v>41500.26578774066</v>
      </c>
      <c r="T55" s="27">
        <f t="shared" si="14"/>
        <v>685401.58968932356</v>
      </c>
    </row>
    <row r="56" spans="1:20">
      <c r="A56" s="36">
        <f t="shared" si="15"/>
        <v>2069</v>
      </c>
      <c r="B56" s="9">
        <f t="shared" si="30"/>
        <v>72</v>
      </c>
      <c r="C56" s="8">
        <f t="shared" si="29"/>
        <v>486876.14271377912</v>
      </c>
      <c r="D56" s="34">
        <f t="shared" si="23"/>
        <v>51392.481730898908</v>
      </c>
      <c r="E56" s="34">
        <f t="shared" si="24"/>
        <v>223611.86911418691</v>
      </c>
      <c r="F56" s="34">
        <f t="shared" si="25"/>
        <v>129833.63805700776</v>
      </c>
      <c r="G56" s="8">
        <f t="shared" si="28"/>
        <v>25874453.734483525</v>
      </c>
      <c r="H56" s="9"/>
      <c r="I56" s="8">
        <f t="shared" si="26"/>
        <v>0.21806537534740741</v>
      </c>
      <c r="J56" s="41">
        <f t="shared" si="18"/>
        <v>254964.80581644789</v>
      </c>
      <c r="K56" s="34">
        <f t="shared" si="19"/>
        <v>361913.92427324899</v>
      </c>
      <c r="L56" s="8">
        <f t="shared" si="20"/>
        <v>1659657.9062433527</v>
      </c>
      <c r="M56" s="48">
        <f t="shared" si="21"/>
        <v>178873.23473355433</v>
      </c>
      <c r="N56" s="34">
        <f t="shared" si="9"/>
        <v>253904.51094836748</v>
      </c>
      <c r="O56" s="35">
        <f t="shared" si="10"/>
        <v>1164350.4180517585</v>
      </c>
      <c r="P56" s="52"/>
      <c r="Q56" s="27">
        <f t="shared" si="22"/>
        <v>106170.82880857814</v>
      </c>
      <c r="R56" s="27">
        <f t="shared" si="27"/>
        <v>0</v>
      </c>
      <c r="S56" s="27">
        <f t="shared" si="12"/>
        <v>0</v>
      </c>
      <c r="T56" s="27">
        <f t="shared" si="14"/>
        <v>685401.58968932356</v>
      </c>
    </row>
    <row r="57" spans="1:20">
      <c r="A57" s="36">
        <f t="shared" si="15"/>
        <v>2070</v>
      </c>
      <c r="B57" s="9">
        <f>B56+1</f>
        <v>73</v>
      </c>
      <c r="C57" s="8">
        <f t="shared" si="29"/>
        <v>506351.18842233031</v>
      </c>
      <c r="D57" s="34">
        <f t="shared" si="23"/>
        <v>29563.725096978247</v>
      </c>
      <c r="E57" s="34">
        <f t="shared" si="24"/>
        <v>254293.65355673607</v>
      </c>
      <c r="F57" s="34">
        <f t="shared" si="25"/>
        <v>135026.98357928809</v>
      </c>
      <c r="G57" s="8">
        <f t="shared" si="28"/>
        <v>28338181.554166332</v>
      </c>
      <c r="H57" s="9"/>
      <c r="I57" s="8">
        <f t="shared" si="26"/>
        <v>0.21152341408698519</v>
      </c>
      <c r="J57" s="41">
        <f t="shared" si="18"/>
        <v>283446.79998391162</v>
      </c>
      <c r="K57" s="34">
        <f t="shared" si="19"/>
        <v>396262.04948043247</v>
      </c>
      <c r="L57" s="8">
        <f t="shared" si="20"/>
        <v>1873372.0386976963</v>
      </c>
      <c r="M57" s="48">
        <f t="shared" si="21"/>
        <v>192944.32823999668</v>
      </c>
      <c r="N57" s="34">
        <f t="shared" si="9"/>
        <v>269738.50101093407</v>
      </c>
      <c r="O57" s="35">
        <f t="shared" si="10"/>
        <v>1275218.1699374849</v>
      </c>
      <c r="P57" s="52"/>
      <c r="Q57" s="27">
        <f t="shared" si="22"/>
        <v>107105.13210209363</v>
      </c>
      <c r="R57" s="27">
        <f t="shared" si="27"/>
        <v>0</v>
      </c>
      <c r="S57" s="27">
        <f t="shared" si="12"/>
        <v>23884.455903156617</v>
      </c>
      <c r="T57" s="27">
        <f t="shared" si="14"/>
        <v>709286.04559248022</v>
      </c>
    </row>
    <row r="58" spans="1:20">
      <c r="A58" s="36">
        <f t="shared" si="15"/>
        <v>2071</v>
      </c>
      <c r="B58" s="9">
        <f t="shared" si="30"/>
        <v>74</v>
      </c>
      <c r="C58" s="8">
        <f t="shared" si="29"/>
        <v>526605.23595922359</v>
      </c>
      <c r="D58" s="34">
        <f t="shared" si="23"/>
        <v>9008.9644228757243</v>
      </c>
      <c r="E58" s="34">
        <f t="shared" si="24"/>
        <v>264574.08624739543</v>
      </c>
      <c r="F58" s="34">
        <f t="shared" si="25"/>
        <v>140428.06292245962</v>
      </c>
      <c r="G58" s="8">
        <f t="shared" si="28"/>
        <v>31029045.956963763</v>
      </c>
      <c r="H58" s="9"/>
      <c r="I58" s="8">
        <f t="shared" si="26"/>
        <v>0.20517771166437562</v>
      </c>
      <c r="J58" s="41">
        <f t="shared" si="18"/>
        <v>315603.33200806775</v>
      </c>
      <c r="K58" s="34">
        <f t="shared" si="19"/>
        <v>434548.61479388888</v>
      </c>
      <c r="L58" s="8">
        <f t="shared" si="20"/>
        <v>2117913.3506699414</v>
      </c>
      <c r="M58" s="48">
        <f t="shared" si="21"/>
        <v>208072.32885510585</v>
      </c>
      <c r="N58" s="34">
        <f t="shared" si="9"/>
        <v>286491.08900603571</v>
      </c>
      <c r="O58" s="35">
        <f t="shared" si="10"/>
        <v>1396307.0680633693</v>
      </c>
      <c r="P58" s="52"/>
      <c r="Q58" s="27">
        <f t="shared" si="22"/>
        <v>108047.65726459207</v>
      </c>
      <c r="R58" s="27">
        <f t="shared" si="27"/>
        <v>0</v>
      </c>
      <c r="S58" s="27">
        <f t="shared" si="12"/>
        <v>46577.14381726455</v>
      </c>
      <c r="T58" s="27">
        <f t="shared" si="14"/>
        <v>755863.18940974481</v>
      </c>
    </row>
    <row r="59" spans="1:20">
      <c r="A59" s="36">
        <f t="shared" si="15"/>
        <v>2072</v>
      </c>
      <c r="B59" s="9">
        <f t="shared" si="30"/>
        <v>75</v>
      </c>
      <c r="C59" s="8">
        <f t="shared" si="29"/>
        <v>547669.4453975925</v>
      </c>
      <c r="D59" s="34">
        <f t="shared" si="23"/>
        <v>9260.6364514008164</v>
      </c>
      <c r="E59" s="34">
        <f t="shared" si="24"/>
        <v>275157.59313003317</v>
      </c>
      <c r="F59" s="34">
        <f t="shared" si="25"/>
        <v>146045.18543935803</v>
      </c>
      <c r="G59" s="8">
        <f t="shared" si="28"/>
        <v>33967705.27852986</v>
      </c>
      <c r="H59" s="9"/>
      <c r="I59" s="8">
        <f t="shared" si="26"/>
        <v>0.19902238031444436</v>
      </c>
      <c r="J59" s="41">
        <f t="shared" si="18"/>
        <v>352036.4087697115</v>
      </c>
      <c r="K59" s="34">
        <f t="shared" si="19"/>
        <v>477386.61637235986</v>
      </c>
      <c r="L59" s="8">
        <f t="shared" si="20"/>
        <v>2398657.9580553472</v>
      </c>
      <c r="M59" s="48">
        <f t="shared" si="21"/>
        <v>224335.48823039685</v>
      </c>
      <c r="N59" s="34">
        <f t="shared" si="9"/>
        <v>304215.01012586377</v>
      </c>
      <c r="O59" s="35">
        <f t="shared" si="10"/>
        <v>1528546.7375338436</v>
      </c>
      <c r="P59" s="52"/>
      <c r="Q59" s="27">
        <f t="shared" si="22"/>
        <v>108998.47664852047</v>
      </c>
      <c r="R59" s="27">
        <f t="shared" si="27"/>
        <v>0</v>
      </c>
      <c r="S59" s="27">
        <f t="shared" si="12"/>
        <v>48548.916118345056</v>
      </c>
      <c r="T59" s="27">
        <f t="shared" si="14"/>
        <v>804412.10552808992</v>
      </c>
    </row>
    <row r="60" spans="1:20">
      <c r="A60" s="36">
        <f t="shared" ref="A60" si="31">A59+1</f>
        <v>2073</v>
      </c>
      <c r="B60" s="9">
        <f t="shared" si="30"/>
        <v>76</v>
      </c>
      <c r="C60" s="8">
        <f t="shared" si="29"/>
        <v>569576.22321349627</v>
      </c>
      <c r="D60" s="34">
        <f t="shared" si="23"/>
        <v>9630.5184767149622</v>
      </c>
      <c r="E60" s="34">
        <f t="shared" si="24"/>
        <v>286163.89957239828</v>
      </c>
      <c r="F60" s="34">
        <f t="shared" si="25"/>
        <v>151886.99285693234</v>
      </c>
      <c r="G60" s="8">
        <f t="shared" si="28"/>
        <v>37176685.746454485</v>
      </c>
      <c r="H60" s="9"/>
      <c r="I60" s="8">
        <f t="shared" si="26"/>
        <v>0.19305170890501103</v>
      </c>
      <c r="J60" s="41">
        <f t="shared" si="18"/>
        <v>393477.29115809913</v>
      </c>
      <c r="K60" s="34">
        <f t="shared" si="19"/>
        <v>525518.72762419318</v>
      </c>
      <c r="L60" s="8">
        <f t="shared" si="20"/>
        <v>2722165.6343004396</v>
      </c>
      <c r="M60" s="48">
        <f t="shared" si="21"/>
        <v>241817.82467030271</v>
      </c>
      <c r="N60" s="34">
        <f t="shared" si="9"/>
        <v>322966.02216499217</v>
      </c>
      <c r="O60" s="35">
        <f t="shared" si="10"/>
        <v>1672950.8585904518</v>
      </c>
      <c r="P60" s="52"/>
      <c r="Q60" s="27">
        <f t="shared" si="22"/>
        <v>109957.66324302746</v>
      </c>
      <c r="R60" s="27">
        <f t="shared" si="27"/>
        <v>0</v>
      </c>
      <c r="S60" s="27">
        <f t="shared" si="12"/>
        <v>50491.416195820755</v>
      </c>
      <c r="T60" s="27">
        <f t="shared" si="14"/>
        <v>854903.5217239107</v>
      </c>
    </row>
    <row r="61" spans="1:20">
      <c r="A61" s="37">
        <f t="shared" ref="A61" si="32">A60+1</f>
        <v>2074</v>
      </c>
      <c r="B61" s="38">
        <f t="shared" si="30"/>
        <v>77</v>
      </c>
      <c r="C61" s="39">
        <f t="shared" si="29"/>
        <v>592359.27214203612</v>
      </c>
      <c r="D61" s="40">
        <f t="shared" si="23"/>
        <v>10015.736498619779</v>
      </c>
      <c r="E61" s="34">
        <f t="shared" si="24"/>
        <v>297610.45556888002</v>
      </c>
      <c r="F61" s="40">
        <f t="shared" si="25"/>
        <v>157962.47257120963</v>
      </c>
      <c r="G61" s="39">
        <f t="shared" si="28"/>
        <v>40680549.936206602</v>
      </c>
      <c r="H61" s="38" t="s">
        <v>26</v>
      </c>
      <c r="I61" s="39">
        <f t="shared" si="26"/>
        <v>0.18726015763786069</v>
      </c>
      <c r="J61" s="42">
        <f t="shared" si="18"/>
        <v>440822.51383295271</v>
      </c>
      <c r="K61" s="40">
        <f t="shared" si="19"/>
        <v>579853.3338181522</v>
      </c>
      <c r="L61" s="55">
        <f t="shared" si="20"/>
        <v>3096512.0457685445</v>
      </c>
      <c r="M61" s="49">
        <f t="shared" si="21"/>
        <v>260609.54744778335</v>
      </c>
      <c r="N61" s="40">
        <f t="shared" si="9"/>
        <v>342803.07872320106</v>
      </c>
      <c r="O61" s="54">
        <f t="shared" si="10"/>
        <v>1830624.7471292971</v>
      </c>
      <c r="P61" s="53"/>
      <c r="Q61" s="28">
        <f t="shared" si="22"/>
        <v>110925.29067956611</v>
      </c>
      <c r="R61" s="28">
        <f t="shared" si="27"/>
        <v>0</v>
      </c>
      <c r="S61" s="28">
        <f t="shared" si="12"/>
        <v>52511.075560817371</v>
      </c>
      <c r="T61" s="28">
        <f t="shared" si="14"/>
        <v>907414.59728472808</v>
      </c>
    </row>
    <row r="92" spans="3:8">
      <c r="D92" s="46"/>
      <c r="H92" s="56"/>
    </row>
    <row r="94" spans="3:8" ht="19">
      <c r="C94" s="24"/>
      <c r="D94" s="46"/>
    </row>
    <row r="96" spans="3:8">
      <c r="C96" s="45"/>
      <c r="E96" s="47"/>
    </row>
    <row r="97" spans="3:5">
      <c r="C97" s="45"/>
      <c r="E97" s="47"/>
    </row>
    <row r="98" spans="3:5">
      <c r="C98" s="45"/>
      <c r="E98" s="47"/>
    </row>
    <row r="99" spans="3:5">
      <c r="C99" s="45"/>
      <c r="D99" s="46"/>
      <c r="E99" s="47"/>
    </row>
    <row r="100" spans="3:5">
      <c r="C100" s="45"/>
      <c r="D100" s="46"/>
      <c r="E100" s="47"/>
    </row>
    <row r="101" spans="3:5">
      <c r="C101" s="45">
        <f>IF(MOD(B12,$B$6-1)=$O$2,FV($G$4,$O$3,0),0)</f>
        <v>0</v>
      </c>
      <c r="D101" s="46"/>
      <c r="E101" s="47"/>
    </row>
    <row r="102" spans="3:5">
      <c r="C102" s="45"/>
      <c r="D102" s="46"/>
      <c r="E102" s="47"/>
    </row>
    <row r="103" spans="3:5">
      <c r="C103" s="45"/>
      <c r="D103" s="46"/>
      <c r="E103" s="47"/>
    </row>
    <row r="104" spans="3:5">
      <c r="C104" s="45"/>
      <c r="D104" s="46"/>
      <c r="E104" s="47"/>
    </row>
    <row r="105" spans="3:5">
      <c r="C105" s="45"/>
      <c r="D105" s="46"/>
      <c r="E105" s="47"/>
    </row>
    <row r="106" spans="3:5">
      <c r="C106" s="45"/>
      <c r="D106" s="46"/>
      <c r="E106" s="47"/>
    </row>
  </sheetData>
  <mergeCells count="4">
    <mergeCell ref="A1:C2"/>
    <mergeCell ref="J4:L4"/>
    <mergeCell ref="M4:O4"/>
    <mergeCell ref="Q4:T4"/>
  </mergeCells>
  <conditionalFormatting sqref="A1:Q61 R7:R61">
    <cfRule type="expression" dxfId="26" priority="28">
      <formula>$B1 = $M$2</formula>
    </cfRule>
    <cfRule type="expression" dxfId="25" priority="29">
      <formula>$B1=$M$1</formula>
    </cfRule>
    <cfRule type="expression" dxfId="24" priority="30">
      <formula>$B1 = 59</formula>
    </cfRule>
  </conditionalFormatting>
  <conditionalFormatting sqref="T6">
    <cfRule type="expression" dxfId="23" priority="1">
      <formula>$B6 = $M$2</formula>
    </cfRule>
    <cfRule type="expression" dxfId="22" priority="2">
      <formula>$B6=$M$1</formula>
    </cfRule>
    <cfRule type="expression" dxfId="21" priority="3">
      <formula>$B6 = 59</formula>
    </cfRule>
  </conditionalFormatting>
  <conditionalFormatting sqref="R5">
    <cfRule type="expression" dxfId="20" priority="22">
      <formula>$B5 = $M$2</formula>
    </cfRule>
    <cfRule type="expression" dxfId="19" priority="23">
      <formula>$B5=$M$1</formula>
    </cfRule>
    <cfRule type="expression" dxfId="18" priority="24">
      <formula>$B5 = 59</formula>
    </cfRule>
  </conditionalFormatting>
  <conditionalFormatting sqref="R6">
    <cfRule type="expression" dxfId="17" priority="19">
      <formula>$B6 = $M$2</formula>
    </cfRule>
    <cfRule type="expression" dxfId="16" priority="20">
      <formula>$B6=$M$1</formula>
    </cfRule>
    <cfRule type="expression" dxfId="15" priority="21">
      <formula>$B6 = 59</formula>
    </cfRule>
  </conditionalFormatting>
  <conditionalFormatting sqref="S7:S61">
    <cfRule type="expression" dxfId="14" priority="16">
      <formula>$B7 = $M$2</formula>
    </cfRule>
    <cfRule type="expression" dxfId="13" priority="17">
      <formula>$B7=$M$1</formula>
    </cfRule>
    <cfRule type="expression" dxfId="12" priority="18">
      <formula>$B7 = 59</formula>
    </cfRule>
  </conditionalFormatting>
  <conditionalFormatting sqref="S5">
    <cfRule type="expression" dxfId="11" priority="13">
      <formula>$B5 = $M$2</formula>
    </cfRule>
    <cfRule type="expression" dxfId="10" priority="14">
      <formula>$B5=$M$1</formula>
    </cfRule>
    <cfRule type="expression" dxfId="9" priority="15">
      <formula>$B5 = 59</formula>
    </cfRule>
  </conditionalFormatting>
  <conditionalFormatting sqref="S6">
    <cfRule type="expression" dxfId="8" priority="10">
      <formula>$B6 = $M$2</formula>
    </cfRule>
    <cfRule type="expression" dxfId="7" priority="11">
      <formula>$B6=$M$1</formula>
    </cfRule>
    <cfRule type="expression" dxfId="6" priority="12">
      <formula>$B6 = 59</formula>
    </cfRule>
  </conditionalFormatting>
  <conditionalFormatting sqref="T7:T61">
    <cfRule type="expression" dxfId="5" priority="7">
      <formula>$B7 = $M$2</formula>
    </cfRule>
    <cfRule type="expression" dxfId="4" priority="8">
      <formula>$B7=$M$1</formula>
    </cfRule>
    <cfRule type="expression" dxfId="3" priority="9">
      <formula>$B7 = 59</formula>
    </cfRule>
  </conditionalFormatting>
  <conditionalFormatting sqref="T5">
    <cfRule type="expression" dxfId="2" priority="4">
      <formula>$B5 = $M$2</formula>
    </cfRule>
    <cfRule type="expression" dxfId="1" priority="5">
      <formula>$B5=$M$1</formula>
    </cfRule>
    <cfRule type="expression" dxfId="0" priority="6">
      <formula>$B5 = 59</formula>
    </cfRule>
  </conditionalFormatting>
  <pageMargins left="0.7" right="0.7" top="0.75" bottom="0.75" header="0.3" footer="0.3"/>
  <ignoredErrors>
    <ignoredError sqref="F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Argo</cp:lastModifiedBy>
  <cp:revision>1</cp:revision>
  <dcterms:created xsi:type="dcterms:W3CDTF">2018-10-06T00:11:54Z</dcterms:created>
  <dcterms:modified xsi:type="dcterms:W3CDTF">2019-03-06T21:36:35Z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