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jsa3\Documents\GitHub\FIT3158---Assignment\Final\"/>
    </mc:Choice>
  </mc:AlternateContent>
  <xr:revisionPtr revIDLastSave="0" documentId="13_ncr:1_{4816C9E5-D2CF-41AA-B60D-555E6A7DAE38}" xr6:coauthVersionLast="47" xr6:coauthVersionMax="47" xr10:uidLastSave="{00000000-0000-0000-0000-000000000000}"/>
  <bookViews>
    <workbookView xWindow="-110" yWindow="-110" windowWidth="19420" windowHeight="11020" xr2:uid="{458D91AB-8241-40A1-A008-1DAA48E347C7}"/>
  </bookViews>
  <sheets>
    <sheet name="Cover_page" sheetId="7" r:id="rId1"/>
    <sheet name="Q1" sheetId="2" r:id="rId2"/>
    <sheet name="Q2" sheetId="3" r:id="rId3"/>
    <sheet name="Q3" sheetId="4" r:id="rId4"/>
    <sheet name="Q4" sheetId="5" r:id="rId5"/>
    <sheet name="Q5" sheetId="8" r:id="rId6"/>
    <sheet name="Q6"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9" l="1"/>
  <c r="C21" i="9" s="1"/>
  <c r="C18" i="9"/>
  <c r="E24" i="9" s="1"/>
  <c r="C11" i="8"/>
  <c r="C12" i="8" s="1"/>
  <c r="C10" i="8"/>
  <c r="I13" i="5"/>
  <c r="I12" i="5"/>
  <c r="I11" i="5"/>
  <c r="H12" i="5"/>
  <c r="H11" i="5"/>
  <c r="H13" i="5"/>
  <c r="G12" i="5"/>
  <c r="G13" i="5"/>
  <c r="G11" i="5"/>
  <c r="F13" i="5"/>
  <c r="F12" i="5"/>
  <c r="F11" i="5"/>
  <c r="C13" i="5"/>
  <c r="C12" i="5"/>
  <c r="C11" i="5"/>
  <c r="C5" i="4"/>
  <c r="C4" i="4"/>
  <c r="C6" i="4"/>
  <c r="C3" i="4"/>
  <c r="C28" i="2"/>
  <c r="C27" i="2"/>
  <c r="C26" i="2"/>
  <c r="C25" i="2"/>
  <c r="C31" i="2" l="1"/>
  <c r="F18" i="3" s="1"/>
  <c r="D25" i="9"/>
  <c r="E27" i="9"/>
  <c r="E26" i="9"/>
  <c r="E25" i="9"/>
  <c r="J25" i="9" s="1"/>
  <c r="D24" i="9"/>
  <c r="H24" i="9" s="1"/>
  <c r="D27" i="9"/>
  <c r="F27" i="9" s="1"/>
  <c r="K27" i="9" s="1"/>
  <c r="D26" i="9"/>
  <c r="F26" i="9" s="1"/>
  <c r="K26" i="9" s="1"/>
  <c r="C16" i="8"/>
  <c r="D16" i="8" s="1"/>
  <c r="C24" i="8"/>
  <c r="D24" i="8" s="1"/>
  <c r="C17" i="8"/>
  <c r="E17" i="8" s="1"/>
  <c r="C25" i="8"/>
  <c r="C19" i="8"/>
  <c r="C18" i="8"/>
  <c r="E18" i="8" s="1"/>
  <c r="C20" i="8"/>
  <c r="C23" i="8"/>
  <c r="C22" i="8"/>
  <c r="C21" i="8"/>
  <c r="E21" i="8" s="1"/>
  <c r="C9" i="4"/>
  <c r="D9" i="4" s="1"/>
  <c r="D11" i="4"/>
  <c r="D10" i="4"/>
  <c r="F9" i="3" l="1"/>
  <c r="G24" i="9"/>
  <c r="J27" i="9"/>
  <c r="I27" i="9"/>
  <c r="I24" i="9"/>
  <c r="J26" i="9"/>
  <c r="I26" i="9"/>
  <c r="F24" i="9"/>
  <c r="K24" i="9" s="1"/>
  <c r="L27" i="9"/>
  <c r="L26" i="9"/>
  <c r="H25" i="9"/>
  <c r="I25" i="9"/>
  <c r="G25" i="9"/>
  <c r="F25" i="9"/>
  <c r="K25" i="9" s="1"/>
  <c r="G26" i="9"/>
  <c r="H26" i="9"/>
  <c r="H27" i="9"/>
  <c r="G27" i="9"/>
  <c r="J24" i="9"/>
  <c r="E16" i="8"/>
  <c r="F16" i="8"/>
  <c r="G16" i="8" s="1"/>
  <c r="E24" i="8"/>
  <c r="F24" i="8"/>
  <c r="F19" i="8"/>
  <c r="D19" i="8"/>
  <c r="F25" i="8"/>
  <c r="D25" i="8"/>
  <c r="F22" i="8"/>
  <c r="D22" i="8"/>
  <c r="D17" i="8"/>
  <c r="F17" i="8"/>
  <c r="G17" i="8" s="1"/>
  <c r="F18" i="8"/>
  <c r="G18" i="8" s="1"/>
  <c r="D18" i="8"/>
  <c r="E22" i="8"/>
  <c r="F20" i="8"/>
  <c r="D20" i="8"/>
  <c r="E25" i="8"/>
  <c r="D21" i="8"/>
  <c r="F21" i="8"/>
  <c r="G21" i="8" s="1"/>
  <c r="E20" i="8"/>
  <c r="E19" i="8"/>
  <c r="D23" i="8"/>
  <c r="F23" i="8"/>
  <c r="E23" i="8"/>
  <c r="L24" i="9" l="1"/>
  <c r="L25" i="9"/>
  <c r="G23" i="8"/>
  <c r="G24" i="8"/>
  <c r="G25" i="8"/>
  <c r="G22" i="8"/>
  <c r="G19" i="8"/>
  <c r="G20" i="8"/>
</calcChain>
</file>

<file path=xl/sharedStrings.xml><?xml version="1.0" encoding="utf-8"?>
<sst xmlns="http://schemas.openxmlformats.org/spreadsheetml/2006/main" count="107" uniqueCount="75">
  <si>
    <t>Instructor</t>
  </si>
  <si>
    <t>Machines</t>
  </si>
  <si>
    <t>Office</t>
  </si>
  <si>
    <t>Operator</t>
  </si>
  <si>
    <t>Annual Demand</t>
  </si>
  <si>
    <t>Cost per Item</t>
  </si>
  <si>
    <t>Holding cost</t>
  </si>
  <si>
    <t>Optimal Order Quantity</t>
  </si>
  <si>
    <t>Classes held per year</t>
  </si>
  <si>
    <t>Cost of 4-week certificate level heavy machine operator safety training course</t>
  </si>
  <si>
    <t>Item</t>
  </si>
  <si>
    <t>Amount</t>
  </si>
  <si>
    <t>the machines and equipment facilities</t>
  </si>
  <si>
    <t>Office administration and support fees</t>
  </si>
  <si>
    <t>Since the problem assumes that no shortages will apply, the following formula can be used to determine the optimal number of  people to be held within a training class to minimise the total annual relevant cost:</t>
  </si>
  <si>
    <t>So let,</t>
  </si>
  <si>
    <t>A = Annual Demand</t>
  </si>
  <si>
    <t>k = Acquisition cost per order (Ordering cost)</t>
  </si>
  <si>
    <t>c = Cost per item</t>
  </si>
  <si>
    <t>h = % Holding cost per $ per item</t>
  </si>
  <si>
    <t>From the case we can gather the following information:</t>
  </si>
  <si>
    <t>Thus, we can conclude:</t>
  </si>
  <si>
    <t>6 per month</t>
  </si>
  <si>
    <t>Untrained Heavy Machine Operator</t>
  </si>
  <si>
    <t>Trained Heavy Machine Operators</t>
  </si>
  <si>
    <t>So using the forumla identified above,</t>
  </si>
  <si>
    <t>A (Annual Demand)</t>
  </si>
  <si>
    <t>k (Ordering Cost)</t>
  </si>
  <si>
    <t>c (Cost per item)</t>
  </si>
  <si>
    <t>h (% Holding cost)</t>
  </si>
  <si>
    <t>a)</t>
  </si>
  <si>
    <t>Since the problem assumes that no shortages will apply, the following formula can be used to determine the number of classes offered each year by DynaSafe Training to NorthStar Minerals Inc. (NMI):</t>
  </si>
  <si>
    <t>Number of classes offered per year</t>
  </si>
  <si>
    <t>So, using the numbers from Q1 we can conclude that</t>
  </si>
  <si>
    <t>b)</t>
  </si>
  <si>
    <t>We can calculate the total annual cost by using the following forumla:</t>
  </si>
  <si>
    <t>Total Annual Cost</t>
  </si>
  <si>
    <t xml:space="preserve">So using the data calculated in Q1 </t>
  </si>
  <si>
    <t>Annual Cost</t>
  </si>
  <si>
    <t>Optimal Class Size (Non-Rounded)</t>
  </si>
  <si>
    <t>Optimal Class Size (Rounded-Up)</t>
  </si>
  <si>
    <t>Optimal Class Size (Rounded-Down)</t>
  </si>
  <si>
    <t>4 &amp; 6 &amp; 8 per month</t>
  </si>
  <si>
    <t>Demand of 4 per month</t>
  </si>
  <si>
    <t>Demand of 6 per month</t>
  </si>
  <si>
    <t>Demand of 8 per month</t>
  </si>
  <si>
    <t>Ordering Cost</t>
  </si>
  <si>
    <t>Cost of 4-week of heavy machine operator safety training course</t>
  </si>
  <si>
    <t>Annual Demand (A)</t>
  </si>
  <si>
    <t>Q*</t>
  </si>
  <si>
    <t>Ordering cost</t>
  </si>
  <si>
    <t>Total annual cost</t>
  </si>
  <si>
    <t>Fixed cost per order (k)</t>
  </si>
  <si>
    <t>Holding cost (h)</t>
  </si>
  <si>
    <t>Opportunity cost (c) for each heavy machine operator</t>
  </si>
  <si>
    <t>Delay (Week)</t>
  </si>
  <si>
    <t>Backorder Penalty cost (p)</t>
  </si>
  <si>
    <t>Optimal order quantity (Q*)</t>
  </si>
  <si>
    <t>Quantity at the start of each cycle (S*)</t>
  </si>
  <si>
    <t>Max Number of backorders</t>
  </si>
  <si>
    <t>Number of orders per year</t>
  </si>
  <si>
    <t>cycle time</t>
  </si>
  <si>
    <t>Order costs</t>
  </si>
  <si>
    <t>Holding costs</t>
  </si>
  <si>
    <t>Backorder costs</t>
  </si>
  <si>
    <t>Total costs</t>
  </si>
  <si>
    <t>Cost per item (c)</t>
  </si>
  <si>
    <t>Since the problem assumes that shortages will apply, the following formula can be used to calculate the appropriate numbers considering the delays:</t>
  </si>
  <si>
    <t>So, using the information calculated previously, we can calculate the following</t>
  </si>
  <si>
    <t>Q* (Optimal number of people held within a training class)</t>
  </si>
  <si>
    <t>Q* = optimal number of people held within a training class</t>
  </si>
  <si>
    <r>
      <rPr>
        <b/>
        <sz val="11"/>
        <color theme="1"/>
        <rFont val="Calibri"/>
        <family val="2"/>
        <scheme val="minor"/>
      </rPr>
      <t xml:space="preserve">NOTE: </t>
    </r>
    <r>
      <rPr>
        <i/>
        <sz val="11"/>
        <color theme="1"/>
        <rFont val="Calibri"/>
        <family val="2"/>
        <scheme val="minor"/>
      </rPr>
      <t>k (Ordering Cost) has been calculated based on the definition that "Ordering Cost are salaries and expenses of processing an order, regardless of the order quantity", therefore, we took the cost of the "Instructor", "Machines and Equipment Facilities" &amp; "Office administration and support fees" and added them together to calculate the ordering cost as these are expenses that need to be incurred everytime a new class is made regradless of how many people are held within that class.</t>
    </r>
  </si>
  <si>
    <t>c (Cost per item) has been calculated based on the assumption that each untrained heavy machine operator enrolled in the class costs $1600</t>
  </si>
  <si>
    <t>h (%Holding Cost) has been calculated based on the definition that "Holding costs are usually a percentage of the value of the item assessed for keeping an item in inventory". So we made the assumption that they could hold the "Machines and Equipment Facilities" onto the next class and reuse them, therefore they must incur a holding cost, which was calculated based on the definition, so we gathered the cost of the "Machines and Equipment Facilities" and divided it by the Ordering Cost to calculate the percentage of the value of the "Machines and Equipment Facilities".</t>
  </si>
  <si>
    <t>A (Annual Demand) has been calculated by taking the monthly demand and multiplying by 12 to gather the Annual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</si>
</sst>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09]* #,##0.00_ ;_-[$$-409]* \-#,##0.00\ ;_-[$$-409]* &quot;-&quot;??_ ;_-@_ "/>
    <numFmt numFmtId="165" formatCode="_-[$$-409]* #,##0_ ;_-[$$-409]* \-#,##0\ ;_-[$$-409]* &quot;-&quot;??_ ;_-@_ "/>
    <numFmt numFmtId="166" formatCode="0.000"/>
    <numFmt numFmtId="167" formatCode="0.00000E+00"/>
    <numFmt numFmtId="168" formatCode="0.000E+00"/>
    <numFmt numFmtId="169" formatCode="0E+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165" fontId="0" fillId="0" borderId="1" xfId="0" applyNumberFormat="1" applyBorder="1" applyAlignment="1">
      <alignment horizontal="center" vertical="center"/>
    </xf>
    <xf numFmtId="0" fontId="0" fillId="0" borderId="0" xfId="0" applyFill="1" applyBorder="1" applyAlignment="1">
      <alignment horizontal="left" vertical="center"/>
    </xf>
    <xf numFmtId="0" fontId="0" fillId="2" borderId="0" xfId="0" applyFill="1"/>
    <xf numFmtId="0" fontId="0" fillId="0" borderId="0" xfId="0" applyFill="1" applyBorder="1" applyAlignment="1">
      <alignment vertical="center"/>
    </xf>
    <xf numFmtId="0" fontId="0" fillId="0" borderId="0" xfId="0" applyAlignment="1"/>
    <xf numFmtId="0" fontId="0" fillId="2" borderId="1" xfId="0" applyFill="1" applyBorder="1" applyAlignment="1">
      <alignment horizontal="center"/>
    </xf>
    <xf numFmtId="0" fontId="0" fillId="2" borderId="1" xfId="0" applyFill="1" applyBorder="1" applyAlignment="1">
      <alignment horizontal="left"/>
    </xf>
    <xf numFmtId="0" fontId="0" fillId="0" borderId="1" xfId="0" applyBorder="1" applyAlignment="1">
      <alignment horizontal="left" vertical="center"/>
    </xf>
    <xf numFmtId="166" fontId="0" fillId="0" borderId="0" xfId="0" applyNumberFormat="1"/>
    <xf numFmtId="165" fontId="0" fillId="0" borderId="0" xfId="0" applyNumberFormat="1"/>
    <xf numFmtId="2" fontId="0" fillId="0" borderId="0" xfId="0" applyNumberFormat="1" applyAlignment="1"/>
    <xf numFmtId="0" fontId="0" fillId="0" borderId="0" xfId="0" applyAlignment="1">
      <alignment vertical="top"/>
    </xf>
    <xf numFmtId="0" fontId="0" fillId="0" borderId="0" xfId="0" applyAlignment="1">
      <alignment vertical="top" wrapText="1"/>
    </xf>
    <xf numFmtId="0" fontId="0" fillId="0" borderId="1" xfId="0" applyBorder="1" applyAlignment="1"/>
    <xf numFmtId="0" fontId="0" fillId="0" borderId="1" xfId="0" applyBorder="1"/>
    <xf numFmtId="0" fontId="0" fillId="0" borderId="1" xfId="0" applyFill="1" applyBorder="1" applyAlignment="1">
      <alignment horizontal="left" vertical="center"/>
    </xf>
    <xf numFmtId="164" fontId="0" fillId="0" borderId="1" xfId="0" applyNumberFormat="1" applyBorder="1"/>
    <xf numFmtId="166" fontId="0" fillId="0" borderId="1" xfId="0" applyNumberFormat="1" applyBorder="1" applyAlignment="1">
      <alignment horizontal="center" vertical="center"/>
    </xf>
    <xf numFmtId="166" fontId="0" fillId="0" borderId="1" xfId="0" applyNumberFormat="1" applyBorder="1" applyAlignment="1">
      <alignment horizontal="center" vertical="center" wrapText="1"/>
    </xf>
    <xf numFmtId="166" fontId="0" fillId="0" borderId="0" xfId="0" applyNumberFormat="1" applyAlignment="1">
      <alignment horizontal="center" vertical="center"/>
    </xf>
    <xf numFmtId="1" fontId="0" fillId="0" borderId="1" xfId="0" applyNumberFormat="1" applyBorder="1" applyAlignment="1">
      <alignment horizontal="center" vertical="center"/>
    </xf>
    <xf numFmtId="166" fontId="0" fillId="0" borderId="0" xfId="0" applyNumberFormat="1" applyAlignment="1">
      <alignment vertical="center"/>
    </xf>
    <xf numFmtId="166" fontId="0" fillId="0" borderId="0" xfId="0" applyNumberFormat="1" applyAlignment="1"/>
    <xf numFmtId="1" fontId="0" fillId="0" borderId="0" xfId="0" applyNumberFormat="1" applyAlignment="1">
      <alignment horizontal="center" vertical="center"/>
    </xf>
    <xf numFmtId="0" fontId="0" fillId="0" borderId="0" xfId="0" applyAlignment="1">
      <alignment horizontal="center" vertical="center" wrapText="1"/>
    </xf>
    <xf numFmtId="167" fontId="0" fillId="0" borderId="1" xfId="0" applyNumberFormat="1" applyBorder="1" applyAlignment="1">
      <alignment horizontal="center" vertical="center" wrapText="1"/>
    </xf>
    <xf numFmtId="0" fontId="0" fillId="0" borderId="0" xfId="0" applyAlignment="1">
      <alignment horizontal="left" vertical="top" wrapText="1"/>
    </xf>
    <xf numFmtId="168" fontId="0" fillId="0" borderId="1" xfId="0" applyNumberFormat="1" applyBorder="1" applyAlignment="1">
      <alignment horizontal="center" vertical="center" wrapText="1"/>
    </xf>
    <xf numFmtId="169" fontId="0" fillId="0" borderId="1" xfId="0" applyNumberFormat="1" applyBorder="1" applyAlignment="1">
      <alignment horizontal="center" vertical="center" wrapText="1"/>
    </xf>
    <xf numFmtId="0" fontId="2" fillId="0" borderId="0" xfId="0" applyFont="1" applyAlignment="1">
      <alignment vertical="top"/>
    </xf>
    <xf numFmtId="0" fontId="0" fillId="0" borderId="0" xfId="0" applyFill="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0" fillId="0" borderId="0" xfId="0" applyAlignment="1">
      <alignment horizontal="left" vertical="top" wrapText="1"/>
    </xf>
    <xf numFmtId="0" fontId="0" fillId="0" borderId="0" xfId="0"/>
    <xf numFmtId="166" fontId="0" fillId="0" borderId="2" xfId="0" applyNumberFormat="1" applyBorder="1" applyAlignment="1">
      <alignment horizontal="center" vertical="center" wrapText="1"/>
    </xf>
    <xf numFmtId="166" fontId="0" fillId="0" borderId="3" xfId="0" applyNumberFormat="1" applyBorder="1" applyAlignment="1">
      <alignment horizontal="center" vertical="center" wrapText="1"/>
    </xf>
    <xf numFmtId="0" fontId="0" fillId="0" borderId="0" xfId="0" applyFont="1" applyAlignment="1">
      <alignment horizontal="left" vertical="top" wrapText="1"/>
    </xf>
    <xf numFmtId="0" fontId="0" fillId="0" borderId="0"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590550</xdr:colOff>
      <xdr:row>1</xdr:row>
      <xdr:rowOff>114300</xdr:rowOff>
    </xdr:from>
    <xdr:ext cx="1820884" cy="374141"/>
    <xdr:sp macro="" textlink="">
      <xdr:nvSpPr>
        <xdr:cNvPr id="2" name="TextBox 1">
          <a:extLst>
            <a:ext uri="{FF2B5EF4-FFF2-40B4-BE49-F238E27FC236}">
              <a16:creationId xmlns:a16="http://schemas.microsoft.com/office/drawing/2014/main" id="{363583D0-10A4-42A5-BC84-053285E2F951}"/>
            </a:ext>
          </a:extLst>
        </xdr:cNvPr>
        <xdr:cNvSpPr txBox="1"/>
      </xdr:nvSpPr>
      <xdr:spPr>
        <a:xfrm>
          <a:off x="581025" y="304800"/>
          <a:ext cx="182088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800" b="1"/>
            <a:t>Case </a:t>
          </a:r>
          <a:r>
            <a:rPr lang="en-US" sz="1800" b="1"/>
            <a:t>description:</a:t>
          </a:r>
          <a:endParaRPr lang="en-GB" sz="1800" b="1"/>
        </a:p>
      </xdr:txBody>
    </xdr:sp>
    <xdr:clientData/>
  </xdr:oneCellAnchor>
  <xdr:oneCellAnchor>
    <xdr:from>
      <xdr:col>1</xdr:col>
      <xdr:colOff>165100</xdr:colOff>
      <xdr:row>3</xdr:row>
      <xdr:rowOff>44450</xdr:rowOff>
    </xdr:from>
    <xdr:ext cx="8555820" cy="3521556"/>
    <xdr:sp macro="" textlink="">
      <xdr:nvSpPr>
        <xdr:cNvPr id="3" name="TextBox 2">
          <a:extLst>
            <a:ext uri="{FF2B5EF4-FFF2-40B4-BE49-F238E27FC236}">
              <a16:creationId xmlns:a16="http://schemas.microsoft.com/office/drawing/2014/main" id="{F5876C95-8261-4A29-AC28-5A5DB13F54C6}"/>
            </a:ext>
          </a:extLst>
        </xdr:cNvPr>
        <xdr:cNvSpPr txBox="1"/>
      </xdr:nvSpPr>
      <xdr:spPr>
        <a:xfrm>
          <a:off x="746125" y="615950"/>
          <a:ext cx="8555820" cy="35215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500" b="1"/>
            <a:t>Background </a:t>
          </a:r>
        </a:p>
        <a:p>
          <a:pPr marL="0" marR="0" lvl="0" indent="0" algn="l" defTabSz="914400" eaLnBrk="1" fontAlgn="auto" latinLnBrk="0" hangingPunct="1">
            <a:lnSpc>
              <a:spcPct val="100000"/>
            </a:lnSpc>
            <a:spcBef>
              <a:spcPts val="0"/>
            </a:spcBef>
            <a:spcAft>
              <a:spcPts val="0"/>
            </a:spcAft>
            <a:buClrTx/>
            <a:buSzTx/>
            <a:buFontTx/>
            <a:buNone/>
            <a:tabLst/>
            <a:defRPr/>
          </a:pPr>
          <a:r>
            <a:rPr lang="en-GB"/>
            <a:t>DynaSafe Training (DST) is an award-winning and accredited safety training provider for heavy machinery and earth moving equipment operators with a clientele of large mining companies. NorthStar Minerals Inc. (NMI) is interested in having DynaSafe provide a safety training program for its new heavy machine operators and has submitted a contract proposal.</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500" b="1" baseline="0">
              <a:solidFill>
                <a:schemeClr val="tx1"/>
              </a:solidFill>
              <a:effectLst/>
              <a:latin typeface="+mn-lt"/>
              <a:ea typeface="+mn-ea"/>
              <a:cs typeface="+mn-cs"/>
            </a:rPr>
            <a:t>Objectives</a:t>
          </a:r>
        </a:p>
        <a:p>
          <a:pPr marL="0" marR="0" lvl="0" indent="0" algn="l" defTabSz="914400" eaLnBrk="1" fontAlgn="auto" latinLnBrk="0" hangingPunct="1">
            <a:lnSpc>
              <a:spcPct val="100000"/>
            </a:lnSpc>
            <a:spcBef>
              <a:spcPts val="0"/>
            </a:spcBef>
            <a:spcAft>
              <a:spcPts val="0"/>
            </a:spcAft>
            <a:buClrTx/>
            <a:buSzTx/>
            <a:buFontTx/>
            <a:buNone/>
            <a:tabLst/>
            <a:defRPr/>
          </a:pPr>
          <a:r>
            <a:rPr lang="en-GB"/>
            <a:t>NorthStar Minerals Inc. (NMI) requires a contract as it wants to ensure a steady supply of newly trained heavy machine operators to manage high demand across its multiple mining operations. </a:t>
          </a:r>
          <a:r>
            <a:rPr lang="en-GB" sz="1100">
              <a:solidFill>
                <a:schemeClr val="tx1"/>
              </a:solidFill>
              <a:effectLst/>
              <a:latin typeface="+mn-lt"/>
              <a:ea typeface="+mn-ea"/>
              <a:cs typeface="+mn-cs"/>
            </a:rPr>
            <a:t>Since</a:t>
          </a:r>
          <a:r>
            <a:rPr lang="en-GB" sz="1100" baseline="0">
              <a:solidFill>
                <a:schemeClr val="tx1"/>
              </a:solidFill>
              <a:effectLst/>
              <a:latin typeface="+mn-lt"/>
              <a:ea typeface="+mn-ea"/>
              <a:cs typeface="+mn-cs"/>
            </a:rPr>
            <a:t> </a:t>
          </a:r>
          <a:r>
            <a:rPr lang="en-US" sz="1100" baseline="0">
              <a:solidFill>
                <a:schemeClr val="tx1"/>
              </a:solidFill>
              <a:effectLst/>
              <a:latin typeface="+mn-lt"/>
              <a:ea typeface="+mn-ea"/>
              <a:cs typeface="+mn-cs"/>
            </a:rPr>
            <a:t>our managers is interested in optimising the class sizes and analysing the cost and class sizes with different scenario</a:t>
          </a:r>
          <a:r>
            <a:rPr lang="en-GB" sz="1100" baseline="0">
              <a:solidFill>
                <a:schemeClr val="tx1"/>
              </a:solidFill>
              <a:effectLst/>
              <a:latin typeface="+mn-lt"/>
              <a:ea typeface="+mn-ea"/>
              <a:cs typeface="+mn-cs"/>
            </a:rPr>
            <a:t>. Throught this i</a:t>
          </a:r>
          <a:r>
            <a:rPr lang="en-GB" sz="1100" b="0" i="0">
              <a:solidFill>
                <a:schemeClr val="tx1"/>
              </a:solidFill>
              <a:effectLst/>
              <a:latin typeface="+mn-lt"/>
              <a:ea typeface="+mn-ea"/>
              <a:cs typeface="+mn-cs"/>
            </a:rPr>
            <a:t>nventory modelling problem</a:t>
          </a:r>
          <a:r>
            <a:rPr lang="en-GB" sz="1100" baseline="0">
              <a:solidFill>
                <a:schemeClr val="tx1"/>
              </a:solidFill>
              <a:effectLst/>
              <a:latin typeface="+mn-lt"/>
              <a:ea typeface="+mn-ea"/>
              <a:cs typeface="+mn-cs"/>
            </a:rPr>
            <a:t>,</a:t>
          </a:r>
          <a:r>
            <a:rPr lang="en-US" sz="1100" baseline="0">
              <a:solidFill>
                <a:schemeClr val="tx1"/>
              </a:solidFill>
              <a:effectLst/>
              <a:latin typeface="+mn-lt"/>
              <a:ea typeface="+mn-ea"/>
              <a:cs typeface="+mn-cs"/>
            </a:rPr>
            <a:t> we hope </a:t>
          </a:r>
          <a:r>
            <a:rPr lang="en-GB" sz="1100" baseline="0">
              <a:solidFill>
                <a:schemeClr val="tx1"/>
              </a:solidFill>
              <a:effectLst/>
              <a:latin typeface="+mn-lt"/>
              <a:ea typeface="+mn-ea"/>
              <a:cs typeface="+mn-cs"/>
            </a:rPr>
            <a:t>to find the optimal way to meet </a:t>
          </a:r>
          <a:r>
            <a:rPr lang="en-GB" sz="1100">
              <a:solidFill>
                <a:schemeClr val="tx1"/>
              </a:solidFill>
              <a:effectLst/>
              <a:latin typeface="+mn-lt"/>
              <a:ea typeface="+mn-ea"/>
              <a:cs typeface="+mn-cs"/>
            </a:rPr>
            <a:t>the need of NMI at the minimum cost.</a:t>
          </a:r>
          <a:endParaRPr lang="en-GB">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t>Navigation to the report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t>There are three sheets in this file:</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t>- The first one is to </a:t>
          </a:r>
          <a:r>
            <a:rPr lang="en-GB" sz="1100"/>
            <a:t>answer Q1 requested by </a:t>
          </a:r>
          <a:r>
            <a:rPr lang="en-US" sz="1100"/>
            <a:t>manager</a:t>
          </a:r>
          <a:r>
            <a:rPr lang="en-GB" sz="1100"/>
            <a: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t>- the second one is to </a:t>
          </a:r>
          <a:r>
            <a:rPr lang="en-GB" sz="1100">
              <a:solidFill>
                <a:schemeClr val="tx1"/>
              </a:solidFill>
              <a:effectLst/>
              <a:latin typeface="+mn-lt"/>
              <a:ea typeface="+mn-ea"/>
              <a:cs typeface="+mn-cs"/>
            </a:rPr>
            <a:t>answer Q2 requested by </a:t>
          </a:r>
          <a:r>
            <a:rPr lang="en-US" sz="1100">
              <a:solidFill>
                <a:schemeClr val="tx1"/>
              </a:solidFill>
              <a:effectLst/>
              <a:latin typeface="+mn-lt"/>
              <a:ea typeface="+mn-ea"/>
              <a:cs typeface="+mn-cs"/>
            </a:rPr>
            <a:t>manager</a:t>
          </a:r>
          <a:r>
            <a:rPr lang="en-GB" sz="1100"/>
            <a: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t>- the third one is </a:t>
          </a:r>
          <a:r>
            <a:rPr lang="en-GB" sz="1100">
              <a:solidFill>
                <a:schemeClr val="tx1"/>
              </a:solidFill>
              <a:effectLst/>
              <a:latin typeface="+mn-lt"/>
              <a:ea typeface="+mn-ea"/>
              <a:cs typeface="+mn-cs"/>
            </a:rPr>
            <a:t>answer Q3 requested by </a:t>
          </a:r>
          <a:r>
            <a:rPr lang="en-US" sz="1100">
              <a:solidFill>
                <a:schemeClr val="tx1"/>
              </a:solidFill>
              <a:effectLst/>
              <a:latin typeface="+mn-lt"/>
              <a:ea typeface="+mn-ea"/>
              <a:cs typeface="+mn-cs"/>
            </a:rPr>
            <a:t>manager;</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the fourth one is to</a:t>
          </a:r>
          <a:r>
            <a:rPr lang="en-US" sz="1100" baseline="0">
              <a:solidFill>
                <a:schemeClr val="tx1"/>
              </a:solidFill>
              <a:effectLst/>
              <a:latin typeface="+mn-lt"/>
              <a:ea typeface="+mn-ea"/>
              <a:cs typeface="+mn-cs"/>
            </a:rPr>
            <a:t> </a:t>
          </a:r>
          <a:r>
            <a:rPr lang="en-GB" sz="1100">
              <a:solidFill>
                <a:schemeClr val="tx1"/>
              </a:solidFill>
              <a:effectLst/>
              <a:latin typeface="+mn-lt"/>
              <a:ea typeface="+mn-ea"/>
              <a:cs typeface="+mn-cs"/>
            </a:rPr>
            <a:t>answer Q4 requested by </a:t>
          </a:r>
          <a:r>
            <a:rPr lang="en-US" sz="1100">
              <a:solidFill>
                <a:schemeClr val="tx1"/>
              </a:solidFill>
              <a:effectLst/>
              <a:latin typeface="+mn-lt"/>
              <a:ea typeface="+mn-ea"/>
              <a:cs typeface="+mn-cs"/>
            </a:rPr>
            <a:t>manager;</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the fifth one is to </a:t>
          </a:r>
          <a:r>
            <a:rPr lang="en-GB" sz="1100">
              <a:solidFill>
                <a:schemeClr val="tx1"/>
              </a:solidFill>
              <a:effectLst/>
              <a:latin typeface="+mn-lt"/>
              <a:ea typeface="+mn-ea"/>
              <a:cs typeface="+mn-cs"/>
            </a:rPr>
            <a:t>answer Q5 requested by </a:t>
          </a:r>
          <a:r>
            <a:rPr lang="en-US" sz="1100">
              <a:solidFill>
                <a:schemeClr val="tx1"/>
              </a:solidFill>
              <a:effectLst/>
              <a:latin typeface="+mn-lt"/>
              <a:ea typeface="+mn-ea"/>
              <a:cs typeface="+mn-cs"/>
            </a:rPr>
            <a:t>manager</a:t>
          </a:r>
          <a:endParaRPr lang="en-GB" sz="1100"/>
        </a:p>
        <a:p>
          <a:pPr marL="0" marR="0" lvl="0" indent="0" algn="l" defTabSz="914400" eaLnBrk="1" fontAlgn="auto" latinLnBrk="0" hangingPunct="1">
            <a:lnSpc>
              <a:spcPct val="100000"/>
            </a:lnSpc>
            <a:spcBef>
              <a:spcPts val="0"/>
            </a:spcBef>
            <a:spcAft>
              <a:spcPts val="0"/>
            </a:spcAft>
            <a:buClrTx/>
            <a:buSzTx/>
            <a:buFontTx/>
            <a:buNone/>
            <a:tabLst/>
            <a:defRPr/>
          </a:pPr>
          <a:r>
            <a:rPr lang="en-GB" sz="1100"/>
            <a:t>- and</a:t>
          </a:r>
          <a:r>
            <a:rPr lang="en-GB" sz="1100" baseline="0"/>
            <a:t> the final one is to </a:t>
          </a:r>
          <a:r>
            <a:rPr lang="en-GB" sz="1100">
              <a:solidFill>
                <a:schemeClr val="tx1"/>
              </a:solidFill>
              <a:effectLst/>
              <a:latin typeface="+mn-lt"/>
              <a:ea typeface="+mn-ea"/>
              <a:cs typeface="+mn-cs"/>
            </a:rPr>
            <a:t>answer Q6 requested by </a:t>
          </a:r>
          <a:r>
            <a:rPr lang="en-US" sz="1100">
              <a:solidFill>
                <a:schemeClr val="tx1"/>
              </a:solidFill>
              <a:effectLst/>
              <a:latin typeface="+mn-lt"/>
              <a:ea typeface="+mn-ea"/>
              <a:cs typeface="+mn-cs"/>
            </a:rPr>
            <a:t>manager</a:t>
          </a:r>
          <a:r>
            <a:rPr lang="en-GB" sz="1100" baseline="0"/>
            <a:t>. </a:t>
          </a:r>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2</xdr:row>
      <xdr:rowOff>57150</xdr:rowOff>
    </xdr:from>
    <xdr:to>
      <xdr:col>1</xdr:col>
      <xdr:colOff>2953159</xdr:colOff>
      <xdr:row>5</xdr:row>
      <xdr:rowOff>123914</xdr:rowOff>
    </xdr:to>
    <xdr:pic>
      <xdr:nvPicPr>
        <xdr:cNvPr id="3" name="Picture 2">
          <a:extLst>
            <a:ext uri="{FF2B5EF4-FFF2-40B4-BE49-F238E27FC236}">
              <a16:creationId xmlns:a16="http://schemas.microsoft.com/office/drawing/2014/main" id="{A5C17BBF-0E10-8422-A040-413B1F530E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8650" y="2114550"/>
          <a:ext cx="2934109" cy="6382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3</xdr:row>
      <xdr:rowOff>9525</xdr:rowOff>
    </xdr:from>
    <xdr:to>
      <xdr:col>5</xdr:col>
      <xdr:colOff>267076</xdr:colOff>
      <xdr:row>6</xdr:row>
      <xdr:rowOff>9605</xdr:rowOff>
    </xdr:to>
    <xdr:pic>
      <xdr:nvPicPr>
        <xdr:cNvPr id="3" name="Picture 2">
          <a:extLst>
            <a:ext uri="{FF2B5EF4-FFF2-40B4-BE49-F238E27FC236}">
              <a16:creationId xmlns:a16="http://schemas.microsoft.com/office/drawing/2014/main" id="{0F64A158-00D2-F376-CEC3-41E5D48AF2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876300"/>
          <a:ext cx="2695951" cy="571580"/>
        </a:xfrm>
        <a:prstGeom prst="rect">
          <a:avLst/>
        </a:prstGeom>
      </xdr:spPr>
    </xdr:pic>
    <xdr:clientData/>
  </xdr:twoCellAnchor>
  <xdr:twoCellAnchor editAs="oneCell">
    <xdr:from>
      <xdr:col>1</xdr:col>
      <xdr:colOff>0</xdr:colOff>
      <xdr:row>12</xdr:row>
      <xdr:rowOff>28575</xdr:rowOff>
    </xdr:from>
    <xdr:to>
      <xdr:col>8</xdr:col>
      <xdr:colOff>238754</xdr:colOff>
      <xdr:row>15</xdr:row>
      <xdr:rowOff>28655</xdr:rowOff>
    </xdr:to>
    <xdr:pic>
      <xdr:nvPicPr>
        <xdr:cNvPr id="5" name="Picture 4">
          <a:extLst>
            <a:ext uri="{FF2B5EF4-FFF2-40B4-BE49-F238E27FC236}">
              <a16:creationId xmlns:a16="http://schemas.microsoft.com/office/drawing/2014/main" id="{FDCEC585-3E1E-ED90-9835-D624EC0B70F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2609850"/>
          <a:ext cx="4505954" cy="5715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2</xdr:row>
      <xdr:rowOff>85725</xdr:rowOff>
    </xdr:from>
    <xdr:to>
      <xdr:col>3</xdr:col>
      <xdr:colOff>447675</xdr:colOff>
      <xdr:row>6</xdr:row>
      <xdr:rowOff>180715</xdr:rowOff>
    </xdr:to>
    <xdr:pic>
      <xdr:nvPicPr>
        <xdr:cNvPr id="3" name="Picture 2">
          <a:extLst>
            <a:ext uri="{FF2B5EF4-FFF2-40B4-BE49-F238E27FC236}">
              <a16:creationId xmlns:a16="http://schemas.microsoft.com/office/drawing/2014/main" id="{2C31E271-C5D9-6809-D88E-D81AD37DA7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552450"/>
          <a:ext cx="3667125" cy="20380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9A697-72D5-4646-A45F-62CA44F2EBB5}">
  <dimension ref="A1"/>
  <sheetViews>
    <sheetView tabSelected="1" workbookViewId="0">
      <selection activeCell="Q16" sqref="Q16"/>
    </sheetView>
  </sheetViews>
  <sheetFormatPr defaultColWidth="8.7265625" defaultRowHeight="14.5" x14ac:dyDescent="0.35"/>
  <cols>
    <col min="1" max="16384" width="8.7265625" style="5"/>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5261D-474A-452B-BCDC-1B3DE4ECDDCF}">
  <dimension ref="B2:J48"/>
  <sheetViews>
    <sheetView workbookViewId="0">
      <selection activeCell="P37" sqref="P37:P38"/>
    </sheetView>
  </sheetViews>
  <sheetFormatPr defaultRowHeight="14.5" x14ac:dyDescent="0.35"/>
  <cols>
    <col min="2" max="2" width="52.7265625" customWidth="1"/>
    <col min="3" max="3" width="14.54296875" customWidth="1"/>
  </cols>
  <sheetData>
    <row r="2" spans="2:9" ht="42" customHeight="1" x14ac:dyDescent="0.35">
      <c r="B2" s="33" t="s">
        <v>14</v>
      </c>
      <c r="C2" s="33"/>
      <c r="D2" s="33"/>
      <c r="E2" s="33"/>
      <c r="F2" s="33"/>
      <c r="G2" s="33"/>
      <c r="H2" s="33"/>
      <c r="I2" s="33"/>
    </row>
    <row r="8" spans="2:9" x14ac:dyDescent="0.35">
      <c r="B8" t="s">
        <v>15</v>
      </c>
    </row>
    <row r="9" spans="2:9" x14ac:dyDescent="0.35">
      <c r="B9" t="s">
        <v>70</v>
      </c>
    </row>
    <row r="10" spans="2:9" x14ac:dyDescent="0.35">
      <c r="B10" t="s">
        <v>16</v>
      </c>
    </row>
    <row r="11" spans="2:9" x14ac:dyDescent="0.35">
      <c r="B11" t="s">
        <v>17</v>
      </c>
    </row>
    <row r="12" spans="2:9" x14ac:dyDescent="0.35">
      <c r="B12" t="s">
        <v>18</v>
      </c>
    </row>
    <row r="13" spans="2:9" x14ac:dyDescent="0.35">
      <c r="B13" t="s">
        <v>19</v>
      </c>
    </row>
    <row r="15" spans="2:9" x14ac:dyDescent="0.35">
      <c r="B15" t="s">
        <v>20</v>
      </c>
    </row>
    <row r="16" spans="2:9" ht="30" customHeight="1" x14ac:dyDescent="0.35">
      <c r="B16" s="34" t="s">
        <v>9</v>
      </c>
      <c r="C16" s="35"/>
    </row>
    <row r="17" spans="2:3" ht="15" customHeight="1" x14ac:dyDescent="0.35">
      <c r="B17" s="1" t="s">
        <v>10</v>
      </c>
      <c r="C17" s="1" t="s">
        <v>11</v>
      </c>
    </row>
    <row r="18" spans="2:3" ht="15" customHeight="1" x14ac:dyDescent="0.35">
      <c r="B18" s="9" t="s">
        <v>24</v>
      </c>
      <c r="C18" s="1" t="s">
        <v>22</v>
      </c>
    </row>
    <row r="19" spans="2:3" x14ac:dyDescent="0.35">
      <c r="B19" s="10" t="s">
        <v>0</v>
      </c>
      <c r="C19" s="3">
        <v>3000</v>
      </c>
    </row>
    <row r="20" spans="2:3" x14ac:dyDescent="0.35">
      <c r="B20" s="10" t="s">
        <v>12</v>
      </c>
      <c r="C20" s="3">
        <v>1500</v>
      </c>
    </row>
    <row r="21" spans="2:3" x14ac:dyDescent="0.35">
      <c r="B21" s="10" t="s">
        <v>13</v>
      </c>
      <c r="C21" s="3">
        <v>250</v>
      </c>
    </row>
    <row r="22" spans="2:3" x14ac:dyDescent="0.35">
      <c r="B22" s="10" t="s">
        <v>23</v>
      </c>
      <c r="C22" s="3">
        <v>1600</v>
      </c>
    </row>
    <row r="24" spans="2:3" x14ac:dyDescent="0.35">
      <c r="B24" s="4" t="s">
        <v>21</v>
      </c>
    </row>
    <row r="25" spans="2:3" x14ac:dyDescent="0.35">
      <c r="B25" s="6" t="s">
        <v>26</v>
      </c>
      <c r="C25">
        <f>6*12</f>
        <v>72</v>
      </c>
    </row>
    <row r="26" spans="2:3" x14ac:dyDescent="0.35">
      <c r="B26" s="4" t="s">
        <v>27</v>
      </c>
      <c r="C26" s="12">
        <f>C19+C20+C21</f>
        <v>4750</v>
      </c>
    </row>
    <row r="27" spans="2:3" x14ac:dyDescent="0.35">
      <c r="B27" s="4" t="s">
        <v>28</v>
      </c>
      <c r="C27" s="12">
        <f>C22</f>
        <v>1600</v>
      </c>
    </row>
    <row r="28" spans="2:3" x14ac:dyDescent="0.35">
      <c r="B28" s="4" t="s">
        <v>29</v>
      </c>
      <c r="C28" s="13">
        <f xml:space="preserve"> 1500/4750</f>
        <v>0.31578947368421051</v>
      </c>
    </row>
    <row r="29" spans="2:3" x14ac:dyDescent="0.35">
      <c r="B29" s="7"/>
    </row>
    <row r="30" spans="2:3" x14ac:dyDescent="0.35">
      <c r="B30" s="4" t="s">
        <v>25</v>
      </c>
    </row>
    <row r="31" spans="2:3" x14ac:dyDescent="0.35">
      <c r="B31" s="4" t="s">
        <v>69</v>
      </c>
      <c r="C31">
        <f>SQRT((2*C25*C26)/(C27*C28))</f>
        <v>36.793341788970459</v>
      </c>
    </row>
    <row r="32" spans="2:3" x14ac:dyDescent="0.35">
      <c r="B32" s="7"/>
    </row>
    <row r="33" spans="2:10" x14ac:dyDescent="0.35">
      <c r="B33" s="36" t="s">
        <v>71</v>
      </c>
      <c r="C33" s="36"/>
      <c r="D33" s="36"/>
      <c r="E33" s="36"/>
      <c r="F33" s="36"/>
      <c r="G33" s="36"/>
      <c r="H33" s="36"/>
      <c r="I33" s="36"/>
      <c r="J33" s="36"/>
    </row>
    <row r="34" spans="2:10" x14ac:dyDescent="0.35">
      <c r="B34" s="36"/>
      <c r="C34" s="36"/>
      <c r="D34" s="36"/>
      <c r="E34" s="36"/>
      <c r="F34" s="36"/>
      <c r="G34" s="36"/>
      <c r="H34" s="36"/>
      <c r="I34" s="36"/>
      <c r="J34" s="36"/>
    </row>
    <row r="35" spans="2:10" x14ac:dyDescent="0.35">
      <c r="B35" s="36"/>
      <c r="C35" s="36"/>
      <c r="D35" s="36"/>
      <c r="E35" s="36"/>
      <c r="F35" s="36"/>
      <c r="G35" s="36"/>
      <c r="H35" s="36"/>
      <c r="I35" s="36"/>
      <c r="J35" s="36"/>
    </row>
    <row r="36" spans="2:10" x14ac:dyDescent="0.35">
      <c r="B36" s="36"/>
      <c r="C36" s="36"/>
      <c r="D36" s="36"/>
      <c r="E36" s="36"/>
      <c r="F36" s="36"/>
      <c r="G36" s="36"/>
      <c r="H36" s="36"/>
      <c r="I36" s="36"/>
      <c r="J36" s="36"/>
    </row>
    <row r="37" spans="2:10" x14ac:dyDescent="0.35">
      <c r="B37" s="36"/>
      <c r="C37" s="36"/>
      <c r="D37" s="36"/>
      <c r="E37" s="36"/>
      <c r="F37" s="36"/>
      <c r="G37" s="36"/>
      <c r="H37" s="36"/>
      <c r="I37" s="36"/>
      <c r="J37" s="36"/>
    </row>
    <row r="38" spans="2:10" x14ac:dyDescent="0.35">
      <c r="B38" s="15"/>
      <c r="C38" s="15"/>
      <c r="D38" s="15"/>
      <c r="E38" s="15"/>
      <c r="F38" s="15"/>
      <c r="G38" s="15"/>
      <c r="H38" s="15"/>
      <c r="I38" s="15"/>
      <c r="J38" s="15"/>
    </row>
    <row r="39" spans="2:10" ht="14.25" customHeight="1" x14ac:dyDescent="0.35">
      <c r="B39" s="38" t="s">
        <v>74</v>
      </c>
      <c r="C39" s="38"/>
      <c r="D39" s="38"/>
      <c r="E39" s="38"/>
      <c r="F39" s="38"/>
      <c r="G39" s="38"/>
      <c r="H39" s="38"/>
      <c r="I39" s="38"/>
      <c r="J39" s="38"/>
    </row>
    <row r="40" spans="2:10" x14ac:dyDescent="0.35">
      <c r="B40" s="15"/>
      <c r="C40" s="15"/>
      <c r="D40" s="15"/>
      <c r="E40" s="15"/>
      <c r="F40" s="15"/>
      <c r="G40" s="15"/>
      <c r="H40" s="15"/>
      <c r="I40" s="15"/>
      <c r="J40" s="15"/>
    </row>
    <row r="41" spans="2:10" x14ac:dyDescent="0.35">
      <c r="B41" s="37" t="s">
        <v>72</v>
      </c>
      <c r="C41" s="37"/>
      <c r="D41" s="37"/>
      <c r="E41" s="37"/>
      <c r="F41" s="37"/>
      <c r="G41" s="37"/>
      <c r="H41" s="37"/>
      <c r="I41" s="37"/>
      <c r="J41" s="37"/>
    </row>
    <row r="42" spans="2:10" x14ac:dyDescent="0.35">
      <c r="B42" s="32"/>
      <c r="C42" s="32"/>
      <c r="D42" s="32"/>
      <c r="E42" s="32"/>
      <c r="F42" s="32"/>
      <c r="G42" s="32"/>
      <c r="H42" s="32"/>
      <c r="I42" s="32"/>
      <c r="J42" s="32"/>
    </row>
    <row r="43" spans="2:10" x14ac:dyDescent="0.35">
      <c r="B43" s="38" t="s">
        <v>73</v>
      </c>
      <c r="C43" s="38"/>
      <c r="D43" s="38"/>
      <c r="E43" s="38"/>
      <c r="F43" s="38"/>
      <c r="G43" s="38"/>
      <c r="H43" s="38"/>
      <c r="I43" s="38"/>
      <c r="J43" s="38"/>
    </row>
    <row r="44" spans="2:10" x14ac:dyDescent="0.35">
      <c r="B44" s="38"/>
      <c r="C44" s="38"/>
      <c r="D44" s="38"/>
      <c r="E44" s="38"/>
      <c r="F44" s="38"/>
      <c r="G44" s="38"/>
      <c r="H44" s="38"/>
      <c r="I44" s="38"/>
      <c r="J44" s="38"/>
    </row>
    <row r="45" spans="2:10" x14ac:dyDescent="0.35">
      <c r="B45" s="38"/>
      <c r="C45" s="38"/>
      <c r="D45" s="38"/>
      <c r="E45" s="38"/>
      <c r="F45" s="38"/>
      <c r="G45" s="38"/>
      <c r="H45" s="38"/>
      <c r="I45" s="38"/>
      <c r="J45" s="38"/>
    </row>
    <row r="46" spans="2:10" x14ac:dyDescent="0.35">
      <c r="B46" s="38"/>
      <c r="C46" s="38"/>
      <c r="D46" s="38"/>
      <c r="E46" s="38"/>
      <c r="F46" s="38"/>
      <c r="G46" s="38"/>
      <c r="H46" s="38"/>
      <c r="I46" s="38"/>
      <c r="J46" s="38"/>
    </row>
    <row r="47" spans="2:10" x14ac:dyDescent="0.35">
      <c r="B47" s="38"/>
      <c r="C47" s="38"/>
      <c r="D47" s="38"/>
      <c r="E47" s="38"/>
      <c r="F47" s="38"/>
      <c r="G47" s="38"/>
      <c r="H47" s="38"/>
      <c r="I47" s="38"/>
      <c r="J47" s="38"/>
    </row>
    <row r="48" spans="2:10" x14ac:dyDescent="0.35">
      <c r="B48" s="14"/>
      <c r="C48" s="14"/>
      <c r="D48" s="14"/>
      <c r="E48" s="14"/>
      <c r="F48" s="14"/>
      <c r="G48" s="14"/>
      <c r="H48" s="14"/>
      <c r="I48" s="14"/>
      <c r="J48" s="14"/>
    </row>
  </sheetData>
  <mergeCells count="6">
    <mergeCell ref="B2:I2"/>
    <mergeCell ref="B16:C16"/>
    <mergeCell ref="B33:J37"/>
    <mergeCell ref="B41:J41"/>
    <mergeCell ref="B43:J47"/>
    <mergeCell ref="B39:J3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D97D-3676-40A1-825E-1E7C7F608160}">
  <dimension ref="B2:S18"/>
  <sheetViews>
    <sheetView workbookViewId="0">
      <selection activeCell="K19" sqref="K19"/>
    </sheetView>
  </sheetViews>
  <sheetFormatPr defaultRowHeight="14.5" x14ac:dyDescent="0.35"/>
  <sheetData>
    <row r="2" spans="2:19" x14ac:dyDescent="0.35">
      <c r="B2" t="s">
        <v>30</v>
      </c>
    </row>
    <row r="3" spans="2:19" ht="38.25" customHeight="1" x14ac:dyDescent="0.35">
      <c r="B3" s="39" t="s">
        <v>31</v>
      </c>
      <c r="C3" s="39"/>
      <c r="D3" s="39"/>
      <c r="E3" s="39"/>
      <c r="F3" s="39"/>
      <c r="G3" s="39"/>
      <c r="H3" s="39"/>
      <c r="I3" s="39"/>
      <c r="J3" s="39"/>
      <c r="K3" s="39"/>
      <c r="L3" s="39"/>
      <c r="M3" s="39"/>
      <c r="N3" s="39"/>
      <c r="O3" s="39"/>
      <c r="P3" s="14"/>
      <c r="Q3" s="14"/>
      <c r="R3" s="14"/>
      <c r="S3" s="14"/>
    </row>
    <row r="8" spans="2:19" x14ac:dyDescent="0.35">
      <c r="B8" t="s">
        <v>33</v>
      </c>
    </row>
    <row r="9" spans="2:19" x14ac:dyDescent="0.35">
      <c r="B9" s="40" t="s">
        <v>32</v>
      </c>
      <c r="C9" s="40"/>
      <c r="D9" s="40"/>
      <c r="E9" s="40"/>
      <c r="F9">
        <f>'Q1'!C25/'Q1'!C31</f>
        <v>1.9568757959784844</v>
      </c>
    </row>
    <row r="11" spans="2:19" x14ac:dyDescent="0.35">
      <c r="B11" t="s">
        <v>34</v>
      </c>
    </row>
    <row r="12" spans="2:19" x14ac:dyDescent="0.35">
      <c r="B12" s="40" t="s">
        <v>35</v>
      </c>
      <c r="C12" s="40"/>
      <c r="D12" s="40"/>
      <c r="E12" s="40"/>
      <c r="F12" s="40"/>
      <c r="G12" s="40"/>
      <c r="H12" s="40"/>
      <c r="I12" s="40"/>
    </row>
    <row r="17" spans="2:6" x14ac:dyDescent="0.35">
      <c r="B17" t="s">
        <v>33</v>
      </c>
    </row>
    <row r="18" spans="2:6" x14ac:dyDescent="0.35">
      <c r="B18" s="40" t="s">
        <v>36</v>
      </c>
      <c r="C18" s="40"/>
      <c r="D18" s="40"/>
      <c r="E18" s="40"/>
      <c r="F18">
        <f>((('Q1'!C25*'Q1'!C26)/'Q1'!C31)+(('Q1'!C31*'Q1'!C27*'Q1'!C28)/2))</f>
        <v>18590.320061795603</v>
      </c>
    </row>
  </sheetData>
  <mergeCells count="4">
    <mergeCell ref="B3:O3"/>
    <mergeCell ref="B9:E9"/>
    <mergeCell ref="B12:I12"/>
    <mergeCell ref="B18:E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A45EF-BB8A-4A54-8CAB-DE4A9F5D8EA4}">
  <dimension ref="B2:D11"/>
  <sheetViews>
    <sheetView workbookViewId="0">
      <selection activeCell="D19" sqref="D19"/>
    </sheetView>
  </sheetViews>
  <sheetFormatPr defaultRowHeight="14.5" x14ac:dyDescent="0.35"/>
  <cols>
    <col min="2" max="2" width="32.81640625" customWidth="1"/>
    <col min="3" max="3" width="13.26953125" customWidth="1"/>
    <col min="4" max="4" width="21.453125" customWidth="1"/>
  </cols>
  <sheetData>
    <row r="2" spans="2:4" x14ac:dyDescent="0.35">
      <c r="B2" t="s">
        <v>37</v>
      </c>
    </row>
    <row r="3" spans="2:4" x14ac:dyDescent="0.35">
      <c r="B3" s="6" t="s">
        <v>26</v>
      </c>
      <c r="C3">
        <f>6*12</f>
        <v>72</v>
      </c>
    </row>
    <row r="4" spans="2:4" x14ac:dyDescent="0.35">
      <c r="B4" s="4" t="s">
        <v>27</v>
      </c>
      <c r="C4" s="12">
        <f>4750</f>
        <v>4750</v>
      </c>
    </row>
    <row r="5" spans="2:4" x14ac:dyDescent="0.35">
      <c r="B5" s="4" t="s">
        <v>28</v>
      </c>
      <c r="C5" s="12">
        <f>1600</f>
        <v>1600</v>
      </c>
    </row>
    <row r="6" spans="2:4" x14ac:dyDescent="0.35">
      <c r="B6" s="4" t="s">
        <v>29</v>
      </c>
      <c r="C6" s="13">
        <f xml:space="preserve"> 1500/4750</f>
        <v>0.31578947368421051</v>
      </c>
    </row>
    <row r="8" spans="2:4" x14ac:dyDescent="0.35">
      <c r="B8" s="16"/>
      <c r="C8" s="17"/>
      <c r="D8" s="18" t="s">
        <v>38</v>
      </c>
    </row>
    <row r="9" spans="2:4" x14ac:dyDescent="0.35">
      <c r="B9" s="18" t="s">
        <v>39</v>
      </c>
      <c r="C9" s="17">
        <f>SQRT((2*C3*C4)/(C5*C6))</f>
        <v>36.793341788970459</v>
      </c>
      <c r="D9" s="19">
        <f>((($C$3*$C$4)/C9)+((C9*$C$5*$C$6)/2))</f>
        <v>18590.320061795603</v>
      </c>
    </row>
    <row r="10" spans="2:4" x14ac:dyDescent="0.35">
      <c r="B10" s="18" t="s">
        <v>40</v>
      </c>
      <c r="C10" s="17">
        <v>37</v>
      </c>
      <c r="D10" s="19">
        <f t="shared" ref="D10:D11" si="0">((($C$3*$C$4)/C10)+((C10*$C$5*$C$6)/2))</f>
        <v>18590.611664295873</v>
      </c>
    </row>
    <row r="11" spans="2:4" x14ac:dyDescent="0.35">
      <c r="B11" s="18" t="s">
        <v>41</v>
      </c>
      <c r="C11" s="17">
        <v>36</v>
      </c>
      <c r="D11" s="19">
        <f t="shared" si="0"/>
        <v>18594.736842105263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61F97-53DB-4EA7-9FBD-1500345622ED}">
  <dimension ref="B2:I13"/>
  <sheetViews>
    <sheetView workbookViewId="0">
      <selection activeCell="B4" sqref="B4:C4"/>
    </sheetView>
  </sheetViews>
  <sheetFormatPr defaultRowHeight="14.5" x14ac:dyDescent="0.35"/>
  <cols>
    <col min="2" max="2" width="38" customWidth="1"/>
    <col min="3" max="3" width="20.1796875" customWidth="1"/>
    <col min="4" max="4" width="18.54296875" customWidth="1"/>
    <col min="5" max="5" width="14.54296875" customWidth="1"/>
    <col min="6" max="6" width="14.81640625" customWidth="1"/>
    <col min="7" max="7" width="23" customWidth="1"/>
    <col min="8" max="8" width="21.81640625" customWidth="1"/>
    <col min="9" max="9" width="24.7265625" customWidth="1"/>
  </cols>
  <sheetData>
    <row r="2" spans="2:9" ht="35.25" customHeight="1" x14ac:dyDescent="0.35">
      <c r="B2" s="34" t="s">
        <v>9</v>
      </c>
      <c r="C2" s="35"/>
    </row>
    <row r="3" spans="2:9" x14ac:dyDescent="0.35">
      <c r="B3" s="1" t="s">
        <v>10</v>
      </c>
      <c r="C3" s="1" t="s">
        <v>11</v>
      </c>
    </row>
    <row r="4" spans="2:9" x14ac:dyDescent="0.35">
      <c r="B4" s="9" t="s">
        <v>24</v>
      </c>
      <c r="C4" s="1" t="s">
        <v>42</v>
      </c>
    </row>
    <row r="5" spans="2:9" x14ac:dyDescent="0.35">
      <c r="B5" s="10" t="s">
        <v>0</v>
      </c>
      <c r="C5" s="3">
        <v>3000</v>
      </c>
    </row>
    <row r="6" spans="2:9" x14ac:dyDescent="0.35">
      <c r="B6" s="10" t="s">
        <v>12</v>
      </c>
      <c r="C6" s="3">
        <v>1500</v>
      </c>
    </row>
    <row r="7" spans="2:9" x14ac:dyDescent="0.35">
      <c r="B7" s="10" t="s">
        <v>13</v>
      </c>
      <c r="C7" s="3">
        <v>250</v>
      </c>
    </row>
    <row r="8" spans="2:9" x14ac:dyDescent="0.35">
      <c r="B8" s="10" t="s">
        <v>23</v>
      </c>
      <c r="C8" s="3">
        <v>1600</v>
      </c>
    </row>
    <row r="10" spans="2:9" x14ac:dyDescent="0.35">
      <c r="B10" s="17"/>
      <c r="C10" s="17" t="s">
        <v>4</v>
      </c>
      <c r="D10" s="17" t="s">
        <v>46</v>
      </c>
      <c r="E10" s="17" t="s">
        <v>5</v>
      </c>
      <c r="F10" s="17" t="s">
        <v>6</v>
      </c>
      <c r="G10" s="17" t="s">
        <v>7</v>
      </c>
      <c r="H10" s="17" t="s">
        <v>8</v>
      </c>
      <c r="I10" s="17" t="s">
        <v>38</v>
      </c>
    </row>
    <row r="11" spans="2:9" x14ac:dyDescent="0.35">
      <c r="B11" s="18" t="s">
        <v>43</v>
      </c>
      <c r="C11" s="17">
        <f>4*12</f>
        <v>48</v>
      </c>
      <c r="D11" s="17">
        <v>4750</v>
      </c>
      <c r="E11" s="17">
        <v>1600</v>
      </c>
      <c r="F11" s="17">
        <f>1500/D11</f>
        <v>0.31578947368421051</v>
      </c>
      <c r="G11" s="17">
        <f>SQRT((2*C11*D11)/(E11*F11))</f>
        <v>30.041637771599603</v>
      </c>
      <c r="H11" s="17">
        <f>C11/G11</f>
        <v>1.5977823967166549</v>
      </c>
      <c r="I11" s="17">
        <f>(((C11*D11)/G11)+((G11*E11*F11)/2))</f>
        <v>15178.932768808219</v>
      </c>
    </row>
    <row r="12" spans="2:9" x14ac:dyDescent="0.35">
      <c r="B12" s="18" t="s">
        <v>44</v>
      </c>
      <c r="C12" s="17">
        <f>6*12</f>
        <v>72</v>
      </c>
      <c r="D12" s="17">
        <v>4750</v>
      </c>
      <c r="E12" s="17">
        <v>1600</v>
      </c>
      <c r="F12" s="17">
        <f>1500/D12</f>
        <v>0.31578947368421051</v>
      </c>
      <c r="G12" s="17">
        <f t="shared" ref="G12:G13" si="0">SQRT((2*C12*D12)/(E12*F12))</f>
        <v>36.793341788970459</v>
      </c>
      <c r="H12" s="17">
        <f>C12/G12</f>
        <v>1.9568757959784844</v>
      </c>
      <c r="I12" s="17">
        <f t="shared" ref="I12" si="1">(((C12*D12)/G12)+((G12*E12*F12)/2))</f>
        <v>18590.320061795603</v>
      </c>
    </row>
    <row r="13" spans="2:9" x14ac:dyDescent="0.35">
      <c r="B13" s="18" t="s">
        <v>45</v>
      </c>
      <c r="C13" s="17">
        <f>8*12</f>
        <v>96</v>
      </c>
      <c r="D13" s="17">
        <v>4750</v>
      </c>
      <c r="E13" s="17">
        <v>1600</v>
      </c>
      <c r="F13" s="17">
        <f>1500/D13</f>
        <v>0.31578947368421051</v>
      </c>
      <c r="G13" s="17">
        <f t="shared" si="0"/>
        <v>42.485291572496003</v>
      </c>
      <c r="H13" s="17">
        <f t="shared" ref="H13" si="2">C13/G13</f>
        <v>2.2596055351576823</v>
      </c>
      <c r="I13" s="17">
        <f>(((C13*D13)/G13)+((G13*E13*F13)/2))</f>
        <v>21466.252583997979</v>
      </c>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51F5B-C445-47D0-9E7E-5C8E8B78D57E}">
  <dimension ref="B3:G25"/>
  <sheetViews>
    <sheetView topLeftCell="A3" workbookViewId="0">
      <selection activeCell="D22" sqref="D22"/>
    </sheetView>
  </sheetViews>
  <sheetFormatPr defaultColWidth="8.7265625" defaultRowHeight="14.5" x14ac:dyDescent="0.35"/>
  <cols>
    <col min="1" max="1" width="8.7265625" style="11"/>
    <col min="2" max="2" width="35" style="11" customWidth="1"/>
    <col min="3" max="3" width="12.54296875" style="11" customWidth="1"/>
    <col min="4" max="4" width="21.453125" style="11" customWidth="1"/>
    <col min="5" max="5" width="14.81640625" style="11" customWidth="1"/>
    <col min="6" max="6" width="43.26953125" style="11" bestFit="1" customWidth="1"/>
    <col min="7" max="7" width="21.7265625" style="11" customWidth="1"/>
    <col min="8" max="8" width="18.453125" style="11" bestFit="1" customWidth="1"/>
    <col min="9" max="9" width="18.54296875" style="11" bestFit="1" customWidth="1"/>
    <col min="10" max="10" width="16.453125" style="11" bestFit="1" customWidth="1"/>
    <col min="11" max="11" width="15.1796875" style="11" bestFit="1" customWidth="1"/>
    <col min="12" max="16384" width="8.7265625" style="11"/>
  </cols>
  <sheetData>
    <row r="3" spans="2:7" ht="51.65" customHeight="1" x14ac:dyDescent="0.35">
      <c r="B3" s="41" t="s">
        <v>47</v>
      </c>
      <c r="C3" s="42"/>
    </row>
    <row r="4" spans="2:7" ht="14.5" customHeight="1" x14ac:dyDescent="0.35">
      <c r="B4" s="20" t="s">
        <v>10</v>
      </c>
      <c r="C4" s="20" t="s">
        <v>11</v>
      </c>
    </row>
    <row r="5" spans="2:7" ht="14.5" customHeight="1" x14ac:dyDescent="0.35">
      <c r="B5" s="8" t="s">
        <v>24</v>
      </c>
      <c r="C5" s="1" t="s">
        <v>22</v>
      </c>
    </row>
    <row r="6" spans="2:7" x14ac:dyDescent="0.35">
      <c r="B6" s="20" t="s">
        <v>0</v>
      </c>
      <c r="C6" s="3">
        <v>3000</v>
      </c>
    </row>
    <row r="7" spans="2:7" x14ac:dyDescent="0.35">
      <c r="B7" s="20" t="s">
        <v>1</v>
      </c>
      <c r="C7" s="3">
        <v>1500</v>
      </c>
    </row>
    <row r="8" spans="2:7" x14ac:dyDescent="0.35">
      <c r="B8" s="20" t="s">
        <v>2</v>
      </c>
      <c r="C8" s="3">
        <v>250</v>
      </c>
    </row>
    <row r="10" spans="2:7" x14ac:dyDescent="0.35">
      <c r="B10" s="24" t="s">
        <v>48</v>
      </c>
      <c r="C10" s="22">
        <f>6*12</f>
        <v>72</v>
      </c>
    </row>
    <row r="11" spans="2:7" x14ac:dyDescent="0.35">
      <c r="B11" s="25" t="s">
        <v>52</v>
      </c>
      <c r="C11" s="22">
        <f>C8+C7+C6</f>
        <v>4750</v>
      </c>
    </row>
    <row r="12" spans="2:7" x14ac:dyDescent="0.35">
      <c r="B12" s="24" t="s">
        <v>53</v>
      </c>
      <c r="C12" s="22">
        <f>C7/C11</f>
        <v>0.31578947368421051</v>
      </c>
    </row>
    <row r="14" spans="2:7" x14ac:dyDescent="0.35">
      <c r="B14" s="24"/>
      <c r="C14" s="22"/>
    </row>
    <row r="15" spans="2:7" ht="29" x14ac:dyDescent="0.35">
      <c r="B15" s="21" t="s">
        <v>54</v>
      </c>
      <c r="C15" s="20" t="s">
        <v>49</v>
      </c>
      <c r="D15" s="20" t="s">
        <v>8</v>
      </c>
      <c r="E15" s="20" t="s">
        <v>50</v>
      </c>
      <c r="F15" s="20" t="s">
        <v>6</v>
      </c>
      <c r="G15" s="20" t="s">
        <v>51</v>
      </c>
    </row>
    <row r="16" spans="2:7" x14ac:dyDescent="0.35">
      <c r="B16" s="23">
        <v>1000</v>
      </c>
      <c r="C16" s="20">
        <f t="shared" ref="C16:C25" si="0">SQRT((2*$C$10*$C$11)/(B16*$C$12))</f>
        <v>46.540305112880382</v>
      </c>
      <c r="D16" s="20">
        <f>72/C16</f>
        <v>1.5470461533367441</v>
      </c>
      <c r="E16" s="20">
        <f t="shared" ref="E16:E25" si="1">$C$10*$C$11/C16</f>
        <v>7348.4692283495342</v>
      </c>
      <c r="F16" s="20">
        <f t="shared" ref="F16:F25" si="2">(C16*B16*$C$12)/2</f>
        <v>7348.4692283495342</v>
      </c>
      <c r="G16" s="20">
        <f>SUM(E16:F16)</f>
        <v>14696.938456699068</v>
      </c>
    </row>
    <row r="17" spans="2:7" x14ac:dyDescent="0.35">
      <c r="B17" s="23">
        <v>1200</v>
      </c>
      <c r="C17" s="20">
        <f t="shared" si="0"/>
        <v>42.48529157249601</v>
      </c>
      <c r="D17" s="20">
        <f t="shared" ref="D17:D25" si="3">72/C17</f>
        <v>1.6947041513682615</v>
      </c>
      <c r="E17" s="20">
        <f t="shared" si="1"/>
        <v>8049.8447189992421</v>
      </c>
      <c r="F17" s="20">
        <f t="shared" si="2"/>
        <v>8049.844718999243</v>
      </c>
      <c r="G17" s="20">
        <f t="shared" ref="G17:G25" si="4">SUM(E17:F17)</f>
        <v>16099.689437998484</v>
      </c>
    </row>
    <row r="18" spans="2:7" x14ac:dyDescent="0.35">
      <c r="B18" s="23">
        <v>1300</v>
      </c>
      <c r="C18" s="20">
        <f t="shared" si="0"/>
        <v>40.81854782024768</v>
      </c>
      <c r="D18" s="20">
        <f t="shared" si="3"/>
        <v>1.7639040055287081</v>
      </c>
      <c r="E18" s="20">
        <f t="shared" si="1"/>
        <v>8378.5440262613629</v>
      </c>
      <c r="F18" s="20">
        <f t="shared" si="2"/>
        <v>8378.5440262613647</v>
      </c>
      <c r="G18" s="20">
        <f t="shared" si="4"/>
        <v>16757.088052522726</v>
      </c>
    </row>
    <row r="19" spans="2:7" x14ac:dyDescent="0.35">
      <c r="B19" s="23">
        <v>1400</v>
      </c>
      <c r="C19" s="20">
        <f t="shared" si="0"/>
        <v>39.333736882514188</v>
      </c>
      <c r="D19" s="20">
        <f t="shared" si="3"/>
        <v>1.8304896942555082</v>
      </c>
      <c r="E19" s="20">
        <f t="shared" si="1"/>
        <v>8694.8260477136628</v>
      </c>
      <c r="F19" s="20">
        <f t="shared" si="2"/>
        <v>8694.8260477136628</v>
      </c>
      <c r="G19" s="20">
        <f t="shared" si="4"/>
        <v>17389.652095427326</v>
      </c>
    </row>
    <row r="20" spans="2:7" x14ac:dyDescent="0.35">
      <c r="B20" s="23">
        <v>1500</v>
      </c>
      <c r="C20" s="20">
        <f t="shared" si="0"/>
        <v>38</v>
      </c>
      <c r="D20" s="20">
        <f t="shared" si="3"/>
        <v>1.8947368421052631</v>
      </c>
      <c r="E20" s="20">
        <f t="shared" si="1"/>
        <v>9000</v>
      </c>
      <c r="F20" s="20">
        <f t="shared" si="2"/>
        <v>9000</v>
      </c>
      <c r="G20" s="20">
        <f t="shared" si="4"/>
        <v>18000</v>
      </c>
    </row>
    <row r="21" spans="2:7" x14ac:dyDescent="0.35">
      <c r="B21" s="23">
        <v>1600</v>
      </c>
      <c r="C21" s="20">
        <f t="shared" si="0"/>
        <v>36.793341788970459</v>
      </c>
      <c r="D21" s="20">
        <f t="shared" si="3"/>
        <v>1.9568757959784844</v>
      </c>
      <c r="E21" s="20">
        <f t="shared" si="1"/>
        <v>9295.1600308978013</v>
      </c>
      <c r="F21" s="20">
        <f t="shared" si="2"/>
        <v>9295.1600308977995</v>
      </c>
      <c r="G21" s="20">
        <f t="shared" si="4"/>
        <v>18590.320061795603</v>
      </c>
    </row>
    <row r="22" spans="2:7" x14ac:dyDescent="0.35">
      <c r="B22" s="23">
        <v>1700</v>
      </c>
      <c r="C22" s="20">
        <f t="shared" si="0"/>
        <v>35.694784591853519</v>
      </c>
      <c r="D22" s="20">
        <f t="shared" si="3"/>
        <v>2.0171014007584818</v>
      </c>
      <c r="E22" s="20">
        <f t="shared" si="1"/>
        <v>9581.2316536027884</v>
      </c>
      <c r="F22" s="20">
        <f t="shared" si="2"/>
        <v>9581.2316536027865</v>
      </c>
      <c r="G22" s="20">
        <f t="shared" si="4"/>
        <v>19162.463307205573</v>
      </c>
    </row>
    <row r="23" spans="2:7" x14ac:dyDescent="0.35">
      <c r="B23" s="23">
        <v>1800</v>
      </c>
      <c r="C23" s="20">
        <f t="shared" si="0"/>
        <v>34.689095308660519</v>
      </c>
      <c r="D23" s="20">
        <f t="shared" si="3"/>
        <v>2.0755802179143137</v>
      </c>
      <c r="E23" s="20">
        <f t="shared" si="1"/>
        <v>9859.0060350929907</v>
      </c>
      <c r="F23" s="20">
        <f t="shared" si="2"/>
        <v>9859.0060350929889</v>
      </c>
      <c r="G23" s="20">
        <f t="shared" si="4"/>
        <v>19718.012070185978</v>
      </c>
    </row>
    <row r="24" spans="2:7" x14ac:dyDescent="0.35">
      <c r="B24" s="23">
        <v>1900</v>
      </c>
      <c r="C24" s="20">
        <f t="shared" si="0"/>
        <v>33.763886032268267</v>
      </c>
      <c r="D24" s="20">
        <f t="shared" si="3"/>
        <v>2.1324559599327322</v>
      </c>
      <c r="E24" s="20">
        <f t="shared" si="1"/>
        <v>10129.165809680479</v>
      </c>
      <c r="F24" s="20">
        <f t="shared" si="2"/>
        <v>10129.165809680479</v>
      </c>
      <c r="G24" s="20">
        <f t="shared" si="4"/>
        <v>20258.331619360957</v>
      </c>
    </row>
    <row r="25" spans="2:7" x14ac:dyDescent="0.35">
      <c r="B25" s="23">
        <v>2000</v>
      </c>
      <c r="C25" s="20">
        <f t="shared" si="0"/>
        <v>32.908965343808667</v>
      </c>
      <c r="D25" s="20">
        <f t="shared" si="3"/>
        <v>2.1878536516659506</v>
      </c>
      <c r="E25" s="20">
        <f t="shared" si="1"/>
        <v>10392.304845413264</v>
      </c>
      <c r="F25" s="20">
        <f t="shared" si="2"/>
        <v>10392.304845413262</v>
      </c>
      <c r="G25" s="20">
        <f t="shared" si="4"/>
        <v>20784.609690826524</v>
      </c>
    </row>
  </sheetData>
  <mergeCells count="1">
    <mergeCell ref="B3:C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906A0-63C4-42B3-A6D4-EF7725DE03BF}">
  <dimension ref="B2:O27"/>
  <sheetViews>
    <sheetView workbookViewId="0">
      <selection activeCell="E11" sqref="E11"/>
    </sheetView>
  </sheetViews>
  <sheetFormatPr defaultRowHeight="14.5" x14ac:dyDescent="0.35"/>
  <cols>
    <col min="2" max="2" width="31.7265625" customWidth="1"/>
    <col min="3" max="3" width="17.54296875" customWidth="1"/>
    <col min="4" max="5" width="19.26953125" customWidth="1"/>
    <col min="6" max="6" width="15.1796875" customWidth="1"/>
    <col min="7" max="7" width="16.1796875" customWidth="1"/>
    <col min="8" max="8" width="12.7265625" customWidth="1"/>
    <col min="9" max="9" width="12.453125" customWidth="1"/>
    <col min="10" max="10" width="12.54296875" customWidth="1"/>
    <col min="11" max="11" width="14" customWidth="1"/>
    <col min="12" max="12" width="12.54296875" customWidth="1"/>
  </cols>
  <sheetData>
    <row r="2" spans="2:15" ht="21.75" customHeight="1" x14ac:dyDescent="0.35">
      <c r="B2" s="43" t="s">
        <v>67</v>
      </c>
      <c r="C2" s="43"/>
      <c r="D2" s="43"/>
      <c r="E2" s="43"/>
      <c r="F2" s="43"/>
      <c r="G2" s="43"/>
      <c r="H2" s="43"/>
      <c r="I2" s="43"/>
      <c r="J2" s="43"/>
      <c r="K2" s="43"/>
      <c r="L2" s="43"/>
      <c r="M2" s="43"/>
      <c r="N2" s="43"/>
      <c r="O2" s="43"/>
    </row>
    <row r="3" spans="2:15" ht="38.25" customHeight="1" x14ac:dyDescent="0.35">
      <c r="B3" s="29"/>
      <c r="C3" s="29"/>
      <c r="D3" s="29"/>
      <c r="E3" s="29"/>
      <c r="F3" s="29"/>
      <c r="G3" s="29"/>
      <c r="H3" s="29"/>
      <c r="I3" s="29"/>
      <c r="J3" s="29"/>
      <c r="K3" s="29"/>
      <c r="L3" s="29"/>
      <c r="M3" s="29"/>
      <c r="N3" s="29"/>
      <c r="O3" s="29"/>
    </row>
    <row r="4" spans="2:15" ht="38.25" customHeight="1" x14ac:dyDescent="0.35">
      <c r="B4" s="29"/>
      <c r="C4" s="29"/>
      <c r="D4" s="29"/>
      <c r="E4" s="29"/>
      <c r="F4" s="29"/>
      <c r="G4" s="29"/>
      <c r="H4" s="29"/>
      <c r="I4" s="29"/>
      <c r="J4" s="29"/>
      <c r="K4" s="29"/>
      <c r="L4" s="29"/>
      <c r="M4" s="29"/>
      <c r="N4" s="29"/>
      <c r="O4" s="29"/>
    </row>
    <row r="5" spans="2:15" ht="38.25" customHeight="1" x14ac:dyDescent="0.35">
      <c r="B5" s="29"/>
      <c r="C5" s="29"/>
      <c r="D5" s="29"/>
      <c r="E5" s="29"/>
      <c r="F5" s="29"/>
      <c r="G5" s="29"/>
      <c r="H5" s="29"/>
      <c r="I5" s="29"/>
      <c r="J5" s="29"/>
      <c r="K5" s="29"/>
      <c r="L5" s="29"/>
      <c r="M5" s="29"/>
      <c r="N5" s="29"/>
      <c r="O5" s="29"/>
    </row>
    <row r="6" spans="2:15" ht="38.25" customHeight="1" x14ac:dyDescent="0.35">
      <c r="B6" s="29"/>
      <c r="C6" s="29"/>
      <c r="D6" s="29"/>
      <c r="E6" s="29"/>
      <c r="F6" s="29"/>
      <c r="G6" s="29"/>
      <c r="H6" s="29"/>
      <c r="I6" s="29"/>
      <c r="J6" s="29"/>
      <c r="K6" s="29"/>
      <c r="L6" s="29"/>
      <c r="M6" s="29"/>
      <c r="N6" s="29"/>
      <c r="O6" s="29"/>
    </row>
    <row r="7" spans="2:15" ht="38.25" customHeight="1" x14ac:dyDescent="0.35">
      <c r="B7" s="29"/>
      <c r="C7" s="29"/>
      <c r="D7" s="29"/>
      <c r="E7" s="29"/>
      <c r="F7" s="29"/>
      <c r="G7" s="29"/>
      <c r="H7" s="29"/>
      <c r="I7" s="29"/>
      <c r="J7" s="29"/>
      <c r="K7" s="29"/>
      <c r="L7" s="29"/>
      <c r="M7" s="29"/>
      <c r="N7" s="29"/>
      <c r="O7" s="29"/>
    </row>
    <row r="8" spans="2:15" ht="15" customHeight="1" x14ac:dyDescent="0.35">
      <c r="B8" s="29"/>
      <c r="C8" s="29"/>
      <c r="D8" s="29"/>
      <c r="E8" s="29"/>
      <c r="F8" s="29"/>
      <c r="G8" s="29"/>
      <c r="H8" s="29"/>
      <c r="I8" s="29"/>
      <c r="J8" s="29"/>
      <c r="K8" s="29"/>
      <c r="L8" s="29"/>
      <c r="M8" s="29"/>
      <c r="N8" s="29"/>
      <c r="O8" s="29"/>
    </row>
    <row r="9" spans="2:15" ht="21" customHeight="1" x14ac:dyDescent="0.35">
      <c r="B9" s="44" t="s">
        <v>68</v>
      </c>
      <c r="C9" s="44"/>
      <c r="D9" s="44"/>
      <c r="E9" s="44"/>
      <c r="F9" s="29"/>
      <c r="G9" s="29"/>
      <c r="H9" s="29"/>
      <c r="I9" s="29"/>
      <c r="J9" s="29"/>
      <c r="K9" s="29"/>
      <c r="L9" s="29"/>
      <c r="M9" s="29"/>
      <c r="N9" s="29"/>
      <c r="O9" s="29"/>
    </row>
    <row r="10" spans="2:15" x14ac:dyDescent="0.35">
      <c r="B10" s="41" t="s">
        <v>47</v>
      </c>
      <c r="C10" s="42"/>
    </row>
    <row r="11" spans="2:15" x14ac:dyDescent="0.35">
      <c r="B11" s="20" t="s">
        <v>10</v>
      </c>
      <c r="C11" s="20" t="s">
        <v>11</v>
      </c>
    </row>
    <row r="12" spans="2:15" x14ac:dyDescent="0.35">
      <c r="B12" s="8" t="s">
        <v>24</v>
      </c>
      <c r="C12" s="1" t="s">
        <v>22</v>
      </c>
    </row>
    <row r="13" spans="2:15" x14ac:dyDescent="0.35">
      <c r="B13" s="20" t="s">
        <v>0</v>
      </c>
      <c r="C13" s="3">
        <v>3000</v>
      </c>
    </row>
    <row r="14" spans="2:15" x14ac:dyDescent="0.35">
      <c r="B14" s="20" t="s">
        <v>1</v>
      </c>
      <c r="C14" s="3">
        <v>1500</v>
      </c>
    </row>
    <row r="15" spans="2:15" x14ac:dyDescent="0.35">
      <c r="B15" s="20" t="s">
        <v>2</v>
      </c>
      <c r="C15" s="3">
        <v>250</v>
      </c>
    </row>
    <row r="16" spans="2:15" x14ac:dyDescent="0.35">
      <c r="B16" s="20" t="s">
        <v>3</v>
      </c>
      <c r="C16" s="3">
        <v>1600</v>
      </c>
    </row>
    <row r="17" spans="2:13" x14ac:dyDescent="0.35">
      <c r="B17" s="11"/>
      <c r="C17" s="11"/>
    </row>
    <row r="18" spans="2:13" x14ac:dyDescent="0.35">
      <c r="B18" s="24" t="s">
        <v>48</v>
      </c>
      <c r="C18" s="26">
        <f>6*12</f>
        <v>72</v>
      </c>
    </row>
    <row r="19" spans="2:13" x14ac:dyDescent="0.35">
      <c r="B19" s="25" t="s">
        <v>52</v>
      </c>
      <c r="C19" s="26">
        <f>C15+C14+C13</f>
        <v>4750</v>
      </c>
    </row>
    <row r="20" spans="2:13" x14ac:dyDescent="0.35">
      <c r="B20" s="25" t="s">
        <v>66</v>
      </c>
      <c r="C20" s="26">
        <v>1600</v>
      </c>
    </row>
    <row r="21" spans="2:13" x14ac:dyDescent="0.35">
      <c r="B21" s="24" t="s">
        <v>53</v>
      </c>
      <c r="C21" s="22">
        <f>C14/C19</f>
        <v>0.31578947368421051</v>
      </c>
    </row>
    <row r="22" spans="2:13" ht="13.5" customHeight="1" x14ac:dyDescent="0.35"/>
    <row r="23" spans="2:13" ht="29" x14ac:dyDescent="0.35">
      <c r="B23" s="2" t="s">
        <v>55</v>
      </c>
      <c r="C23" s="2" t="s">
        <v>56</v>
      </c>
      <c r="D23" s="2" t="s">
        <v>57</v>
      </c>
      <c r="E23" s="2" t="s">
        <v>58</v>
      </c>
      <c r="F23" s="2" t="s">
        <v>59</v>
      </c>
      <c r="G23" s="2" t="s">
        <v>60</v>
      </c>
      <c r="H23" s="2" t="s">
        <v>61</v>
      </c>
      <c r="I23" s="2" t="s">
        <v>62</v>
      </c>
      <c r="J23" s="2" t="s">
        <v>63</v>
      </c>
      <c r="K23" s="2" t="s">
        <v>64</v>
      </c>
      <c r="L23" s="2" t="s">
        <v>65</v>
      </c>
      <c r="M23" s="27"/>
    </row>
    <row r="24" spans="2:13" ht="29" x14ac:dyDescent="0.35">
      <c r="B24" s="2">
        <v>1</v>
      </c>
      <c r="C24" s="2">
        <v>500</v>
      </c>
      <c r="D24" s="2">
        <f>SQRT(((2*$C$18*$C$19)/($C$20*$C$21))*((C24+$C$20*$C$21)/C24))</f>
        <v>52.170393903055782</v>
      </c>
      <c r="E24" s="2">
        <f>SQRT(((2*$C$18*$C$19)/($C$20*$C$21))*(C24/(C24+($C$20*$C$21))))</f>
        <v>25.948625239739787</v>
      </c>
      <c r="F24" s="2">
        <f>D24-E24</f>
        <v>26.221768663315995</v>
      </c>
      <c r="G24" s="2">
        <f>$C$18/D24</f>
        <v>1.3800930875429471</v>
      </c>
      <c r="H24" s="2">
        <f>D24/$C$18</f>
        <v>0.72458880420910809</v>
      </c>
      <c r="I24" s="2">
        <f>($C$18*$C$19)/D24</f>
        <v>6555.4421658289994</v>
      </c>
      <c r="J24" s="30">
        <f>(($C$20*$C$21*(E24^2))/(2*D24))</f>
        <v>3260.5602395484548</v>
      </c>
      <c r="K24" s="2">
        <f>((C24*(F24^2))/(2*D24))</f>
        <v>3294.8819262805437</v>
      </c>
      <c r="L24" s="31" t="str">
        <f>TRIM(I24+J24+K24)</f>
        <v>13110.884331658</v>
      </c>
      <c r="M24" s="27"/>
    </row>
    <row r="25" spans="2:13" ht="29" x14ac:dyDescent="0.35">
      <c r="B25" s="2">
        <v>2</v>
      </c>
      <c r="C25" s="2">
        <v>1000</v>
      </c>
      <c r="D25" s="2">
        <f t="shared" ref="D25:D27" si="0">SQRT(((2*$C$18*$C$19)/($C$20*$C$21))*((C25+$C$20*$C$21)/C25))</f>
        <v>45.141444372106662</v>
      </c>
      <c r="E25" s="2">
        <f t="shared" ref="E25:E27" si="1">SQRT(((2*$C$18*$C$19)/($C$20*$C$21))*(C25/(C25+($C$20*$C$21))))</f>
        <v>29.989071436014914</v>
      </c>
      <c r="F25" s="2">
        <f t="shared" ref="F25:F27" si="2">D25-E25</f>
        <v>15.152372936091748</v>
      </c>
      <c r="G25" s="2">
        <f t="shared" ref="G25:G27" si="3">$C$18/D25</f>
        <v>1.5949866248517626</v>
      </c>
      <c r="H25" s="2">
        <f t="shared" ref="H25:H27" si="4">D25/$C$18</f>
        <v>0.62696450516814806</v>
      </c>
      <c r="I25" s="2">
        <f t="shared" ref="I25:I27" si="5">($C$18*$C$19)/D25</f>
        <v>7576.186468045873</v>
      </c>
      <c r="J25" s="28">
        <f t="shared" ref="J25:J27" si="6">(($C$20*$C$21*(E25^2))/(2*D25))</f>
        <v>5033.1308703801251</v>
      </c>
      <c r="K25" s="2">
        <f t="shared" ref="K25:K27" si="7">((C25*(F25^2))/(2*D25))</f>
        <v>2543.0555976657483</v>
      </c>
      <c r="L25" s="28" t="str">
        <f t="shared" ref="L25:L27" si="8">TRIM(I25+J25+K25)</f>
        <v>15152.3729360917</v>
      </c>
      <c r="M25" s="27"/>
    </row>
    <row r="26" spans="2:13" ht="29" x14ac:dyDescent="0.35">
      <c r="B26" s="2">
        <v>3</v>
      </c>
      <c r="C26" s="2">
        <v>1500</v>
      </c>
      <c r="D26" s="2">
        <f t="shared" si="0"/>
        <v>42.541156542811571</v>
      </c>
      <c r="E26" s="2">
        <f t="shared" si="1"/>
        <v>31.822124972969288</v>
      </c>
      <c r="F26" s="2">
        <f t="shared" si="2"/>
        <v>10.719031569842283</v>
      </c>
      <c r="G26" s="2">
        <f t="shared" si="3"/>
        <v>1.6924786689224665</v>
      </c>
      <c r="H26" s="2">
        <f t="shared" si="4"/>
        <v>0.59084939642793843</v>
      </c>
      <c r="I26" s="2">
        <f t="shared" si="5"/>
        <v>8039.2736773817151</v>
      </c>
      <c r="J26" s="28">
        <f t="shared" si="6"/>
        <v>6013.6299161516772</v>
      </c>
      <c r="K26" s="2">
        <f t="shared" si="7"/>
        <v>2025.6437612300374</v>
      </c>
      <c r="L26" s="28" t="str">
        <f t="shared" si="8"/>
        <v>16078.5473547634</v>
      </c>
      <c r="M26" s="27"/>
    </row>
    <row r="27" spans="2:13" ht="29" x14ac:dyDescent="0.35">
      <c r="B27" s="2">
        <v>4</v>
      </c>
      <c r="C27" s="2">
        <v>2000</v>
      </c>
      <c r="D27" s="2">
        <f t="shared" si="0"/>
        <v>41.179485183765955</v>
      </c>
      <c r="E27" s="2">
        <f t="shared" si="1"/>
        <v>32.874378928216522</v>
      </c>
      <c r="F27" s="2">
        <f t="shared" si="2"/>
        <v>8.3051062555494326</v>
      </c>
      <c r="G27" s="2">
        <f t="shared" si="3"/>
        <v>1.7484434222209342</v>
      </c>
      <c r="H27" s="2">
        <f t="shared" si="4"/>
        <v>0.57193729421897155</v>
      </c>
      <c r="I27" s="2">
        <f t="shared" si="5"/>
        <v>8305.1062555494373</v>
      </c>
      <c r="J27" s="28">
        <f t="shared" si="6"/>
        <v>6630.1268426655188</v>
      </c>
      <c r="K27" s="2">
        <f t="shared" si="7"/>
        <v>1674.9794128839183</v>
      </c>
      <c r="L27" s="28" t="str">
        <f t="shared" si="8"/>
        <v>16610.2125110989</v>
      </c>
      <c r="M27" s="27"/>
    </row>
  </sheetData>
  <mergeCells count="3">
    <mergeCell ref="B10:C10"/>
    <mergeCell ref="B2:O2"/>
    <mergeCell ref="B9:E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Cover_page</vt:lpstr>
      <vt:lpstr>Q1</vt:lpstr>
      <vt:lpstr>Q2</vt:lpstr>
      <vt:lpstr>Q3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Tran</dc:creator>
  <cp:lastModifiedBy>Jason Siu</cp:lastModifiedBy>
  <dcterms:created xsi:type="dcterms:W3CDTF">2022-10-10T06:01:27Z</dcterms:created>
  <dcterms:modified xsi:type="dcterms:W3CDTF">2022-10-12T08:16:41Z</dcterms:modified>
</cp:coreProperties>
</file>