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jsa3\Documents\GitHub\FIT3158---Assignment\"/>
    </mc:Choice>
  </mc:AlternateContent>
  <xr:revisionPtr revIDLastSave="0" documentId="13_ncr:1_{1860DFE3-C21C-48D9-8F1D-F543301E349B}" xr6:coauthVersionLast="47" xr6:coauthVersionMax="47" xr10:uidLastSave="{00000000-0000-0000-0000-000000000000}"/>
  <bookViews>
    <workbookView xWindow="19090" yWindow="-110" windowWidth="19420" windowHeight="11020" activeTab="4" xr2:uid="{8D9ADBB6-687D-48AA-9185-DF95C9F242E3}"/>
  </bookViews>
  <sheets>
    <sheet name="Sheet1" sheetId="1" r:id="rId1"/>
    <sheet name="Sheet1 (2)" sheetId="2" r:id="rId2"/>
    <sheet name="Cover_page" sheetId="4" r:id="rId3"/>
    <sheet name="Case II Model" sheetId="3" r:id="rId4"/>
    <sheet name="Case II Report Solution Summary" sheetId="5" r:id="rId5"/>
  </sheets>
  <definedNames>
    <definedName name="solver_adj" localSheetId="3" hidden="1">'Case II Model'!$A$6:$A$29</definedName>
    <definedName name="solver_adj" localSheetId="0" hidden="1">Sheet1!$A$6:$A$25</definedName>
    <definedName name="solver_adj" localSheetId="1" hidden="1">'Sheet1 (2)'!$A$6:$A$21</definedName>
    <definedName name="solver_cvg" localSheetId="3" hidden="1">0.0001</definedName>
    <definedName name="solver_cvg" localSheetId="0" hidden="1">0.0001</definedName>
    <definedName name="solver_cvg" localSheetId="1" hidden="1">0.0001</definedName>
    <definedName name="solver_drv" localSheetId="3" hidden="1">2</definedName>
    <definedName name="solver_drv" localSheetId="0" hidden="1">2</definedName>
    <definedName name="solver_drv" localSheetId="1" hidden="1">1</definedName>
    <definedName name="solver_eng" localSheetId="3" hidden="1">1</definedName>
    <definedName name="solver_eng" localSheetId="0" hidden="1">2</definedName>
    <definedName name="solver_eng" localSheetId="1" hidden="1">2</definedName>
    <definedName name="solver_est" localSheetId="3" hidden="1">1</definedName>
    <definedName name="solver_est" localSheetId="0" hidden="1">1</definedName>
    <definedName name="solver_est" localSheetId="1" hidden="1">1</definedName>
    <definedName name="solver_itr" localSheetId="3" hidden="1">2147483647</definedName>
    <definedName name="solver_itr" localSheetId="0" hidden="1">2147483647</definedName>
    <definedName name="solver_itr" localSheetId="1" hidden="1">2147483647</definedName>
    <definedName name="solver_lhs1" localSheetId="3" hidden="1">'Case II Model'!$A$6:$A$29</definedName>
    <definedName name="solver_lhs1" localSheetId="0" hidden="1">Sheet1!$A$6</definedName>
    <definedName name="solver_lhs1" localSheetId="1" hidden="1">'Sheet1 (2)'!$L$12:$L$17</definedName>
    <definedName name="solver_lhs10" localSheetId="0" hidden="1">Sheet1!$L$8:$L$11</definedName>
    <definedName name="solver_lhs10" localSheetId="1" hidden="1">'Sheet1 (2)'!$L$8:$L$11</definedName>
    <definedName name="solver_lhs2" localSheetId="3" hidden="1">'Case II Model'!$A$6:$A$29</definedName>
    <definedName name="solver_lhs2" localSheetId="0" hidden="1">Sheet1!$A$7</definedName>
    <definedName name="solver_lhs2" localSheetId="1" hidden="1">'Sheet1 (2)'!$L$6</definedName>
    <definedName name="solver_lhs3" localSheetId="3" hidden="1">'Case II Model'!$L$12:$L$15</definedName>
    <definedName name="solver_lhs3" localSheetId="0" hidden="1">Sheet1!$A$8</definedName>
    <definedName name="solver_lhs3" localSheetId="1" hidden="1">'Sheet1 (2)'!$L$6:$L$11</definedName>
    <definedName name="solver_lhs4" localSheetId="3" hidden="1">'Case II Model'!$L$16:$L$21</definedName>
    <definedName name="solver_lhs4" localSheetId="0" hidden="1">Sheet1!$A$9</definedName>
    <definedName name="solver_lhs4" localSheetId="1" hidden="1">'Sheet1 (2)'!$L$7</definedName>
    <definedName name="solver_lhs5" localSheetId="3" hidden="1">'Case II Model'!$L$6:$L$11</definedName>
    <definedName name="solver_lhs5" localSheetId="0" hidden="1">Sheet1!$L$12:$L$17</definedName>
    <definedName name="solver_lhs5" localSheetId="1" hidden="1">'Sheet1 (2)'!$L$12:$L$17</definedName>
    <definedName name="solver_lhs6" localSheetId="0" hidden="1">Sheet1!$L$6:$L$11</definedName>
    <definedName name="solver_lhs6" localSheetId="1" hidden="1">'Sheet1 (2)'!$L$6:$L$11</definedName>
    <definedName name="solver_lhs7" localSheetId="0" hidden="1">Sheet1!$L$8:$L$11</definedName>
    <definedName name="solver_lhs7" localSheetId="1" hidden="1">'Sheet1 (2)'!$L$8:$L$11</definedName>
    <definedName name="solver_lhs8" localSheetId="0" hidden="1">Sheet1!$L$6:$L$7</definedName>
    <definedName name="solver_lhs8" localSheetId="1" hidden="1">'Sheet1 (2)'!$L$6:$L$7</definedName>
    <definedName name="solver_lhs9" localSheetId="0" hidden="1">Sheet1!$L$8:$L$11</definedName>
    <definedName name="solver_lhs9" localSheetId="1" hidden="1">'Sheet1 (2)'!$L$8:$L$11</definedName>
    <definedName name="solver_mip" localSheetId="3" hidden="1">2147483647</definedName>
    <definedName name="solver_mip" localSheetId="0" hidden="1">2147483647</definedName>
    <definedName name="solver_mip" localSheetId="1" hidden="1">2147483647</definedName>
    <definedName name="solver_mni" localSheetId="3" hidden="1">30</definedName>
    <definedName name="solver_mni" localSheetId="0" hidden="1">30</definedName>
    <definedName name="solver_mni" localSheetId="1" hidden="1">30</definedName>
    <definedName name="solver_mrt" localSheetId="3" hidden="1">0.075</definedName>
    <definedName name="solver_mrt" localSheetId="0" hidden="1">0.075</definedName>
    <definedName name="solver_mrt" localSheetId="1" hidden="1">0.075</definedName>
    <definedName name="solver_msl" localSheetId="3" hidden="1">2</definedName>
    <definedName name="solver_msl" localSheetId="0" hidden="1">2</definedName>
    <definedName name="solver_msl" localSheetId="1" hidden="1">2</definedName>
    <definedName name="solver_neg" localSheetId="3" hidden="1">1</definedName>
    <definedName name="solver_neg" localSheetId="0" hidden="1">1</definedName>
    <definedName name="solver_neg" localSheetId="1" hidden="1">1</definedName>
    <definedName name="solver_nod" localSheetId="3" hidden="1">2147483647</definedName>
    <definedName name="solver_nod" localSheetId="0" hidden="1">2147483647</definedName>
    <definedName name="solver_nod" localSheetId="1" hidden="1">2147483647</definedName>
    <definedName name="solver_num" localSheetId="3" hidden="1">5</definedName>
    <definedName name="solver_num" localSheetId="0" hidden="1">6</definedName>
    <definedName name="solver_num" localSheetId="1" hidden="1">4</definedName>
    <definedName name="solver_nwt" localSheetId="3" hidden="1">1</definedName>
    <definedName name="solver_nwt" localSheetId="0" hidden="1">1</definedName>
    <definedName name="solver_nwt" localSheetId="1" hidden="1">1</definedName>
    <definedName name="solver_opt" localSheetId="3" hidden="1">'Case II Model'!$I$32</definedName>
    <definedName name="solver_opt" localSheetId="0" hidden="1">Sheet1!$H$27</definedName>
    <definedName name="solver_opt" localSheetId="1" hidden="1">'Sheet1 (2)'!$L$6</definedName>
    <definedName name="solver_pre" localSheetId="3" hidden="1">0.000001</definedName>
    <definedName name="solver_pre" localSheetId="0" hidden="1">0.000001</definedName>
    <definedName name="solver_pre" localSheetId="1" hidden="1">0.000001</definedName>
    <definedName name="solver_rbv" localSheetId="3" hidden="1">2</definedName>
    <definedName name="solver_rbv" localSheetId="0" hidden="1">2</definedName>
    <definedName name="solver_rbv" localSheetId="1" hidden="1">1</definedName>
    <definedName name="solver_rel1" localSheetId="3" hidden="1">1</definedName>
    <definedName name="solver_rel1" localSheetId="0" hidden="1">1</definedName>
    <definedName name="solver_rel1" localSheetId="1" hidden="1">1</definedName>
    <definedName name="solver_rel10" localSheetId="0" hidden="1">3</definedName>
    <definedName name="solver_rel10" localSheetId="1" hidden="1">3</definedName>
    <definedName name="solver_rel2" localSheetId="3" hidden="1">3</definedName>
    <definedName name="solver_rel2" localSheetId="0" hidden="1">1</definedName>
    <definedName name="solver_rel2" localSheetId="1" hidden="1">2</definedName>
    <definedName name="solver_rel3" localSheetId="3" hidden="1">1</definedName>
    <definedName name="solver_rel3" localSheetId="0" hidden="1">1</definedName>
    <definedName name="solver_rel3" localSheetId="1" hidden="1">3</definedName>
    <definedName name="solver_rel4" localSheetId="3" hidden="1">1</definedName>
    <definedName name="solver_rel4" localSheetId="0" hidden="1">1</definedName>
    <definedName name="solver_rel4" localSheetId="1" hidden="1">2</definedName>
    <definedName name="solver_rel5" localSheetId="3" hidden="1">3</definedName>
    <definedName name="solver_rel5" localSheetId="0" hidden="1">1</definedName>
    <definedName name="solver_rel5" localSheetId="1" hidden="1">1</definedName>
    <definedName name="solver_rel6" localSheetId="0" hidden="1">3</definedName>
    <definedName name="solver_rel6" localSheetId="1" hidden="1">3</definedName>
    <definedName name="solver_rel7" localSheetId="0" hidden="1">3</definedName>
    <definedName name="solver_rel7" localSheetId="1" hidden="1">3</definedName>
    <definedName name="solver_rel8" localSheetId="0" hidden="1">1</definedName>
    <definedName name="solver_rel8" localSheetId="1" hidden="1">1</definedName>
    <definedName name="solver_rel9" localSheetId="0" hidden="1">3</definedName>
    <definedName name="solver_rel9" localSheetId="1" hidden="1">3</definedName>
    <definedName name="solver_rhs1" localSheetId="3" hidden="1">'Case II Model'!$G$6:$G$29</definedName>
    <definedName name="solver_rhs1" localSheetId="0" hidden="1">3000</definedName>
    <definedName name="solver_rhs1" localSheetId="1" hidden="1">'Sheet1 (2)'!$M$12:$M$17</definedName>
    <definedName name="solver_rhs10" localSheetId="0" hidden="1">Sheet1!$M$8:$M$11</definedName>
    <definedName name="solver_rhs10" localSheetId="1" hidden="1">'Sheet1 (2)'!$M$8:$M$11</definedName>
    <definedName name="solver_rhs2" localSheetId="3" hidden="1">'Case II Model'!$F$6:$F$29</definedName>
    <definedName name="solver_rhs2" localSheetId="0" hidden="1">4000</definedName>
    <definedName name="solver_rhs2" localSheetId="1" hidden="1">'Sheet1 (2)'!$M$6</definedName>
    <definedName name="solver_rhs3" localSheetId="3" hidden="1">'Case II Model'!$M$12:$M$15</definedName>
    <definedName name="solver_rhs3" localSheetId="0" hidden="1">3000</definedName>
    <definedName name="solver_rhs3" localSheetId="1" hidden="1">'Sheet1 (2)'!$M$6:$M$11</definedName>
    <definedName name="solver_rhs4" localSheetId="3" hidden="1">'Case II Model'!$M$16:$M$21</definedName>
    <definedName name="solver_rhs4" localSheetId="0" hidden="1">4000</definedName>
    <definedName name="solver_rhs4" localSheetId="1" hidden="1">'Sheet1 (2)'!$M$7</definedName>
    <definedName name="solver_rhs5" localSheetId="3" hidden="1">'Case II Model'!$M$6:$M$11</definedName>
    <definedName name="solver_rhs5" localSheetId="0" hidden="1">Sheet1!$M$12:$M$17</definedName>
    <definedName name="solver_rhs5" localSheetId="1" hidden="1">'Sheet1 (2)'!$M$12:$M$17</definedName>
    <definedName name="solver_rhs6" localSheetId="0" hidden="1">Sheet1!$M$6:$M$11</definedName>
    <definedName name="solver_rhs6" localSheetId="1" hidden="1">'Sheet1 (2)'!$M$6:$M$11</definedName>
    <definedName name="solver_rhs7" localSheetId="0" hidden="1">Sheet1!$M$8:$M$11</definedName>
    <definedName name="solver_rhs7" localSheetId="1" hidden="1">'Sheet1 (2)'!$M$8:$M$11</definedName>
    <definedName name="solver_rhs8" localSheetId="0" hidden="1">Sheet1!$M$6:$M$7</definedName>
    <definedName name="solver_rhs8" localSheetId="1" hidden="1">'Sheet1 (2)'!$M$6:$M$7</definedName>
    <definedName name="solver_rhs9" localSheetId="0" hidden="1">Sheet1!$M$8:$M$11</definedName>
    <definedName name="solver_rhs9" localSheetId="1" hidden="1">'Sheet1 (2)'!$M$8:$M$11</definedName>
    <definedName name="solver_rlx" localSheetId="3" hidden="1">2</definedName>
    <definedName name="solver_rlx" localSheetId="0" hidden="1">2</definedName>
    <definedName name="solver_rlx" localSheetId="1" hidden="1">2</definedName>
    <definedName name="solver_rsd" localSheetId="3" hidden="1">0</definedName>
    <definedName name="solver_rsd" localSheetId="0" hidden="1">0</definedName>
    <definedName name="solver_rsd" localSheetId="1" hidden="1">0</definedName>
    <definedName name="solver_scl" localSheetId="3" hidden="1">2</definedName>
    <definedName name="solver_scl" localSheetId="0" hidden="1">2</definedName>
    <definedName name="solver_scl" localSheetId="1" hidden="1">1</definedName>
    <definedName name="solver_sho" localSheetId="3" hidden="1">2</definedName>
    <definedName name="solver_sho" localSheetId="0" hidden="1">2</definedName>
    <definedName name="solver_sho" localSheetId="1" hidden="1">2</definedName>
    <definedName name="solver_ssz" localSheetId="3" hidden="1">100</definedName>
    <definedName name="solver_ssz" localSheetId="0" hidden="1">100</definedName>
    <definedName name="solver_ssz" localSheetId="1" hidden="1">100</definedName>
    <definedName name="solver_tim" localSheetId="3" hidden="1">2147483647</definedName>
    <definedName name="solver_tim" localSheetId="0" hidden="1">2147483647</definedName>
    <definedName name="solver_tim" localSheetId="1" hidden="1">2147483647</definedName>
    <definedName name="solver_tol" localSheetId="3" hidden="1">0.01</definedName>
    <definedName name="solver_tol" localSheetId="0" hidden="1">0.01</definedName>
    <definedName name="solver_tol" localSheetId="1" hidden="1">0.01</definedName>
    <definedName name="solver_typ" localSheetId="3" hidden="1">2</definedName>
    <definedName name="solver_typ" localSheetId="0" hidden="1">2</definedName>
    <definedName name="solver_typ" localSheetId="1" hidden="1">2</definedName>
    <definedName name="solver_val" localSheetId="3" hidden="1">0</definedName>
    <definedName name="solver_val" localSheetId="0" hidden="1">0</definedName>
    <definedName name="solver_val" localSheetId="1" hidden="1">0</definedName>
    <definedName name="solver_ver" localSheetId="3" hidden="1">3</definedName>
    <definedName name="solver_ver" localSheetId="0" hidden="1">3</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1" i="3" l="1"/>
  <c r="M20" i="3"/>
  <c r="M19" i="3"/>
  <c r="M18" i="3"/>
  <c r="M17" i="3"/>
  <c r="M16" i="3"/>
  <c r="M11" i="3"/>
  <c r="M10" i="3"/>
  <c r="M9" i="3"/>
  <c r="M8" i="3"/>
  <c r="M7" i="3"/>
  <c r="M6" i="3"/>
  <c r="L7" i="3"/>
  <c r="L8" i="3"/>
  <c r="L9" i="3"/>
  <c r="L10" i="3"/>
  <c r="L11" i="3"/>
  <c r="L12" i="3"/>
  <c r="L13" i="3"/>
  <c r="L14" i="3"/>
  <c r="L15" i="3"/>
  <c r="L16" i="3"/>
  <c r="L17" i="3"/>
  <c r="L18" i="3"/>
  <c r="L19" i="3"/>
  <c r="L20" i="3"/>
  <c r="L21" i="3"/>
  <c r="L6" i="3"/>
  <c r="L16" i="2"/>
  <c r="I32" i="3"/>
  <c r="H27" i="2"/>
  <c r="H29" i="3"/>
  <c r="H28" i="3"/>
  <c r="H27" i="3"/>
  <c r="H26" i="3"/>
  <c r="H25" i="3"/>
  <c r="H24" i="3"/>
  <c r="H23" i="3"/>
  <c r="H22" i="3"/>
  <c r="H13" i="3"/>
  <c r="H12" i="3"/>
  <c r="H11" i="3"/>
  <c r="D7" i="3"/>
  <c r="D8" i="3"/>
  <c r="D9" i="3"/>
  <c r="D10" i="3"/>
  <c r="D11" i="3"/>
  <c r="D12" i="3"/>
  <c r="D13" i="3"/>
  <c r="D14" i="3"/>
  <c r="D15" i="3"/>
  <c r="D16" i="3"/>
  <c r="D17" i="3"/>
  <c r="D18" i="3"/>
  <c r="D19" i="3"/>
  <c r="D20" i="3"/>
  <c r="D21" i="3"/>
  <c r="D22" i="3"/>
  <c r="D23" i="3"/>
  <c r="D24" i="3"/>
  <c r="D25" i="3"/>
  <c r="D26" i="3"/>
  <c r="D27" i="3"/>
  <c r="D28" i="3"/>
  <c r="D29" i="3"/>
  <c r="D6" i="3"/>
  <c r="B7" i="3"/>
  <c r="B8" i="3"/>
  <c r="B9" i="3"/>
  <c r="B10" i="3"/>
  <c r="B11" i="3"/>
  <c r="B12" i="3"/>
  <c r="B13" i="3"/>
  <c r="B14" i="3"/>
  <c r="B15" i="3"/>
  <c r="B16" i="3"/>
  <c r="B17" i="3"/>
  <c r="B18" i="3"/>
  <c r="B19" i="3"/>
  <c r="B20" i="3"/>
  <c r="B21" i="3"/>
  <c r="B22" i="3"/>
  <c r="B23" i="3"/>
  <c r="B24" i="3"/>
  <c r="B25" i="3"/>
  <c r="B26" i="3"/>
  <c r="B27" i="3"/>
  <c r="B28" i="3"/>
  <c r="B29" i="3"/>
  <c r="B6" i="3"/>
  <c r="B6" i="2"/>
  <c r="L9" i="2"/>
  <c r="L21" i="2" s="1"/>
  <c r="H10" i="3"/>
  <c r="H9" i="3"/>
  <c r="H8" i="3"/>
  <c r="H7" i="3"/>
  <c r="H6" i="3"/>
  <c r="F21" i="2"/>
  <c r="F20" i="2"/>
  <c r="F19" i="2"/>
  <c r="F18" i="2"/>
  <c r="F17" i="2"/>
  <c r="F16" i="2"/>
  <c r="F15" i="2"/>
  <c r="F14" i="2"/>
  <c r="L15" i="2" l="1"/>
  <c r="M21" i="2"/>
  <c r="L10" i="2"/>
  <c r="L22" i="2" s="1"/>
  <c r="B7" i="2"/>
  <c r="B8" i="2"/>
  <c r="B9" i="2"/>
  <c r="B10" i="2"/>
  <c r="B11" i="2"/>
  <c r="B12" i="2"/>
  <c r="B13" i="2"/>
  <c r="B14" i="2"/>
  <c r="B15" i="2"/>
  <c r="B16" i="2"/>
  <c r="B17" i="2"/>
  <c r="B18" i="2"/>
  <c r="B19" i="2"/>
  <c r="B20" i="2"/>
  <c r="B21" i="2"/>
  <c r="D7" i="2"/>
  <c r="D8" i="2"/>
  <c r="D9" i="2"/>
  <c r="D10" i="2"/>
  <c r="D11" i="2"/>
  <c r="D12" i="2"/>
  <c r="D13" i="2"/>
  <c r="D14" i="2"/>
  <c r="D15" i="2"/>
  <c r="D16" i="2"/>
  <c r="D17" i="2"/>
  <c r="D18" i="2"/>
  <c r="D19" i="2"/>
  <c r="D20" i="2"/>
  <c r="D21" i="2"/>
  <c r="D6" i="2"/>
  <c r="L7" i="2" s="1"/>
  <c r="F13" i="2"/>
  <c r="F12" i="2"/>
  <c r="F11" i="2"/>
  <c r="F10" i="2"/>
  <c r="F9" i="2"/>
  <c r="F8" i="2"/>
  <c r="F7" i="2"/>
  <c r="F6" i="2"/>
  <c r="L8" i="1"/>
  <c r="B26" i="1"/>
  <c r="D26" i="1"/>
  <c r="H25" i="1"/>
  <c r="M22" i="2" l="1"/>
  <c r="L6" i="2"/>
  <c r="L13" i="2"/>
  <c r="L12" i="2"/>
  <c r="L11" i="2"/>
  <c r="L23" i="2" s="1"/>
  <c r="L8" i="2"/>
  <c r="L20" i="2" s="1"/>
  <c r="H27" i="1"/>
  <c r="H19" i="1"/>
  <c r="H20" i="1"/>
  <c r="H21" i="1"/>
  <c r="H22" i="1"/>
  <c r="H23" i="1"/>
  <c r="H24" i="1"/>
  <c r="H18" i="1"/>
  <c r="D25" i="1"/>
  <c r="B25" i="1"/>
  <c r="D23" i="1"/>
  <c r="B23" i="1"/>
  <c r="D21" i="1"/>
  <c r="B21" i="1"/>
  <c r="D19" i="1"/>
  <c r="B19" i="1"/>
  <c r="D17" i="1"/>
  <c r="B17" i="1"/>
  <c r="D15" i="1"/>
  <c r="B15" i="1"/>
  <c r="D13" i="1"/>
  <c r="B13" i="1"/>
  <c r="D11" i="1"/>
  <c r="B11" i="1"/>
  <c r="D7" i="1"/>
  <c r="D8" i="1"/>
  <c r="D9" i="1"/>
  <c r="D10" i="1"/>
  <c r="D12" i="1"/>
  <c r="D14" i="1"/>
  <c r="D16" i="1"/>
  <c r="D18" i="1"/>
  <c r="D20" i="1"/>
  <c r="D22" i="1"/>
  <c r="D24" i="1"/>
  <c r="B7" i="1"/>
  <c r="B8" i="1"/>
  <c r="B9" i="1"/>
  <c r="B10" i="1"/>
  <c r="B12" i="1"/>
  <c r="B14" i="1"/>
  <c r="B16" i="1"/>
  <c r="B18" i="1"/>
  <c r="B20" i="1"/>
  <c r="B22" i="1"/>
  <c r="B24" i="1"/>
  <c r="D6" i="1"/>
  <c r="L22" i="1" s="1"/>
  <c r="B6" i="1"/>
  <c r="L14" i="2" l="1"/>
  <c r="M20" i="2"/>
  <c r="L17" i="2"/>
  <c r="M23" i="2"/>
  <c r="L7" i="1"/>
  <c r="L19" i="1"/>
  <c r="L20" i="1"/>
  <c r="L9" i="1"/>
  <c r="L21" i="1"/>
  <c r="L10" i="1"/>
  <c r="L6" i="1"/>
  <c r="L11" i="1"/>
  <c r="L12" i="1"/>
  <c r="L13" i="1"/>
  <c r="L18" i="1"/>
  <c r="L14" i="1"/>
  <c r="L15" i="1"/>
  <c r="L16" i="1"/>
  <c r="L17" i="1"/>
  <c r="M24" i="2" l="1"/>
  <c r="K23" i="1"/>
  <c r="K24" i="1"/>
</calcChain>
</file>

<file path=xl/sharedStrings.xml><?xml version="1.0" encoding="utf-8"?>
<sst xmlns="http://schemas.openxmlformats.org/spreadsheetml/2006/main" count="228" uniqueCount="49">
  <si>
    <t>Node</t>
  </si>
  <si>
    <t>Net Flow</t>
  </si>
  <si>
    <t>Supply/Demand</t>
  </si>
  <si>
    <t>SK-DEC</t>
  </si>
  <si>
    <t>VT-DEC</t>
  </si>
  <si>
    <t>VT-JAN</t>
  </si>
  <si>
    <t>SK-JAN</t>
  </si>
  <si>
    <t>US-DEC</t>
  </si>
  <si>
    <t>UK-DEC</t>
  </si>
  <si>
    <t>GM-DEC</t>
  </si>
  <si>
    <t>CN-DEC</t>
  </si>
  <si>
    <t>US-JAN</t>
  </si>
  <si>
    <t>UK-JAN</t>
  </si>
  <si>
    <t>GM-JAN</t>
  </si>
  <si>
    <t>CN-JAN</t>
  </si>
  <si>
    <t>Ship</t>
  </si>
  <si>
    <t>From</t>
  </si>
  <si>
    <t>To</t>
  </si>
  <si>
    <t>L.B.</t>
  </si>
  <si>
    <t>U.B.</t>
  </si>
  <si>
    <t>Cost</t>
  </si>
  <si>
    <t>VT-DEC OUT</t>
  </si>
  <si>
    <t>SK-DEC OUT</t>
  </si>
  <si>
    <t>VT-JAN OUT</t>
  </si>
  <si>
    <t>SK-JAN OUT</t>
  </si>
  <si>
    <t>Total cost</t>
  </si>
  <si>
    <t>US-JAN IN</t>
  </si>
  <si>
    <t>DEC production amount</t>
  </si>
  <si>
    <t>JAN production amount</t>
  </si>
  <si>
    <t>Consider total cost which may include production cost and shipping cost</t>
  </si>
  <si>
    <t>Don't need to have separate nodes i.e., 1200 + 300</t>
  </si>
  <si>
    <t>dec</t>
  </si>
  <si>
    <t>jan</t>
  </si>
  <si>
    <t>1500-300 = 1200</t>
  </si>
  <si>
    <t>Production cost</t>
  </si>
  <si>
    <t>DEC</t>
  </si>
  <si>
    <t>VT</t>
  </si>
  <si>
    <t>SK</t>
  </si>
  <si>
    <t>Jan</t>
  </si>
  <si>
    <t>Holding requirement</t>
  </si>
  <si>
    <t>EXCESS</t>
  </si>
  <si>
    <t>Discounted Cost</t>
  </si>
  <si>
    <t>UK-DEC-EX</t>
  </si>
  <si>
    <t>US-DEC-EX</t>
  </si>
  <si>
    <t>GM-DEC-EX</t>
  </si>
  <si>
    <t>CN-DEC-EX</t>
  </si>
  <si>
    <t>L.B</t>
  </si>
  <si>
    <t>U.B</t>
  </si>
  <si>
    <t>MIN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</si>
</sst>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quot;#,##0.00"/>
  </numFmts>
  <fonts count="4" x14ac:knownFonts="1">
    <font>
      <sz val="11"/>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164" fontId="3" fillId="0" borderId="0" applyFont="0" applyFill="0" applyBorder="0" applyAlignment="0" applyProtection="0"/>
  </cellStyleXfs>
  <cellXfs count="28">
    <xf numFmtId="0" fontId="0" fillId="0" borderId="0" xfId="0"/>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165" fontId="0" fillId="0" borderId="0" xfId="0" applyNumberFormat="1" applyAlignment="1">
      <alignment horizontal="center"/>
    </xf>
    <xf numFmtId="165" fontId="0" fillId="3" borderId="0" xfId="0" applyNumberFormat="1" applyFill="1" applyAlignment="1">
      <alignment horizontal="center"/>
    </xf>
    <xf numFmtId="165" fontId="0" fillId="2" borderId="0" xfId="0" applyNumberFormat="1" applyFill="1" applyAlignment="1">
      <alignment horizontal="center"/>
    </xf>
    <xf numFmtId="0" fontId="1" fillId="0" borderId="1" xfId="0" applyFont="1" applyBorder="1"/>
    <xf numFmtId="0" fontId="0" fillId="4" borderId="0" xfId="0" applyFill="1" applyAlignment="1">
      <alignment horizontal="center"/>
    </xf>
    <xf numFmtId="165" fontId="0" fillId="4" borderId="0" xfId="0" applyNumberFormat="1" applyFill="1" applyAlignment="1">
      <alignment horizontal="center"/>
    </xf>
    <xf numFmtId="0" fontId="0" fillId="5" borderId="0" xfId="0" applyFill="1" applyAlignment="1">
      <alignment horizontal="center"/>
    </xf>
    <xf numFmtId="165" fontId="0" fillId="5" borderId="0" xfId="0" applyNumberFormat="1" applyFill="1" applyAlignment="1">
      <alignment horizontal="center"/>
    </xf>
    <xf numFmtId="0" fontId="0" fillId="2" borderId="0" xfId="0" applyFill="1"/>
    <xf numFmtId="0" fontId="0" fillId="5" borderId="0" xfId="0" applyFill="1"/>
    <xf numFmtId="2" fontId="0" fillId="0" borderId="0" xfId="0" applyNumberFormat="1" applyAlignment="1">
      <alignment horizontal="center"/>
    </xf>
    <xf numFmtId="2" fontId="0" fillId="0" borderId="0" xfId="0" applyNumberFormat="1"/>
    <xf numFmtId="0" fontId="1" fillId="0" borderId="0" xfId="0" applyFont="1"/>
    <xf numFmtId="165" fontId="2" fillId="0" borderId="0" xfId="0" applyNumberFormat="1" applyFont="1" applyAlignment="1">
      <alignment horizontal="center"/>
    </xf>
    <xf numFmtId="0" fontId="2" fillId="3" borderId="0" xfId="0" applyFont="1" applyFill="1" applyAlignment="1">
      <alignment horizontal="center"/>
    </xf>
    <xf numFmtId="0" fontId="1" fillId="0" borderId="1" xfId="0" applyFont="1" applyFill="1" applyBorder="1"/>
    <xf numFmtId="0" fontId="0" fillId="0" borderId="0" xfId="0" applyFill="1"/>
    <xf numFmtId="0" fontId="1" fillId="0" borderId="0" xfId="0" applyFont="1" applyFill="1"/>
    <xf numFmtId="0" fontId="0" fillId="0" borderId="0" xfId="0" applyFill="1" applyAlignment="1">
      <alignment horizontal="center"/>
    </xf>
    <xf numFmtId="2" fontId="0" fillId="0" borderId="0" xfId="0" applyNumberFormat="1" applyFill="1" applyAlignment="1">
      <alignment horizontal="center"/>
    </xf>
    <xf numFmtId="0" fontId="1" fillId="0" borderId="0" xfId="0" applyFont="1" applyFill="1" applyBorder="1"/>
    <xf numFmtId="164" fontId="0" fillId="0" borderId="0" xfId="1" applyFont="1" applyFill="1" applyAlignment="1">
      <alignment horizontal="center"/>
    </xf>
    <xf numFmtId="164" fontId="0" fillId="0" borderId="0" xfId="1" applyFont="1" applyFill="1"/>
    <xf numFmtId="0" fontId="0" fillId="6"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501650</xdr:colOff>
      <xdr:row>1</xdr:row>
      <xdr:rowOff>171450</xdr:rowOff>
    </xdr:from>
    <xdr:ext cx="1820884" cy="374141"/>
    <xdr:sp macro="" textlink="">
      <xdr:nvSpPr>
        <xdr:cNvPr id="2" name="TextBox 1">
          <a:extLst>
            <a:ext uri="{FF2B5EF4-FFF2-40B4-BE49-F238E27FC236}">
              <a16:creationId xmlns:a16="http://schemas.microsoft.com/office/drawing/2014/main" id="{919B28E9-3E41-4C02-99A4-195390390E6E}"/>
            </a:ext>
          </a:extLst>
        </xdr:cNvPr>
        <xdr:cNvSpPr txBox="1"/>
      </xdr:nvSpPr>
      <xdr:spPr>
        <a:xfrm>
          <a:off x="501650" y="355600"/>
          <a:ext cx="182088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800" b="1"/>
            <a:t>Case </a:t>
          </a:r>
          <a:r>
            <a:rPr lang="en-US" sz="1800" b="1"/>
            <a:t>description:</a:t>
          </a:r>
          <a:endParaRPr lang="en-GB" sz="1800" b="1"/>
        </a:p>
      </xdr:txBody>
    </xdr:sp>
    <xdr:clientData/>
  </xdr:oneCellAnchor>
  <xdr:oneCellAnchor>
    <xdr:from>
      <xdr:col>1</xdr:col>
      <xdr:colOff>101600</xdr:colOff>
      <xdr:row>2</xdr:row>
      <xdr:rowOff>152400</xdr:rowOff>
    </xdr:from>
    <xdr:ext cx="8555820" cy="3521556"/>
    <xdr:sp macro="" textlink="">
      <xdr:nvSpPr>
        <xdr:cNvPr id="3" name="TextBox 2">
          <a:extLst>
            <a:ext uri="{FF2B5EF4-FFF2-40B4-BE49-F238E27FC236}">
              <a16:creationId xmlns:a16="http://schemas.microsoft.com/office/drawing/2014/main" id="{A490828A-76E4-4456-99D8-414B15814E71}"/>
            </a:ext>
          </a:extLst>
        </xdr:cNvPr>
        <xdr:cNvSpPr txBox="1"/>
      </xdr:nvSpPr>
      <xdr:spPr>
        <a:xfrm>
          <a:off x="711200" y="520700"/>
          <a:ext cx="8555820" cy="35215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500" b="1"/>
            <a:t>Background </a:t>
          </a:r>
        </a:p>
        <a:p>
          <a:pPr marL="0" marR="0" lvl="0" indent="0" algn="l" defTabSz="914400" eaLnBrk="1" fontAlgn="auto" latinLnBrk="0" hangingPunct="1">
            <a:lnSpc>
              <a:spcPct val="100000"/>
            </a:lnSpc>
            <a:spcBef>
              <a:spcPts val="0"/>
            </a:spcBef>
            <a:spcAft>
              <a:spcPts val="0"/>
            </a:spcAft>
            <a:buClrTx/>
            <a:buSzTx/>
            <a:buFontTx/>
            <a:buNone/>
            <a:tabLst/>
            <a:defRPr/>
          </a:pPr>
          <a:r>
            <a:rPr lang="en-GB"/>
            <a:t>ModularDYNAMIC</a:t>
          </a:r>
          <a:r>
            <a:rPr lang="en-GB" baseline="0"/>
            <a:t> is</a:t>
          </a:r>
          <a:r>
            <a:rPr lang="en-GB"/>
            <a:t> an advanced electro-mechanical systems engineering company. They are producing a next generation self-adapting robotic arm (the FlexAdapt 1.0) that is receiving high demand from a variety of industries specialising in material handling and manufacturing to automate their manufacturing processes. For The FlexAdapt 1.0 robotic arms, they are currently produced at two specialised production facilities in Vietnam and South Korea,</a:t>
          </a:r>
          <a:r>
            <a:rPr lang="en-GB" baseline="0"/>
            <a:t> and sell those to </a:t>
          </a:r>
          <a:r>
            <a:rPr lang="en-GB"/>
            <a:t>United States, United Kingdom, Germany, and China.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500" b="1" baseline="0">
              <a:solidFill>
                <a:schemeClr val="tx1"/>
              </a:solidFill>
              <a:effectLst/>
              <a:latin typeface="+mn-lt"/>
              <a:ea typeface="+mn-ea"/>
              <a:cs typeface="+mn-cs"/>
            </a:rPr>
            <a:t>Objectives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t>Since</a:t>
          </a:r>
          <a:r>
            <a:rPr lang="en-GB" sz="1100" baseline="0"/>
            <a:t> </a:t>
          </a:r>
          <a:r>
            <a:rPr lang="en-US" sz="1100" baseline="0"/>
            <a:t>our manager is interested in optimising the cost in </a:t>
          </a:r>
          <a:r>
            <a:rPr lang="en-GB"/>
            <a:t>production and distribution for the future months of December and January — one of the</a:t>
          </a:r>
          <a:r>
            <a:rPr lang="en-GB" baseline="0"/>
            <a:t> business objectives. Throught this network modeling,</a:t>
          </a:r>
          <a:r>
            <a:rPr lang="en-US" sz="1100" baseline="0">
              <a:solidFill>
                <a:schemeClr val="tx1"/>
              </a:solidFill>
              <a:effectLst/>
              <a:latin typeface="+mn-lt"/>
              <a:ea typeface="+mn-ea"/>
              <a:cs typeface="+mn-cs"/>
            </a:rPr>
            <a:t> we hope </a:t>
          </a:r>
          <a:r>
            <a:rPr lang="en-GB" sz="1100" baseline="0"/>
            <a:t>to find the optimal way to meet </a:t>
          </a:r>
          <a:r>
            <a:rPr lang="en-GB"/>
            <a:t>demand at each market country at the minimum cost.</a:t>
          </a:r>
          <a:endParaRPr lang="en-GB"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t>Navigation to the report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t>There are three sheets in this file:</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t>- The first one is to </a:t>
          </a:r>
          <a:r>
            <a:rPr lang="en-GB" sz="1100"/>
            <a:t>mathematically formulate the freight loading plan for the Noyina as an LP model;</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t>- the second one is a</a:t>
          </a:r>
          <a:r>
            <a:rPr lang="en-GB" sz="1100" baseline="0"/>
            <a:t> s</a:t>
          </a:r>
          <a:r>
            <a:rPr lang="en-GB" sz="1100"/>
            <a:t>ensitivity</a:t>
          </a:r>
          <a:r>
            <a:rPr lang="en-GB" sz="1100" baseline="0"/>
            <a:t> </a:t>
          </a:r>
          <a:r>
            <a:rPr lang="en-US" sz="1100" baseline="0"/>
            <a:t>report</a:t>
          </a:r>
          <a:r>
            <a:rPr lang="en-GB" sz="1100"/>
            <a: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t>- the third one is a</a:t>
          </a:r>
          <a:r>
            <a:rPr lang="en-GB" sz="1100">
              <a:solidFill>
                <a:schemeClr val="tx1"/>
              </a:solidFill>
              <a:effectLst/>
              <a:latin typeface="+mn-lt"/>
              <a:ea typeface="+mn-ea"/>
              <a:cs typeface="+mn-cs"/>
            </a:rPr>
            <a:t>nswer report</a:t>
          </a:r>
          <a:endParaRPr lang="en-GB" sz="1100"/>
        </a:p>
        <a:p>
          <a:pPr marL="0" marR="0" lvl="0" indent="0" algn="l" defTabSz="914400" eaLnBrk="1" fontAlgn="auto" latinLnBrk="0" hangingPunct="1">
            <a:lnSpc>
              <a:spcPct val="100000"/>
            </a:lnSpc>
            <a:spcBef>
              <a:spcPts val="0"/>
            </a:spcBef>
            <a:spcAft>
              <a:spcPts val="0"/>
            </a:spcAft>
            <a:buClrTx/>
            <a:buSzTx/>
            <a:buFontTx/>
            <a:buNone/>
            <a:tabLst/>
            <a:defRPr/>
          </a:pPr>
          <a:r>
            <a:rPr lang="en-GB" sz="1100"/>
            <a:t>- and</a:t>
          </a:r>
          <a:r>
            <a:rPr lang="en-GB" sz="1100" baseline="0"/>
            <a:t> the third is a report we produce where to answer our managers about the scenario they concerns. </a:t>
          </a:r>
          <a:endParaRPr lang="en-GB" sz="1100"/>
        </a:p>
      </xdr:txBody>
    </xdr:sp>
    <xdr:clientData/>
  </xdr:oneCellAnchor>
  <xdr:oneCellAnchor>
    <xdr:from>
      <xdr:col>0</xdr:col>
      <xdr:colOff>303313</xdr:colOff>
      <xdr:row>23</xdr:row>
      <xdr:rowOff>44450</xdr:rowOff>
    </xdr:from>
    <xdr:ext cx="1925464" cy="374141"/>
    <xdr:sp macro="" textlink="">
      <xdr:nvSpPr>
        <xdr:cNvPr id="4" name="TextBox 3">
          <a:extLst>
            <a:ext uri="{FF2B5EF4-FFF2-40B4-BE49-F238E27FC236}">
              <a16:creationId xmlns:a16="http://schemas.microsoft.com/office/drawing/2014/main" id="{C0CC2F38-6BE2-49A3-8DA8-C2C2D4A6F4DF}"/>
            </a:ext>
          </a:extLst>
        </xdr:cNvPr>
        <xdr:cNvSpPr txBox="1"/>
      </xdr:nvSpPr>
      <xdr:spPr>
        <a:xfrm>
          <a:off x="303313" y="4279900"/>
          <a:ext cx="192546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800" b="1"/>
            <a:t>Network diagram:</a:t>
          </a:r>
          <a:endParaRPr lang="en-GB" sz="18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CD03-52C2-45B0-AC66-EB6210748FEC}">
  <dimension ref="A5:O31"/>
  <sheetViews>
    <sheetView zoomScaleNormal="100" workbookViewId="0">
      <selection activeCell="H13" sqref="H13"/>
    </sheetView>
  </sheetViews>
  <sheetFormatPr defaultRowHeight="14.5" x14ac:dyDescent="0.35"/>
  <cols>
    <col min="2" max="2" width="5.54296875" bestFit="1" customWidth="1"/>
    <col min="3" max="3" width="11.54296875" bestFit="1" customWidth="1"/>
    <col min="4" max="4" width="5.54296875" bestFit="1" customWidth="1"/>
    <col min="5" max="5" width="11.54296875" bestFit="1" customWidth="1"/>
    <col min="8" max="8" width="13.81640625" bestFit="1" customWidth="1"/>
    <col min="10" max="10" width="11.54296875" bestFit="1" customWidth="1"/>
    <col min="11" max="11" width="9.26953125" bestFit="1" customWidth="1"/>
    <col min="12" max="12" width="9" bestFit="1" customWidth="1"/>
    <col min="13" max="14" width="15.453125" bestFit="1" customWidth="1"/>
  </cols>
  <sheetData>
    <row r="5" spans="1:13" x14ac:dyDescent="0.35">
      <c r="A5" s="7" t="s">
        <v>15</v>
      </c>
      <c r="B5" s="7" t="s">
        <v>16</v>
      </c>
      <c r="C5" s="7"/>
      <c r="D5" s="7" t="s">
        <v>17</v>
      </c>
      <c r="E5" s="7"/>
      <c r="F5" s="7" t="s">
        <v>18</v>
      </c>
      <c r="G5" s="7" t="s">
        <v>19</v>
      </c>
      <c r="H5" s="7" t="s">
        <v>20</v>
      </c>
      <c r="J5" s="7"/>
      <c r="K5" s="7" t="s">
        <v>0</v>
      </c>
      <c r="L5" s="7" t="s">
        <v>1</v>
      </c>
      <c r="M5" s="7" t="s">
        <v>2</v>
      </c>
    </row>
    <row r="6" spans="1:13" x14ac:dyDescent="0.35">
      <c r="A6">
        <v>0</v>
      </c>
      <c r="B6" s="1">
        <f>VLOOKUP(C6,$J$6:$K$21,2,FALSE)</f>
        <v>1</v>
      </c>
      <c r="C6" s="1" t="s">
        <v>4</v>
      </c>
      <c r="D6" s="1">
        <f>VLOOKUP(E6,$J$6:$K$21,2,FALSE)</f>
        <v>13</v>
      </c>
      <c r="E6" s="1" t="s">
        <v>21</v>
      </c>
      <c r="F6" s="1">
        <v>10</v>
      </c>
      <c r="G6" s="1">
        <v>9999</v>
      </c>
      <c r="H6" s="4">
        <v>1200</v>
      </c>
      <c r="J6" s="13" t="s">
        <v>4</v>
      </c>
      <c r="K6" s="1">
        <v>1</v>
      </c>
      <c r="L6" s="14">
        <f>SUMIF($D$6:$D$25,K6,$A$6:$A$25)-SUMIF($B$6:$B$25,K6,A6:$A$25)</f>
        <v>0</v>
      </c>
      <c r="M6" s="1">
        <v>-3000</v>
      </c>
    </row>
    <row r="7" spans="1:13" x14ac:dyDescent="0.35">
      <c r="A7">
        <v>0</v>
      </c>
      <c r="B7" s="1">
        <f t="shared" ref="B7:B10" si="0">VLOOKUP(C7,$J$6:$K$21,2,FALSE)</f>
        <v>2</v>
      </c>
      <c r="C7" s="1" t="s">
        <v>3</v>
      </c>
      <c r="D7" s="1">
        <f t="shared" ref="D7:D10" si="1">VLOOKUP(E7,$J$6:$K$21,2,FALSE)</f>
        <v>14</v>
      </c>
      <c r="E7" s="1" t="s">
        <v>22</v>
      </c>
      <c r="F7" s="1">
        <v>10</v>
      </c>
      <c r="G7" s="1">
        <v>9999</v>
      </c>
      <c r="H7" s="4">
        <v>1300</v>
      </c>
      <c r="J7" s="13" t="s">
        <v>3</v>
      </c>
      <c r="K7" s="1">
        <v>2</v>
      </c>
      <c r="L7" s="14">
        <f ca="1">SUMIF($D$6:$D$25,K7,$A$6:$A$25)-SUMIF($B$6:$B$25,K7,A7:$A$25)</f>
        <v>0</v>
      </c>
      <c r="M7" s="1">
        <v>-4000</v>
      </c>
    </row>
    <row r="8" spans="1:13" x14ac:dyDescent="0.35">
      <c r="A8">
        <v>0</v>
      </c>
      <c r="B8" s="1">
        <f t="shared" si="0"/>
        <v>7</v>
      </c>
      <c r="C8" s="1" t="s">
        <v>5</v>
      </c>
      <c r="D8" s="1">
        <f t="shared" si="1"/>
        <v>15</v>
      </c>
      <c r="E8" s="1" t="s">
        <v>23</v>
      </c>
      <c r="F8" s="1">
        <v>10</v>
      </c>
      <c r="G8" s="1">
        <v>9999</v>
      </c>
      <c r="H8" s="4">
        <v>1250</v>
      </c>
      <c r="J8" s="12" t="s">
        <v>7</v>
      </c>
      <c r="K8" s="1">
        <v>3</v>
      </c>
      <c r="L8" s="14">
        <f ca="1">SUMIF($D$6:$D$25,K8,$A$6:$A$25)-SUMIF($B$6:$B$25,K8,A8:$A$25)</f>
        <v>1500</v>
      </c>
      <c r="M8" s="1">
        <v>1500</v>
      </c>
    </row>
    <row r="9" spans="1:13" x14ac:dyDescent="0.35">
      <c r="A9">
        <v>0</v>
      </c>
      <c r="B9" s="1">
        <f t="shared" si="0"/>
        <v>8</v>
      </c>
      <c r="C9" s="1" t="s">
        <v>6</v>
      </c>
      <c r="D9" s="1">
        <f t="shared" si="1"/>
        <v>16</v>
      </c>
      <c r="E9" s="1" t="s">
        <v>24</v>
      </c>
      <c r="F9" s="1">
        <v>10</v>
      </c>
      <c r="G9" s="1">
        <v>9999</v>
      </c>
      <c r="H9" s="4">
        <v>1250</v>
      </c>
      <c r="J9" s="12" t="s">
        <v>8</v>
      </c>
      <c r="K9" s="1">
        <v>4</v>
      </c>
      <c r="L9" s="14">
        <f ca="1">SUMIF($D$6:$D$25,K9,$A$6:$A$25)-SUMIF($B$6:$B$25,K9,A9:$A$25)</f>
        <v>1500</v>
      </c>
      <c r="M9" s="1">
        <v>1500</v>
      </c>
    </row>
    <row r="10" spans="1:13" x14ac:dyDescent="0.35">
      <c r="A10">
        <v>0</v>
      </c>
      <c r="B10" s="2">
        <f t="shared" si="0"/>
        <v>13</v>
      </c>
      <c r="C10" s="2" t="s">
        <v>21</v>
      </c>
      <c r="D10" s="2">
        <f t="shared" si="1"/>
        <v>3</v>
      </c>
      <c r="E10" s="2" t="s">
        <v>7</v>
      </c>
      <c r="F10" s="2">
        <v>0</v>
      </c>
      <c r="G10" s="2">
        <v>9999</v>
      </c>
      <c r="H10" s="6">
        <v>300</v>
      </c>
      <c r="J10" s="12" t="s">
        <v>9</v>
      </c>
      <c r="K10" s="1">
        <v>5</v>
      </c>
      <c r="L10" s="14">
        <f ca="1">SUMIF($D$6:$D$25,K10,$A$6:$A$25)-SUMIF($B$6:$B$25,K10,A10:$A$25)</f>
        <v>3000</v>
      </c>
      <c r="M10" s="1">
        <v>1500</v>
      </c>
    </row>
    <row r="11" spans="1:13" x14ac:dyDescent="0.35">
      <c r="A11">
        <v>1500</v>
      </c>
      <c r="B11" s="2">
        <f t="shared" ref="B11:B25" si="2">VLOOKUP(C11,$J$6:$K$21,2,FALSE)</f>
        <v>14</v>
      </c>
      <c r="C11" s="2" t="s">
        <v>22</v>
      </c>
      <c r="D11" s="2">
        <f t="shared" ref="D11:D24" si="3">VLOOKUP(E11,$J$6:$K$21,2,FALSE)</f>
        <v>3</v>
      </c>
      <c r="E11" s="2" t="s">
        <v>7</v>
      </c>
      <c r="F11" s="2">
        <v>0</v>
      </c>
      <c r="G11" s="2">
        <v>9999</v>
      </c>
      <c r="H11" s="6">
        <v>270</v>
      </c>
      <c r="J11" s="12" t="s">
        <v>10</v>
      </c>
      <c r="K11" s="1">
        <v>6</v>
      </c>
      <c r="L11" s="14">
        <f ca="1">SUMIF($D$6:$D$25,K11,$A$6:$A$25)-SUMIF($B$6:$B$25,K11,A11:$A$25)</f>
        <v>4000</v>
      </c>
      <c r="M11" s="1">
        <v>1500</v>
      </c>
    </row>
    <row r="12" spans="1:13" x14ac:dyDescent="0.35">
      <c r="A12">
        <v>1500</v>
      </c>
      <c r="B12" s="2">
        <f t="shared" si="2"/>
        <v>13</v>
      </c>
      <c r="C12" s="2" t="s">
        <v>21</v>
      </c>
      <c r="D12" s="2">
        <f t="shared" si="3"/>
        <v>4</v>
      </c>
      <c r="E12" s="2" t="s">
        <v>8</v>
      </c>
      <c r="F12" s="2">
        <v>0</v>
      </c>
      <c r="G12" s="2">
        <v>9999</v>
      </c>
      <c r="H12" s="6">
        <v>260</v>
      </c>
      <c r="J12" s="13" t="s">
        <v>5</v>
      </c>
      <c r="K12" s="1">
        <v>7</v>
      </c>
      <c r="L12" s="14">
        <f ca="1">SUMIF($D$6:$D$25,K12,$A$6:$A$25)-SUMIF($B$6:$B$25,K12,A12:$A$25)</f>
        <v>-3000</v>
      </c>
      <c r="M12" s="1">
        <v>-3000</v>
      </c>
    </row>
    <row r="13" spans="1:13" x14ac:dyDescent="0.35">
      <c r="A13">
        <v>0</v>
      </c>
      <c r="B13" s="2">
        <f t="shared" si="2"/>
        <v>14</v>
      </c>
      <c r="C13" s="2" t="s">
        <v>22</v>
      </c>
      <c r="D13" s="2">
        <f t="shared" si="3"/>
        <v>4</v>
      </c>
      <c r="E13" s="2" t="s">
        <v>8</v>
      </c>
      <c r="F13" s="2">
        <v>0</v>
      </c>
      <c r="G13" s="2">
        <v>9999</v>
      </c>
      <c r="H13" s="6">
        <v>290</v>
      </c>
      <c r="J13" s="13" t="s">
        <v>6</v>
      </c>
      <c r="K13" s="1">
        <v>8</v>
      </c>
      <c r="L13" s="14">
        <f ca="1">SUMIF($D$6:$D$25,K13,$A$6:$A$25)-SUMIF($B$6:$B$25,K13,A13:$A$25)</f>
        <v>-4000</v>
      </c>
      <c r="M13" s="1">
        <v>-4000</v>
      </c>
    </row>
    <row r="14" spans="1:13" x14ac:dyDescent="0.35">
      <c r="A14">
        <v>3000</v>
      </c>
      <c r="B14" s="8">
        <f t="shared" si="2"/>
        <v>13</v>
      </c>
      <c r="C14" s="8" t="s">
        <v>21</v>
      </c>
      <c r="D14" s="8">
        <f t="shared" si="3"/>
        <v>5</v>
      </c>
      <c r="E14" s="8" t="s">
        <v>9</v>
      </c>
      <c r="F14" s="8">
        <v>0</v>
      </c>
      <c r="G14" s="8">
        <v>9999</v>
      </c>
      <c r="H14" s="9">
        <v>250</v>
      </c>
      <c r="J14" s="12" t="s">
        <v>11</v>
      </c>
      <c r="K14" s="1">
        <v>9</v>
      </c>
      <c r="L14" s="14">
        <f ca="1">SUMIF($D$6:$D$25,K14,$A$6:$A$25)-SUMIF($B$6:$B$25,K14,A14:$A$25)</f>
        <v>0</v>
      </c>
      <c r="M14" s="1">
        <v>2000</v>
      </c>
    </row>
    <row r="15" spans="1:13" x14ac:dyDescent="0.35">
      <c r="A15">
        <v>0</v>
      </c>
      <c r="B15" s="8">
        <f t="shared" si="2"/>
        <v>14</v>
      </c>
      <c r="C15" s="8" t="s">
        <v>22</v>
      </c>
      <c r="D15" s="8">
        <f t="shared" si="3"/>
        <v>5</v>
      </c>
      <c r="E15" s="8" t="s">
        <v>9</v>
      </c>
      <c r="F15" s="8">
        <v>0</v>
      </c>
      <c r="G15" s="8">
        <v>9999</v>
      </c>
      <c r="H15" s="9">
        <v>220</v>
      </c>
      <c r="J15" s="12" t="s">
        <v>12</v>
      </c>
      <c r="K15" s="1">
        <v>10</v>
      </c>
      <c r="L15" s="14">
        <f ca="1">SUMIF($D$6:$D$25,K15,$A$6:$A$25)-SUMIF($B$6:$B$25,K15,A15:$A$25)</f>
        <v>0</v>
      </c>
      <c r="M15" s="1">
        <v>2000</v>
      </c>
    </row>
    <row r="16" spans="1:13" x14ac:dyDescent="0.35">
      <c r="A16">
        <v>4000</v>
      </c>
      <c r="B16" s="8">
        <f t="shared" si="2"/>
        <v>13</v>
      </c>
      <c r="C16" s="8" t="s">
        <v>21</v>
      </c>
      <c r="D16" s="8">
        <f t="shared" si="3"/>
        <v>6</v>
      </c>
      <c r="E16" s="8" t="s">
        <v>10</v>
      </c>
      <c r="F16" s="8">
        <v>0</v>
      </c>
      <c r="G16" s="8">
        <v>9999</v>
      </c>
      <c r="H16" s="9">
        <v>230</v>
      </c>
      <c r="J16" s="12" t="s">
        <v>13</v>
      </c>
      <c r="K16" s="1">
        <v>11</v>
      </c>
      <c r="L16" s="14">
        <f ca="1">SUMIF($D$6:$D$25,K16,$A$6:$A$25)-SUMIF($B$6:$B$25,K16,A16:$A$25)</f>
        <v>0</v>
      </c>
      <c r="M16" s="1">
        <v>2000</v>
      </c>
    </row>
    <row r="17" spans="1:15" x14ac:dyDescent="0.35">
      <c r="A17">
        <v>0</v>
      </c>
      <c r="B17" s="8">
        <f t="shared" si="2"/>
        <v>14</v>
      </c>
      <c r="C17" s="8" t="s">
        <v>22</v>
      </c>
      <c r="D17" s="8">
        <f t="shared" si="3"/>
        <v>6</v>
      </c>
      <c r="E17" s="8" t="s">
        <v>10</v>
      </c>
      <c r="F17" s="8">
        <v>0</v>
      </c>
      <c r="G17" s="8">
        <v>9999</v>
      </c>
      <c r="H17" s="9">
        <v>240</v>
      </c>
      <c r="J17" s="12" t="s">
        <v>14</v>
      </c>
      <c r="K17" s="1">
        <v>12</v>
      </c>
      <c r="L17" s="14">
        <f ca="1">SUMIF($D$6:$D$25,K17,$A$6:$A$25)-SUMIF($B$6:$B$25,K17,A17:$A$25)</f>
        <v>0</v>
      </c>
      <c r="M17" s="1">
        <v>2000</v>
      </c>
    </row>
    <row r="18" spans="1:15" x14ac:dyDescent="0.35">
      <c r="A18">
        <v>0</v>
      </c>
      <c r="B18" s="3">
        <f t="shared" si="2"/>
        <v>15</v>
      </c>
      <c r="C18" s="3" t="s">
        <v>23</v>
      </c>
      <c r="D18" s="3">
        <f t="shared" si="3"/>
        <v>9</v>
      </c>
      <c r="E18" s="3" t="s">
        <v>11</v>
      </c>
      <c r="F18" s="3">
        <v>0</v>
      </c>
      <c r="G18" s="3">
        <v>9999</v>
      </c>
      <c r="H18" s="5">
        <f>H10*1.15</f>
        <v>345</v>
      </c>
      <c r="J18" s="13" t="s">
        <v>21</v>
      </c>
      <c r="K18" s="1">
        <v>13</v>
      </c>
      <c r="L18" s="14">
        <f ca="1">SUMIF($D$6:$D$25,K18,$A$6:$A$25)-SUMIF($B$6:$B$25,K18,A18:$A$25)</f>
        <v>0</v>
      </c>
      <c r="M18" s="1">
        <v>0</v>
      </c>
    </row>
    <row r="19" spans="1:15" x14ac:dyDescent="0.35">
      <c r="A19">
        <v>0</v>
      </c>
      <c r="B19" s="3">
        <f t="shared" si="2"/>
        <v>16</v>
      </c>
      <c r="C19" s="3" t="s">
        <v>24</v>
      </c>
      <c r="D19" s="3">
        <f t="shared" si="3"/>
        <v>9</v>
      </c>
      <c r="E19" s="3" t="s">
        <v>11</v>
      </c>
      <c r="F19" s="3">
        <v>0</v>
      </c>
      <c r="G19" s="3">
        <v>9999</v>
      </c>
      <c r="H19" s="5">
        <f t="shared" ref="H19:H24" si="4">H11*1.15</f>
        <v>310.5</v>
      </c>
      <c r="J19" s="13" t="s">
        <v>22</v>
      </c>
      <c r="K19" s="1">
        <v>14</v>
      </c>
      <c r="L19" s="14">
        <f ca="1">SUMIF($D$6:$D$25,K19,$A$6:$A$25)-SUMIF($B$6:$B$25,K19,A19:$A$25)</f>
        <v>0</v>
      </c>
      <c r="M19" s="1">
        <v>0</v>
      </c>
    </row>
    <row r="20" spans="1:15" x14ac:dyDescent="0.35">
      <c r="A20">
        <v>0</v>
      </c>
      <c r="B20" s="3">
        <f t="shared" si="2"/>
        <v>15</v>
      </c>
      <c r="C20" s="3" t="s">
        <v>23</v>
      </c>
      <c r="D20" s="3">
        <f t="shared" si="3"/>
        <v>10</v>
      </c>
      <c r="E20" s="3" t="s">
        <v>12</v>
      </c>
      <c r="F20" s="3">
        <v>0</v>
      </c>
      <c r="G20" s="3">
        <v>9999</v>
      </c>
      <c r="H20" s="5">
        <f t="shared" si="4"/>
        <v>299</v>
      </c>
      <c r="J20" s="13" t="s">
        <v>23</v>
      </c>
      <c r="K20" s="1">
        <v>15</v>
      </c>
      <c r="L20" s="14">
        <f ca="1">SUMIF($D$6:$D$25,K20,$A$6:$A$25)-SUMIF($B$6:$B$25,K20,A20:$A$25)</f>
        <v>0</v>
      </c>
      <c r="M20" s="1">
        <v>0</v>
      </c>
    </row>
    <row r="21" spans="1:15" x14ac:dyDescent="0.35">
      <c r="A21">
        <v>0</v>
      </c>
      <c r="B21" s="3">
        <f t="shared" si="2"/>
        <v>16</v>
      </c>
      <c r="C21" s="3" t="s">
        <v>24</v>
      </c>
      <c r="D21" s="3">
        <f t="shared" si="3"/>
        <v>10</v>
      </c>
      <c r="E21" s="3" t="s">
        <v>12</v>
      </c>
      <c r="F21" s="3">
        <v>0</v>
      </c>
      <c r="G21" s="3">
        <v>9999</v>
      </c>
      <c r="H21" s="5">
        <f t="shared" si="4"/>
        <v>333.5</v>
      </c>
      <c r="J21" s="13" t="s">
        <v>24</v>
      </c>
      <c r="K21" s="1">
        <v>16</v>
      </c>
      <c r="L21" s="14">
        <f ca="1">SUMIF($D$6:$D$25,K21,$A$6:$A$25)-SUMIF($B$6:$B$25,K21,A21:$A$25)</f>
        <v>0</v>
      </c>
      <c r="M21" s="1">
        <v>0</v>
      </c>
    </row>
    <row r="22" spans="1:15" x14ac:dyDescent="0.35">
      <c r="A22">
        <v>0</v>
      </c>
      <c r="B22" s="10">
        <f t="shared" si="2"/>
        <v>15</v>
      </c>
      <c r="C22" s="10" t="s">
        <v>23</v>
      </c>
      <c r="D22" s="10">
        <f t="shared" si="3"/>
        <v>11</v>
      </c>
      <c r="E22" s="10" t="s">
        <v>13</v>
      </c>
      <c r="F22" s="10">
        <v>0</v>
      </c>
      <c r="G22" s="10">
        <v>9999</v>
      </c>
      <c r="H22" s="11">
        <f t="shared" si="4"/>
        <v>287.5</v>
      </c>
      <c r="J22" t="s">
        <v>26</v>
      </c>
      <c r="K22" s="1">
        <v>17</v>
      </c>
      <c r="L22" s="14">
        <f ca="1">SUMIF($D$6:$D$25,K22,$A$6:$A$25)-SUMIF($B$6:$B$25,K22,A22:$A$25)</f>
        <v>0</v>
      </c>
      <c r="M22" s="1">
        <v>0</v>
      </c>
    </row>
    <row r="23" spans="1:15" x14ac:dyDescent="0.35">
      <c r="A23">
        <v>0</v>
      </c>
      <c r="B23" s="10">
        <f t="shared" si="2"/>
        <v>16</v>
      </c>
      <c r="C23" s="10" t="s">
        <v>24</v>
      </c>
      <c r="D23" s="10">
        <f t="shared" si="3"/>
        <v>11</v>
      </c>
      <c r="E23" s="10" t="s">
        <v>13</v>
      </c>
      <c r="F23" s="10">
        <v>0</v>
      </c>
      <c r="G23" s="10">
        <v>9999</v>
      </c>
      <c r="H23" s="11">
        <f t="shared" si="4"/>
        <v>252.99999999999997</v>
      </c>
      <c r="J23" t="s">
        <v>27</v>
      </c>
      <c r="K23" s="15">
        <f ca="1">SUM(L8:L11)</f>
        <v>10000</v>
      </c>
    </row>
    <row r="24" spans="1:15" x14ac:dyDescent="0.35">
      <c r="A24">
        <v>0</v>
      </c>
      <c r="B24" s="10">
        <f t="shared" si="2"/>
        <v>15</v>
      </c>
      <c r="C24" s="10" t="s">
        <v>23</v>
      </c>
      <c r="D24" s="10">
        <f t="shared" si="3"/>
        <v>12</v>
      </c>
      <c r="E24" s="10" t="s">
        <v>14</v>
      </c>
      <c r="F24" s="10">
        <v>0</v>
      </c>
      <c r="G24" s="10">
        <v>9999</v>
      </c>
      <c r="H24" s="11">
        <f t="shared" si="4"/>
        <v>264.5</v>
      </c>
      <c r="J24" t="s">
        <v>28</v>
      </c>
      <c r="K24">
        <f ca="1">SUM(L14:L17)</f>
        <v>0</v>
      </c>
    </row>
    <row r="25" spans="1:15" x14ac:dyDescent="0.35">
      <c r="A25">
        <v>0</v>
      </c>
      <c r="B25" s="10">
        <f t="shared" si="2"/>
        <v>16</v>
      </c>
      <c r="C25" s="10" t="s">
        <v>24</v>
      </c>
      <c r="D25" s="10">
        <f>VLOOKUP(E25,$J$6:$K$21,2,FALSE)</f>
        <v>12</v>
      </c>
      <c r="E25" s="10" t="s">
        <v>14</v>
      </c>
      <c r="F25" s="10">
        <v>0</v>
      </c>
      <c r="G25" s="10">
        <v>9999</v>
      </c>
      <c r="H25" s="11">
        <f>H17*1.15</f>
        <v>276</v>
      </c>
    </row>
    <row r="26" spans="1:15" x14ac:dyDescent="0.35">
      <c r="A26">
        <v>0</v>
      </c>
      <c r="B26" s="1">
        <f>VLOOKUP(C26,$J$6:$K$22,2,FALSE)</f>
        <v>17</v>
      </c>
      <c r="C26" s="1" t="s">
        <v>26</v>
      </c>
      <c r="D26" s="1">
        <f>VLOOKUP(E26,$J$6:$K$21,2,FALSE)</f>
        <v>9</v>
      </c>
      <c r="E26" s="1" t="s">
        <v>11</v>
      </c>
      <c r="F26" s="1">
        <v>10</v>
      </c>
      <c r="G26" s="1">
        <v>500</v>
      </c>
      <c r="H26">
        <v>0</v>
      </c>
    </row>
    <row r="27" spans="1:15" x14ac:dyDescent="0.35">
      <c r="G27" t="s">
        <v>25</v>
      </c>
      <c r="H27" s="6">
        <f>SUMPRODUCT(H6:H25,A6:A25)</f>
        <v>2465000</v>
      </c>
    </row>
    <row r="29" spans="1:15" x14ac:dyDescent="0.35">
      <c r="N29" t="s">
        <v>31</v>
      </c>
      <c r="O29" t="s">
        <v>32</v>
      </c>
    </row>
    <row r="30" spans="1:15" x14ac:dyDescent="0.35">
      <c r="C30" t="s">
        <v>29</v>
      </c>
      <c r="N30">
        <v>300</v>
      </c>
      <c r="O30" t="s">
        <v>33</v>
      </c>
    </row>
    <row r="31" spans="1:15" x14ac:dyDescent="0.35">
      <c r="C31" t="s">
        <v>30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EAB09-561D-454E-B426-3BCA2D242592}">
  <dimension ref="A5:P31"/>
  <sheetViews>
    <sheetView zoomScaleNormal="145" workbookViewId="0">
      <selection activeCell="L16" sqref="L16"/>
    </sheetView>
  </sheetViews>
  <sheetFormatPr defaultRowHeight="14.5" x14ac:dyDescent="0.35"/>
  <cols>
    <col min="2" max="2" width="5.54296875" bestFit="1" customWidth="1"/>
    <col min="3" max="3" width="11.54296875" bestFit="1" customWidth="1"/>
    <col min="4" max="4" width="5.453125" customWidth="1"/>
    <col min="5" max="5" width="11.54296875" bestFit="1" customWidth="1"/>
    <col min="6" max="6" width="12" bestFit="1" customWidth="1"/>
    <col min="7" max="7" width="10.7265625" bestFit="1" customWidth="1"/>
    <col min="8" max="8" width="14.81640625" bestFit="1" customWidth="1"/>
    <col min="10" max="10" width="11.54296875" bestFit="1" customWidth="1"/>
    <col min="11" max="11" width="9.26953125" bestFit="1" customWidth="1"/>
    <col min="12" max="12" width="9" bestFit="1" customWidth="1"/>
    <col min="13" max="14" width="15.453125" bestFit="1" customWidth="1"/>
    <col min="15" max="15" width="16" bestFit="1" customWidth="1"/>
  </cols>
  <sheetData>
    <row r="5" spans="1:16" x14ac:dyDescent="0.35">
      <c r="A5" s="7" t="s">
        <v>15</v>
      </c>
      <c r="B5" s="7" t="s">
        <v>16</v>
      </c>
      <c r="C5" s="7"/>
      <c r="D5" s="7" t="s">
        <v>17</v>
      </c>
      <c r="E5" s="7"/>
      <c r="F5" s="7" t="s">
        <v>20</v>
      </c>
      <c r="G5" s="16"/>
      <c r="J5" s="7"/>
      <c r="K5" s="7" t="s">
        <v>0</v>
      </c>
      <c r="L5" s="7" t="s">
        <v>1</v>
      </c>
      <c r="M5" s="7" t="s">
        <v>2</v>
      </c>
      <c r="O5" s="16" t="s">
        <v>34</v>
      </c>
    </row>
    <row r="6" spans="1:16" x14ac:dyDescent="0.35">
      <c r="A6">
        <v>1500</v>
      </c>
      <c r="B6" s="1">
        <f>VLOOKUP(C6,$J$6:$K$17,2,FALSE)</f>
        <v>1</v>
      </c>
      <c r="C6" s="2" t="s">
        <v>4</v>
      </c>
      <c r="D6" s="1">
        <f>VLOOKUP(E6,$J$6:$K$17,2,FALSE)</f>
        <v>3</v>
      </c>
      <c r="E6" s="2" t="s">
        <v>7</v>
      </c>
      <c r="F6" s="4">
        <f>300+P7</f>
        <v>1500</v>
      </c>
      <c r="G6" s="1"/>
      <c r="H6" s="4"/>
      <c r="J6" s="13" t="s">
        <v>4</v>
      </c>
      <c r="K6" s="1">
        <v>1</v>
      </c>
      <c r="L6" s="14">
        <f>SUMIF($D$6:$D$21,K6,$A$6:$A$21)-SUMIF($B$6:$B$21,K6,$A$6:$A$21)</f>
        <v>-3000</v>
      </c>
      <c r="M6" s="1">
        <v>-3000</v>
      </c>
      <c r="O6" t="s">
        <v>35</v>
      </c>
    </row>
    <row r="7" spans="1:16" x14ac:dyDescent="0.35">
      <c r="A7">
        <v>0</v>
      </c>
      <c r="B7" s="1">
        <f t="shared" ref="B7:B21" si="0">VLOOKUP(C7,$J$6:$K$17,2,FALSE)</f>
        <v>2</v>
      </c>
      <c r="C7" s="2" t="s">
        <v>3</v>
      </c>
      <c r="D7" s="1">
        <f t="shared" ref="D7:D21" si="1">VLOOKUP(E7,$J$6:$K$17,2,FALSE)</f>
        <v>3</v>
      </c>
      <c r="E7" s="2" t="s">
        <v>7</v>
      </c>
      <c r="F7" s="4">
        <f>270+P8</f>
        <v>1570</v>
      </c>
      <c r="G7" s="1"/>
      <c r="H7" s="4"/>
      <c r="J7" s="13" t="s">
        <v>3</v>
      </c>
      <c r="K7" s="1">
        <v>2</v>
      </c>
      <c r="L7" s="14">
        <f t="shared" ref="L7:L13" si="2">SUMIF($D$6:$D$21,K7,$A$6:$A$21)-SUMIF($B$6:$B$21,K7,$A$6:$A$21)</f>
        <v>-4000</v>
      </c>
      <c r="M7" s="1">
        <v>-4000</v>
      </c>
      <c r="O7" t="s">
        <v>36</v>
      </c>
      <c r="P7">
        <v>1200</v>
      </c>
    </row>
    <row r="8" spans="1:16" x14ac:dyDescent="0.35">
      <c r="A8">
        <v>0</v>
      </c>
      <c r="B8" s="1">
        <f t="shared" si="0"/>
        <v>1</v>
      </c>
      <c r="C8" s="8" t="s">
        <v>4</v>
      </c>
      <c r="D8" s="1">
        <f t="shared" si="1"/>
        <v>4</v>
      </c>
      <c r="E8" s="8" t="s">
        <v>8</v>
      </c>
      <c r="F8" s="4">
        <f>260+P7</f>
        <v>1460</v>
      </c>
      <c r="G8" s="1"/>
      <c r="H8" s="4"/>
      <c r="J8" s="12" t="s">
        <v>7</v>
      </c>
      <c r="K8" s="1">
        <v>3</v>
      </c>
      <c r="L8" s="14">
        <f t="shared" si="2"/>
        <v>1500</v>
      </c>
      <c r="M8" s="1">
        <v>1500</v>
      </c>
      <c r="O8" t="s">
        <v>37</v>
      </c>
      <c r="P8">
        <v>1300</v>
      </c>
    </row>
    <row r="9" spans="1:16" x14ac:dyDescent="0.35">
      <c r="A9">
        <v>1500</v>
      </c>
      <c r="B9" s="1">
        <f t="shared" si="0"/>
        <v>2</v>
      </c>
      <c r="C9" s="8" t="s">
        <v>3</v>
      </c>
      <c r="D9" s="1">
        <f t="shared" si="1"/>
        <v>4</v>
      </c>
      <c r="E9" s="8" t="s">
        <v>8</v>
      </c>
      <c r="F9" s="4">
        <f>P8+290</f>
        <v>1590</v>
      </c>
      <c r="G9" s="1"/>
      <c r="H9" s="4"/>
      <c r="J9" s="12" t="s">
        <v>8</v>
      </c>
      <c r="K9" s="1">
        <v>4</v>
      </c>
      <c r="L9" s="14">
        <f>SUMIF($D$6:$D$21,K9,$A$6:$A$21)-SUMIF($B$6:$B$21,K9,$A$6:$A$21)</f>
        <v>1500</v>
      </c>
      <c r="M9" s="1">
        <v>1500</v>
      </c>
      <c r="O9" t="s">
        <v>38</v>
      </c>
    </row>
    <row r="10" spans="1:16" x14ac:dyDescent="0.35">
      <c r="A10">
        <v>0</v>
      </c>
      <c r="B10" s="1">
        <f t="shared" si="0"/>
        <v>1</v>
      </c>
      <c r="C10" s="3" t="s">
        <v>4</v>
      </c>
      <c r="D10" s="1">
        <f t="shared" si="1"/>
        <v>5</v>
      </c>
      <c r="E10" s="3" t="s">
        <v>9</v>
      </c>
      <c r="F10" s="4">
        <f>P7+250</f>
        <v>1450</v>
      </c>
      <c r="G10" s="1"/>
      <c r="H10" s="4"/>
      <c r="J10" s="12" t="s">
        <v>9</v>
      </c>
      <c r="K10" s="1">
        <v>5</v>
      </c>
      <c r="L10" s="14">
        <f>SUMIF($D$6:$D$21,K10,$A$6:$A$21)-SUMIF($B$6:$B$21,K10,$A$6:$A$21)</f>
        <v>2500</v>
      </c>
      <c r="M10" s="1">
        <v>1500</v>
      </c>
      <c r="O10" t="s">
        <v>36</v>
      </c>
      <c r="P10">
        <v>1250</v>
      </c>
    </row>
    <row r="11" spans="1:16" x14ac:dyDescent="0.35">
      <c r="A11">
        <v>2500</v>
      </c>
      <c r="B11" s="1">
        <f t="shared" si="0"/>
        <v>2</v>
      </c>
      <c r="C11" s="3" t="s">
        <v>3</v>
      </c>
      <c r="D11" s="1">
        <f t="shared" si="1"/>
        <v>5</v>
      </c>
      <c r="E11" s="3" t="s">
        <v>9</v>
      </c>
      <c r="F11" s="4">
        <f>P8+220</f>
        <v>1520</v>
      </c>
      <c r="G11" s="1"/>
      <c r="H11" s="17"/>
      <c r="J11" s="12" t="s">
        <v>10</v>
      </c>
      <c r="K11" s="1">
        <v>6</v>
      </c>
      <c r="L11" s="14">
        <f t="shared" si="2"/>
        <v>1500</v>
      </c>
      <c r="M11" s="1">
        <v>1500</v>
      </c>
      <c r="O11" t="s">
        <v>37</v>
      </c>
      <c r="P11">
        <v>1250</v>
      </c>
    </row>
    <row r="12" spans="1:16" x14ac:dyDescent="0.35">
      <c r="A12">
        <v>1500</v>
      </c>
      <c r="B12" s="1">
        <f t="shared" si="0"/>
        <v>1</v>
      </c>
      <c r="C12" s="10" t="s">
        <v>4</v>
      </c>
      <c r="D12" s="1">
        <f t="shared" si="1"/>
        <v>6</v>
      </c>
      <c r="E12" s="10" t="s">
        <v>10</v>
      </c>
      <c r="F12" s="4">
        <f>P7+230</f>
        <v>1430</v>
      </c>
      <c r="G12" s="1"/>
      <c r="H12" s="4"/>
      <c r="J12" s="13" t="s">
        <v>5</v>
      </c>
      <c r="K12" s="1">
        <v>7</v>
      </c>
      <c r="L12" s="14">
        <f t="shared" si="2"/>
        <v>-3000</v>
      </c>
      <c r="M12" s="1">
        <v>-3000</v>
      </c>
    </row>
    <row r="13" spans="1:16" x14ac:dyDescent="0.35">
      <c r="A13">
        <v>0</v>
      </c>
      <c r="B13" s="1">
        <f t="shared" si="0"/>
        <v>2</v>
      </c>
      <c r="C13" s="10" t="s">
        <v>3</v>
      </c>
      <c r="D13" s="1">
        <f t="shared" si="1"/>
        <v>6</v>
      </c>
      <c r="E13" s="10" t="s">
        <v>10</v>
      </c>
      <c r="F13" s="4">
        <f>P8+240</f>
        <v>1540</v>
      </c>
      <c r="G13" s="1"/>
      <c r="H13" s="4"/>
      <c r="J13" s="13" t="s">
        <v>6</v>
      </c>
      <c r="K13" s="1">
        <v>8</v>
      </c>
      <c r="L13" s="14">
        <f t="shared" si="2"/>
        <v>-4000</v>
      </c>
      <c r="M13" s="1">
        <v>-4000</v>
      </c>
    </row>
    <row r="14" spans="1:16" x14ac:dyDescent="0.35">
      <c r="A14">
        <v>0</v>
      </c>
      <c r="B14" s="1">
        <f t="shared" si="0"/>
        <v>7</v>
      </c>
      <c r="C14" s="2" t="s">
        <v>5</v>
      </c>
      <c r="D14" s="1">
        <f t="shared" si="1"/>
        <v>9</v>
      </c>
      <c r="E14" s="2" t="s">
        <v>11</v>
      </c>
      <c r="F14" s="4">
        <f>1250+(300*1.15)</f>
        <v>1595</v>
      </c>
      <c r="G14" s="1"/>
      <c r="H14" s="4"/>
      <c r="J14" s="12" t="s">
        <v>11</v>
      </c>
      <c r="K14" s="1">
        <v>9</v>
      </c>
      <c r="L14" s="14">
        <f>(SUMIF($D$6:$D$21,K14,$A$6:$A$21)-SUMIF($B$6:$B$21,K14,$A$6:$A$21))+L20</f>
        <v>2000</v>
      </c>
      <c r="M14" s="1">
        <v>2000</v>
      </c>
    </row>
    <row r="15" spans="1:16" x14ac:dyDescent="0.35">
      <c r="A15">
        <v>2000</v>
      </c>
      <c r="B15" s="1">
        <f t="shared" si="0"/>
        <v>8</v>
      </c>
      <c r="C15" s="2" t="s">
        <v>6</v>
      </c>
      <c r="D15" s="1">
        <f t="shared" si="1"/>
        <v>9</v>
      </c>
      <c r="E15" s="2" t="s">
        <v>11</v>
      </c>
      <c r="F15" s="4">
        <f>1250+(270*1.15)</f>
        <v>1560.5</v>
      </c>
      <c r="G15" s="1"/>
      <c r="H15" s="4"/>
      <c r="J15" s="12" t="s">
        <v>12</v>
      </c>
      <c r="K15" s="1">
        <v>10</v>
      </c>
      <c r="L15" s="14">
        <f t="shared" ref="L15:L17" si="3">(SUMIF($D$6:$D$21,K15,$A$6:$A$21)-SUMIF($B$6:$B$21,K15,$A$6:$A$21))+L21</f>
        <v>2000</v>
      </c>
      <c r="M15" s="1">
        <v>2000</v>
      </c>
    </row>
    <row r="16" spans="1:16" x14ac:dyDescent="0.35">
      <c r="A16">
        <v>2000</v>
      </c>
      <c r="B16" s="1">
        <f t="shared" si="0"/>
        <v>7</v>
      </c>
      <c r="C16" s="8" t="s">
        <v>5</v>
      </c>
      <c r="D16" s="1">
        <f t="shared" si="1"/>
        <v>10</v>
      </c>
      <c r="E16" s="8" t="s">
        <v>12</v>
      </c>
      <c r="F16" s="4">
        <f>1250+(260*1.15)</f>
        <v>1549</v>
      </c>
      <c r="G16" s="1"/>
      <c r="H16" s="4"/>
      <c r="J16" s="12" t="s">
        <v>13</v>
      </c>
      <c r="K16" s="1">
        <v>11</v>
      </c>
      <c r="L16" s="14">
        <f>(SUMIF($D$6:$D$21,K16,$A$6:$A$21)-SUMIF($B$6:$B$21,K16,$A$6:$A$21))+L22</f>
        <v>2000</v>
      </c>
      <c r="M16" s="1">
        <v>2000</v>
      </c>
    </row>
    <row r="17" spans="1:15" x14ac:dyDescent="0.35">
      <c r="A17">
        <v>0</v>
      </c>
      <c r="B17" s="1">
        <f t="shared" si="0"/>
        <v>8</v>
      </c>
      <c r="C17" s="8" t="s">
        <v>6</v>
      </c>
      <c r="D17" s="1">
        <f t="shared" si="1"/>
        <v>10</v>
      </c>
      <c r="E17" s="8" t="s">
        <v>12</v>
      </c>
      <c r="F17" s="4">
        <f>1250+(290*1.15)</f>
        <v>1583.5</v>
      </c>
      <c r="G17" s="1"/>
      <c r="H17" s="4"/>
      <c r="J17" s="12" t="s">
        <v>14</v>
      </c>
      <c r="K17" s="1">
        <v>12</v>
      </c>
      <c r="L17" s="14">
        <f t="shared" si="3"/>
        <v>2000</v>
      </c>
      <c r="M17" s="1">
        <v>2000</v>
      </c>
    </row>
    <row r="18" spans="1:15" x14ac:dyDescent="0.35">
      <c r="A18">
        <v>1000</v>
      </c>
      <c r="B18" s="1">
        <f t="shared" si="0"/>
        <v>7</v>
      </c>
      <c r="C18" s="3" t="s">
        <v>5</v>
      </c>
      <c r="D18" s="1">
        <f t="shared" si="1"/>
        <v>11</v>
      </c>
      <c r="E18" s="18" t="s">
        <v>13</v>
      </c>
      <c r="F18" s="4">
        <f>1250+(250*1.15)</f>
        <v>1537.5</v>
      </c>
      <c r="G18" s="1"/>
      <c r="H18" s="4"/>
      <c r="K18" s="1"/>
      <c r="L18" s="14"/>
      <c r="M18" s="1"/>
    </row>
    <row r="19" spans="1:15" x14ac:dyDescent="0.35">
      <c r="A19">
        <v>0</v>
      </c>
      <c r="B19" s="1">
        <f t="shared" si="0"/>
        <v>8</v>
      </c>
      <c r="C19" s="3" t="s">
        <v>6</v>
      </c>
      <c r="D19" s="1">
        <f t="shared" si="1"/>
        <v>11</v>
      </c>
      <c r="E19" s="18" t="s">
        <v>13</v>
      </c>
      <c r="F19" s="4">
        <f>1250+(220*1.15)</f>
        <v>1503</v>
      </c>
      <c r="G19" s="1"/>
      <c r="H19" s="4"/>
      <c r="J19" s="12" t="s">
        <v>40</v>
      </c>
      <c r="K19" s="1"/>
      <c r="L19" s="14"/>
      <c r="M19" s="1" t="s">
        <v>41</v>
      </c>
    </row>
    <row r="20" spans="1:15" x14ac:dyDescent="0.35">
      <c r="A20">
        <v>0</v>
      </c>
      <c r="B20" s="1">
        <f t="shared" si="0"/>
        <v>7</v>
      </c>
      <c r="C20" s="10" t="s">
        <v>5</v>
      </c>
      <c r="D20" s="1">
        <f t="shared" si="1"/>
        <v>12</v>
      </c>
      <c r="E20" s="10" t="s">
        <v>14</v>
      </c>
      <c r="F20" s="4">
        <f>1250+(230*1.15)</f>
        <v>1514.5</v>
      </c>
      <c r="G20" s="1"/>
      <c r="H20" s="4"/>
      <c r="J20" s="12" t="s">
        <v>7</v>
      </c>
      <c r="K20" s="1">
        <v>3</v>
      </c>
      <c r="L20" s="14">
        <f>L8-M8</f>
        <v>0</v>
      </c>
      <c r="M20" s="1">
        <f>L20*100</f>
        <v>0</v>
      </c>
    </row>
    <row r="21" spans="1:15" x14ac:dyDescent="0.35">
      <c r="A21">
        <v>2000</v>
      </c>
      <c r="B21" s="1">
        <f t="shared" si="0"/>
        <v>8</v>
      </c>
      <c r="C21" s="10" t="s">
        <v>6</v>
      </c>
      <c r="D21" s="1">
        <f t="shared" si="1"/>
        <v>12</v>
      </c>
      <c r="E21" s="10" t="s">
        <v>14</v>
      </c>
      <c r="F21" s="4">
        <f>1250+(240*1.15)</f>
        <v>1526</v>
      </c>
      <c r="G21" s="1"/>
      <c r="H21" s="4"/>
      <c r="J21" s="12" t="s">
        <v>8</v>
      </c>
      <c r="K21" s="1">
        <v>4</v>
      </c>
      <c r="L21" s="14">
        <f t="shared" ref="L21:L23" si="4">L9-M9</f>
        <v>0</v>
      </c>
      <c r="M21" s="1">
        <f t="shared" ref="M21:M23" si="5">L21*100</f>
        <v>0</v>
      </c>
    </row>
    <row r="22" spans="1:15" x14ac:dyDescent="0.35">
      <c r="B22" s="1"/>
      <c r="C22" s="1"/>
      <c r="D22" s="1"/>
      <c r="E22" s="1"/>
      <c r="F22" s="1"/>
      <c r="G22" s="1"/>
      <c r="H22" s="4"/>
      <c r="J22" s="12" t="s">
        <v>9</v>
      </c>
      <c r="K22" s="1">
        <v>5</v>
      </c>
      <c r="L22" s="14">
        <f t="shared" si="4"/>
        <v>1000</v>
      </c>
      <c r="M22" s="1">
        <f t="shared" si="5"/>
        <v>100000</v>
      </c>
    </row>
    <row r="23" spans="1:15" x14ac:dyDescent="0.35">
      <c r="B23" s="1"/>
      <c r="C23" s="1"/>
      <c r="D23" s="1"/>
      <c r="F23" s="1"/>
      <c r="G23" s="1"/>
      <c r="H23" s="4"/>
      <c r="J23" s="12" t="s">
        <v>10</v>
      </c>
      <c r="K23" s="1">
        <v>6</v>
      </c>
      <c r="L23" s="14">
        <f t="shared" si="4"/>
        <v>0</v>
      </c>
      <c r="M23" s="1">
        <f t="shared" si="5"/>
        <v>0</v>
      </c>
    </row>
    <row r="24" spans="1:15" x14ac:dyDescent="0.35">
      <c r="B24" s="1"/>
      <c r="C24" s="1"/>
      <c r="D24" s="1"/>
      <c r="E24" s="1"/>
      <c r="F24" s="1"/>
      <c r="G24" s="1"/>
      <c r="H24" s="4"/>
      <c r="M24" s="1">
        <f>SUM(M20:M23)</f>
        <v>100000</v>
      </c>
    </row>
    <row r="25" spans="1:15" x14ac:dyDescent="0.35">
      <c r="B25" s="1"/>
      <c r="C25" s="1"/>
      <c r="D25" s="1"/>
      <c r="E25" s="1"/>
      <c r="F25" s="1"/>
      <c r="G25" s="1"/>
      <c r="H25" s="4"/>
    </row>
    <row r="26" spans="1:15" x14ac:dyDescent="0.35">
      <c r="B26" s="1"/>
      <c r="C26" s="1"/>
      <c r="D26" s="1"/>
      <c r="E26" s="1"/>
      <c r="F26" s="1"/>
      <c r="G26" s="1"/>
    </row>
    <row r="27" spans="1:15" x14ac:dyDescent="0.35">
      <c r="G27" t="s">
        <v>25</v>
      </c>
      <c r="H27" s="4">
        <f>SUMPRODUCT(A6:A21,F6:F21)-M24</f>
        <v>21288500</v>
      </c>
    </row>
    <row r="28" spans="1:15" x14ac:dyDescent="0.35">
      <c r="N28" t="s">
        <v>39</v>
      </c>
    </row>
    <row r="29" spans="1:15" x14ac:dyDescent="0.35">
      <c r="N29" t="s">
        <v>31</v>
      </c>
      <c r="O29" t="s">
        <v>32</v>
      </c>
    </row>
    <row r="30" spans="1:15" x14ac:dyDescent="0.35">
      <c r="C30" t="s">
        <v>29</v>
      </c>
      <c r="N30">
        <v>300</v>
      </c>
      <c r="O30" t="s">
        <v>33</v>
      </c>
    </row>
    <row r="31" spans="1:15" x14ac:dyDescent="0.35">
      <c r="C31" t="s">
        <v>30</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EFB37-937F-4654-9AAF-9BDA273FAB8A}">
  <dimension ref="A1"/>
  <sheetViews>
    <sheetView topLeftCell="A4" workbookViewId="0">
      <selection activeCell="D25" sqref="D25"/>
    </sheetView>
  </sheetViews>
  <sheetFormatPr defaultRowHeight="14.5" x14ac:dyDescent="0.35"/>
  <cols>
    <col min="1" max="16384" width="8.7265625" style="27"/>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D77B-B1DA-4F99-B7B2-486B6A15EB8E}">
  <dimension ref="A5:Q32"/>
  <sheetViews>
    <sheetView topLeftCell="B4" workbookViewId="0">
      <selection activeCell="N19" sqref="N19"/>
    </sheetView>
  </sheetViews>
  <sheetFormatPr defaultColWidth="9.1796875" defaultRowHeight="14.5" x14ac:dyDescent="0.35"/>
  <cols>
    <col min="1" max="2" width="9.1796875" style="20"/>
    <col min="3" max="3" width="10.1796875" style="20" customWidth="1"/>
    <col min="4" max="4" width="9.1796875" style="20"/>
    <col min="5" max="7" width="11.7265625" style="20" customWidth="1"/>
    <col min="8" max="8" width="13.453125" style="20" customWidth="1"/>
    <col min="9" max="9" width="15.26953125" style="20" bestFit="1" customWidth="1"/>
    <col min="10" max="10" width="10.453125" style="20" customWidth="1"/>
    <col min="11" max="12" width="9.1796875" style="20"/>
    <col min="13" max="13" width="15.453125" style="20" customWidth="1"/>
    <col min="14" max="16384" width="9.1796875" style="20"/>
  </cols>
  <sheetData>
    <row r="5" spans="1:17" x14ac:dyDescent="0.35">
      <c r="A5" s="19" t="s">
        <v>15</v>
      </c>
      <c r="B5" s="19" t="s">
        <v>16</v>
      </c>
      <c r="C5" s="19"/>
      <c r="D5" s="19" t="s">
        <v>17</v>
      </c>
      <c r="E5" s="19"/>
      <c r="F5" s="19" t="s">
        <v>46</v>
      </c>
      <c r="G5" s="19" t="s">
        <v>47</v>
      </c>
      <c r="H5" s="19" t="s">
        <v>20</v>
      </c>
      <c r="I5" s="24"/>
      <c r="J5" s="19"/>
      <c r="K5" s="19" t="s">
        <v>0</v>
      </c>
      <c r="L5" s="19" t="s">
        <v>1</v>
      </c>
      <c r="M5" s="19" t="s">
        <v>2</v>
      </c>
      <c r="P5" s="21" t="s">
        <v>34</v>
      </c>
    </row>
    <row r="6" spans="1:17" x14ac:dyDescent="0.35">
      <c r="A6" s="20">
        <v>10</v>
      </c>
      <c r="B6" s="22">
        <f>VLOOKUP(C6,$J$6:$K$21,2,FALSE)</f>
        <v>1</v>
      </c>
      <c r="C6" s="22" t="s">
        <v>4</v>
      </c>
      <c r="D6" s="22">
        <f>VLOOKUP(E6,$J$6:$K$21,2,FALSE)</f>
        <v>3</v>
      </c>
      <c r="E6" s="22" t="s">
        <v>7</v>
      </c>
      <c r="F6" s="22">
        <v>10</v>
      </c>
      <c r="G6" s="22">
        <v>300</v>
      </c>
      <c r="H6" s="25">
        <f>300+Q7</f>
        <v>1500</v>
      </c>
      <c r="J6" s="20" t="s">
        <v>4</v>
      </c>
      <c r="K6" s="22">
        <v>1</v>
      </c>
      <c r="L6" s="23">
        <f>SUMIF($D$6:$D$29,K6,$A$6:$A$29)-SUMIF($B$6:$B$29,K6,$A$6:$A$29)</f>
        <v>-300</v>
      </c>
      <c r="M6" s="22">
        <f>-3000/10</f>
        <v>-300</v>
      </c>
      <c r="P6" s="20" t="s">
        <v>35</v>
      </c>
    </row>
    <row r="7" spans="1:17" x14ac:dyDescent="0.35">
      <c r="A7" s="20">
        <v>140</v>
      </c>
      <c r="B7" s="22">
        <f t="shared" ref="B7:B29" si="0">VLOOKUP(C7,$J$6:$K$21,2,FALSE)</f>
        <v>2</v>
      </c>
      <c r="C7" s="22" t="s">
        <v>3</v>
      </c>
      <c r="D7" s="22">
        <f t="shared" ref="D7:D29" si="1">VLOOKUP(E7,$J$6:$K$21,2,FALSE)</f>
        <v>3</v>
      </c>
      <c r="E7" s="22" t="s">
        <v>7</v>
      </c>
      <c r="F7" s="22">
        <v>10</v>
      </c>
      <c r="G7" s="22">
        <v>400</v>
      </c>
      <c r="H7" s="25">
        <f>270+Q8</f>
        <v>1570</v>
      </c>
      <c r="J7" s="20" t="s">
        <v>3</v>
      </c>
      <c r="K7" s="22">
        <v>2</v>
      </c>
      <c r="L7" s="23">
        <f t="shared" ref="L7:L21" si="2">SUMIF($D$6:$D$29,K7,$A$6:$A$29)-SUMIF($B$6:$B$29,K7,$A$6:$A$29)</f>
        <v>-300</v>
      </c>
      <c r="M7" s="22">
        <f>-4000/10</f>
        <v>-400</v>
      </c>
      <c r="P7" s="20" t="s">
        <v>36</v>
      </c>
      <c r="Q7" s="20">
        <v>1200</v>
      </c>
    </row>
    <row r="8" spans="1:17" x14ac:dyDescent="0.35">
      <c r="A8" s="20">
        <v>140</v>
      </c>
      <c r="B8" s="22">
        <f t="shared" si="0"/>
        <v>1</v>
      </c>
      <c r="C8" s="22" t="s">
        <v>4</v>
      </c>
      <c r="D8" s="22">
        <f t="shared" si="1"/>
        <v>4</v>
      </c>
      <c r="E8" s="22" t="s">
        <v>8</v>
      </c>
      <c r="F8" s="22">
        <v>10</v>
      </c>
      <c r="G8" s="22">
        <v>300</v>
      </c>
      <c r="H8" s="25">
        <f>260+Q7</f>
        <v>1460</v>
      </c>
      <c r="J8" s="20" t="s">
        <v>7</v>
      </c>
      <c r="K8" s="22">
        <v>3</v>
      </c>
      <c r="L8" s="23">
        <f t="shared" si="2"/>
        <v>150</v>
      </c>
      <c r="M8" s="22">
        <f>1500/10</f>
        <v>150</v>
      </c>
      <c r="P8" s="20" t="s">
        <v>37</v>
      </c>
      <c r="Q8" s="20">
        <v>1300</v>
      </c>
    </row>
    <row r="9" spans="1:17" x14ac:dyDescent="0.35">
      <c r="A9" s="20">
        <v>10</v>
      </c>
      <c r="B9" s="22">
        <f t="shared" si="0"/>
        <v>2</v>
      </c>
      <c r="C9" s="22" t="s">
        <v>3</v>
      </c>
      <c r="D9" s="22">
        <f t="shared" si="1"/>
        <v>4</v>
      </c>
      <c r="E9" s="22" t="s">
        <v>8</v>
      </c>
      <c r="F9" s="22">
        <v>10</v>
      </c>
      <c r="G9" s="22">
        <v>400</v>
      </c>
      <c r="H9" s="25">
        <f>Q8+290</f>
        <v>1590</v>
      </c>
      <c r="J9" s="20" t="s">
        <v>8</v>
      </c>
      <c r="K9" s="22">
        <v>4</v>
      </c>
      <c r="L9" s="23">
        <f t="shared" si="2"/>
        <v>150</v>
      </c>
      <c r="M9" s="22">
        <f>1500/10</f>
        <v>150</v>
      </c>
      <c r="P9" s="20" t="s">
        <v>38</v>
      </c>
    </row>
    <row r="10" spans="1:17" x14ac:dyDescent="0.35">
      <c r="A10" s="20">
        <v>10</v>
      </c>
      <c r="B10" s="22">
        <f t="shared" si="0"/>
        <v>1</v>
      </c>
      <c r="C10" s="22" t="s">
        <v>4</v>
      </c>
      <c r="D10" s="22">
        <f t="shared" si="1"/>
        <v>5</v>
      </c>
      <c r="E10" s="22" t="s">
        <v>9</v>
      </c>
      <c r="F10" s="22">
        <v>10</v>
      </c>
      <c r="G10" s="22">
        <v>300</v>
      </c>
      <c r="H10" s="25">
        <f>Q7+250</f>
        <v>1450</v>
      </c>
      <c r="J10" s="20" t="s">
        <v>9</v>
      </c>
      <c r="K10" s="22">
        <v>5</v>
      </c>
      <c r="L10" s="23">
        <f t="shared" si="2"/>
        <v>150</v>
      </c>
      <c r="M10" s="22">
        <f>1500/10</f>
        <v>150</v>
      </c>
      <c r="P10" s="20" t="s">
        <v>36</v>
      </c>
      <c r="Q10" s="20">
        <v>1250</v>
      </c>
    </row>
    <row r="11" spans="1:17" x14ac:dyDescent="0.35">
      <c r="A11" s="20">
        <v>140</v>
      </c>
      <c r="B11" s="22">
        <f t="shared" si="0"/>
        <v>2</v>
      </c>
      <c r="C11" s="22" t="s">
        <v>3</v>
      </c>
      <c r="D11" s="22">
        <f t="shared" si="1"/>
        <v>5</v>
      </c>
      <c r="E11" s="22" t="s">
        <v>9</v>
      </c>
      <c r="F11" s="22">
        <v>10</v>
      </c>
      <c r="G11" s="22">
        <v>400</v>
      </c>
      <c r="H11" s="25">
        <f>Q8+220</f>
        <v>1520</v>
      </c>
      <c r="J11" s="20" t="s">
        <v>10</v>
      </c>
      <c r="K11" s="22">
        <v>6</v>
      </c>
      <c r="L11" s="23">
        <f t="shared" si="2"/>
        <v>150</v>
      </c>
      <c r="M11" s="22">
        <f>1500/10</f>
        <v>150</v>
      </c>
      <c r="P11" s="20" t="s">
        <v>37</v>
      </c>
      <c r="Q11" s="20">
        <v>1250</v>
      </c>
    </row>
    <row r="12" spans="1:17" x14ac:dyDescent="0.35">
      <c r="A12" s="20">
        <v>140</v>
      </c>
      <c r="B12" s="22">
        <f t="shared" si="0"/>
        <v>1</v>
      </c>
      <c r="C12" s="22" t="s">
        <v>4</v>
      </c>
      <c r="D12" s="22">
        <f t="shared" si="1"/>
        <v>6</v>
      </c>
      <c r="E12" s="22" t="s">
        <v>10</v>
      </c>
      <c r="F12" s="22">
        <v>10</v>
      </c>
      <c r="G12" s="22">
        <v>300</v>
      </c>
      <c r="H12" s="25">
        <f>Q7+230</f>
        <v>1430</v>
      </c>
      <c r="J12" s="20" t="s">
        <v>43</v>
      </c>
      <c r="K12" s="22">
        <v>7</v>
      </c>
      <c r="L12" s="23">
        <f t="shared" si="2"/>
        <v>0</v>
      </c>
      <c r="M12" s="22">
        <v>500</v>
      </c>
    </row>
    <row r="13" spans="1:17" x14ac:dyDescent="0.35">
      <c r="A13" s="20">
        <v>10</v>
      </c>
      <c r="B13" s="22">
        <f t="shared" si="0"/>
        <v>2</v>
      </c>
      <c r="C13" s="22" t="s">
        <v>3</v>
      </c>
      <c r="D13" s="22">
        <f t="shared" si="1"/>
        <v>6</v>
      </c>
      <c r="E13" s="22" t="s">
        <v>10</v>
      </c>
      <c r="F13" s="22">
        <v>10</v>
      </c>
      <c r="G13" s="22">
        <v>400</v>
      </c>
      <c r="H13" s="25">
        <f>Q8+240</f>
        <v>1540</v>
      </c>
      <c r="J13" s="20" t="s">
        <v>42</v>
      </c>
      <c r="K13" s="22">
        <v>8</v>
      </c>
      <c r="L13" s="23">
        <f t="shared" si="2"/>
        <v>-50</v>
      </c>
      <c r="M13" s="22">
        <v>500</v>
      </c>
    </row>
    <row r="14" spans="1:17" x14ac:dyDescent="0.35">
      <c r="A14" s="20">
        <v>0</v>
      </c>
      <c r="B14" s="22">
        <f t="shared" si="0"/>
        <v>3</v>
      </c>
      <c r="C14" s="22" t="s">
        <v>7</v>
      </c>
      <c r="D14" s="22">
        <f t="shared" si="1"/>
        <v>7</v>
      </c>
      <c r="E14" s="20" t="s">
        <v>43</v>
      </c>
      <c r="F14" s="22">
        <v>0</v>
      </c>
      <c r="G14" s="22">
        <v>50</v>
      </c>
      <c r="H14" s="26">
        <v>0</v>
      </c>
      <c r="J14" s="20" t="s">
        <v>44</v>
      </c>
      <c r="K14" s="22">
        <v>9</v>
      </c>
      <c r="L14" s="23">
        <f t="shared" si="2"/>
        <v>0</v>
      </c>
      <c r="M14" s="22">
        <v>500</v>
      </c>
    </row>
    <row r="15" spans="1:17" x14ac:dyDescent="0.35">
      <c r="A15" s="20">
        <v>0</v>
      </c>
      <c r="B15" s="22">
        <f t="shared" si="0"/>
        <v>4</v>
      </c>
      <c r="C15" s="22" t="s">
        <v>8</v>
      </c>
      <c r="D15" s="22">
        <f t="shared" si="1"/>
        <v>8</v>
      </c>
      <c r="E15" s="20" t="s">
        <v>42</v>
      </c>
      <c r="F15" s="22">
        <v>0</v>
      </c>
      <c r="G15" s="22">
        <v>50</v>
      </c>
      <c r="H15" s="26">
        <v>0</v>
      </c>
      <c r="J15" s="20" t="s">
        <v>45</v>
      </c>
      <c r="K15" s="22">
        <v>10</v>
      </c>
      <c r="L15" s="23">
        <f t="shared" si="2"/>
        <v>0</v>
      </c>
      <c r="M15" s="22">
        <v>500</v>
      </c>
    </row>
    <row r="16" spans="1:17" x14ac:dyDescent="0.35">
      <c r="A16" s="20">
        <v>0</v>
      </c>
      <c r="B16" s="22">
        <f t="shared" si="0"/>
        <v>5</v>
      </c>
      <c r="C16" s="22" t="s">
        <v>9</v>
      </c>
      <c r="D16" s="22">
        <f t="shared" si="1"/>
        <v>9</v>
      </c>
      <c r="E16" s="20" t="s">
        <v>44</v>
      </c>
      <c r="F16" s="22">
        <v>0</v>
      </c>
      <c r="G16" s="22">
        <v>50</v>
      </c>
      <c r="H16" s="26">
        <v>0</v>
      </c>
      <c r="J16" s="20" t="s">
        <v>5</v>
      </c>
      <c r="K16" s="22">
        <v>11</v>
      </c>
      <c r="L16" s="23">
        <f t="shared" si="2"/>
        <v>-300</v>
      </c>
      <c r="M16" s="22">
        <f>-3000/10</f>
        <v>-300</v>
      </c>
    </row>
    <row r="17" spans="1:13" x14ac:dyDescent="0.35">
      <c r="A17" s="20">
        <v>0</v>
      </c>
      <c r="B17" s="22">
        <f t="shared" si="0"/>
        <v>6</v>
      </c>
      <c r="C17" s="22" t="s">
        <v>10</v>
      </c>
      <c r="D17" s="22">
        <f t="shared" si="1"/>
        <v>10</v>
      </c>
      <c r="E17" s="20" t="s">
        <v>45</v>
      </c>
      <c r="F17" s="22">
        <v>0</v>
      </c>
      <c r="G17" s="22">
        <v>50</v>
      </c>
      <c r="H17" s="26">
        <v>0</v>
      </c>
      <c r="J17" s="20" t="s">
        <v>6</v>
      </c>
      <c r="K17" s="22">
        <v>12</v>
      </c>
      <c r="L17" s="23">
        <f t="shared" si="2"/>
        <v>-400</v>
      </c>
      <c r="M17" s="22">
        <f>-4000/10</f>
        <v>-400</v>
      </c>
    </row>
    <row r="18" spans="1:13" x14ac:dyDescent="0.35">
      <c r="A18" s="20">
        <v>0</v>
      </c>
      <c r="B18" s="22">
        <f t="shared" si="0"/>
        <v>7</v>
      </c>
      <c r="C18" s="20" t="s">
        <v>43</v>
      </c>
      <c r="D18" s="22">
        <f t="shared" si="1"/>
        <v>13</v>
      </c>
      <c r="E18" s="20" t="s">
        <v>11</v>
      </c>
      <c r="F18" s="22">
        <v>0</v>
      </c>
      <c r="G18" s="22">
        <v>50</v>
      </c>
      <c r="H18" s="26">
        <v>0</v>
      </c>
      <c r="J18" s="20" t="s">
        <v>11</v>
      </c>
      <c r="K18" s="22">
        <v>13</v>
      </c>
      <c r="L18" s="23">
        <f t="shared" si="2"/>
        <v>200</v>
      </c>
      <c r="M18" s="22">
        <f>2000/10</f>
        <v>200</v>
      </c>
    </row>
    <row r="19" spans="1:13" x14ac:dyDescent="0.35">
      <c r="A19" s="20">
        <v>50</v>
      </c>
      <c r="B19" s="22">
        <f t="shared" si="0"/>
        <v>8</v>
      </c>
      <c r="C19" s="20" t="s">
        <v>42</v>
      </c>
      <c r="D19" s="22">
        <f t="shared" si="1"/>
        <v>14</v>
      </c>
      <c r="E19" s="20" t="s">
        <v>12</v>
      </c>
      <c r="F19" s="22">
        <v>0</v>
      </c>
      <c r="G19" s="22">
        <v>50</v>
      </c>
      <c r="H19" s="26">
        <v>0</v>
      </c>
      <c r="J19" s="20" t="s">
        <v>12</v>
      </c>
      <c r="K19" s="22">
        <v>14</v>
      </c>
      <c r="L19" s="23">
        <f t="shared" si="2"/>
        <v>150</v>
      </c>
      <c r="M19" s="22">
        <f>2000/10</f>
        <v>200</v>
      </c>
    </row>
    <row r="20" spans="1:13" x14ac:dyDescent="0.35">
      <c r="A20" s="20">
        <v>0</v>
      </c>
      <c r="B20" s="22">
        <f t="shared" si="0"/>
        <v>9</v>
      </c>
      <c r="C20" s="20" t="s">
        <v>44</v>
      </c>
      <c r="D20" s="22">
        <f t="shared" si="1"/>
        <v>15</v>
      </c>
      <c r="E20" s="20" t="s">
        <v>13</v>
      </c>
      <c r="F20" s="22">
        <v>0</v>
      </c>
      <c r="G20" s="22">
        <v>50</v>
      </c>
      <c r="H20" s="26">
        <v>0</v>
      </c>
      <c r="J20" s="20" t="s">
        <v>13</v>
      </c>
      <c r="K20" s="22">
        <v>15</v>
      </c>
      <c r="L20" s="23">
        <f t="shared" si="2"/>
        <v>200</v>
      </c>
      <c r="M20" s="22">
        <f>2000/10</f>
        <v>200</v>
      </c>
    </row>
    <row r="21" spans="1:13" x14ac:dyDescent="0.35">
      <c r="A21" s="20">
        <v>0</v>
      </c>
      <c r="B21" s="22">
        <f t="shared" si="0"/>
        <v>10</v>
      </c>
      <c r="C21" s="20" t="s">
        <v>45</v>
      </c>
      <c r="D21" s="22">
        <f t="shared" si="1"/>
        <v>16</v>
      </c>
      <c r="E21" s="20" t="s">
        <v>14</v>
      </c>
      <c r="F21" s="22">
        <v>0</v>
      </c>
      <c r="G21" s="22">
        <v>50</v>
      </c>
      <c r="H21" s="26">
        <v>0</v>
      </c>
      <c r="J21" s="20" t="s">
        <v>14</v>
      </c>
      <c r="K21" s="22">
        <v>16</v>
      </c>
      <c r="L21" s="23">
        <f t="shared" si="2"/>
        <v>200</v>
      </c>
      <c r="M21" s="22">
        <f>2000/10</f>
        <v>200</v>
      </c>
    </row>
    <row r="22" spans="1:13" x14ac:dyDescent="0.35">
      <c r="A22" s="20">
        <v>10</v>
      </c>
      <c r="B22" s="22">
        <f t="shared" si="0"/>
        <v>11</v>
      </c>
      <c r="C22" s="20" t="s">
        <v>5</v>
      </c>
      <c r="D22" s="22">
        <f t="shared" si="1"/>
        <v>13</v>
      </c>
      <c r="E22" s="20" t="s">
        <v>11</v>
      </c>
      <c r="F22" s="22">
        <v>10</v>
      </c>
      <c r="G22" s="22">
        <v>300</v>
      </c>
      <c r="H22" s="26">
        <f>300+Q10</f>
        <v>1550</v>
      </c>
    </row>
    <row r="23" spans="1:13" x14ac:dyDescent="0.35">
      <c r="A23" s="20">
        <v>190</v>
      </c>
      <c r="B23" s="22">
        <f t="shared" si="0"/>
        <v>12</v>
      </c>
      <c r="C23" s="20" t="s">
        <v>6</v>
      </c>
      <c r="D23" s="22">
        <f t="shared" si="1"/>
        <v>13</v>
      </c>
      <c r="E23" s="20" t="s">
        <v>11</v>
      </c>
      <c r="F23" s="22">
        <v>10</v>
      </c>
      <c r="G23" s="22">
        <v>400</v>
      </c>
      <c r="H23" s="26">
        <f>270+Q10</f>
        <v>1520</v>
      </c>
    </row>
    <row r="24" spans="1:13" x14ac:dyDescent="0.35">
      <c r="A24" s="20">
        <v>90</v>
      </c>
      <c r="B24" s="22">
        <f t="shared" si="0"/>
        <v>11</v>
      </c>
      <c r="C24" s="20" t="s">
        <v>5</v>
      </c>
      <c r="D24" s="22">
        <f t="shared" si="1"/>
        <v>14</v>
      </c>
      <c r="E24" s="20" t="s">
        <v>12</v>
      </c>
      <c r="F24" s="22">
        <v>10</v>
      </c>
      <c r="G24" s="22">
        <v>300</v>
      </c>
      <c r="H24" s="26">
        <f>260+Q10</f>
        <v>1510</v>
      </c>
    </row>
    <row r="25" spans="1:13" x14ac:dyDescent="0.35">
      <c r="A25" s="20">
        <v>10</v>
      </c>
      <c r="B25" s="22">
        <f t="shared" si="0"/>
        <v>12</v>
      </c>
      <c r="C25" s="20" t="s">
        <v>6</v>
      </c>
      <c r="D25" s="22">
        <f t="shared" si="1"/>
        <v>14</v>
      </c>
      <c r="E25" s="20" t="s">
        <v>12</v>
      </c>
      <c r="F25" s="22">
        <v>10</v>
      </c>
      <c r="G25" s="22">
        <v>400</v>
      </c>
      <c r="H25" s="26">
        <f>290+Q11</f>
        <v>1540</v>
      </c>
    </row>
    <row r="26" spans="1:13" x14ac:dyDescent="0.35">
      <c r="A26" s="20">
        <v>10</v>
      </c>
      <c r="B26" s="22">
        <f t="shared" si="0"/>
        <v>11</v>
      </c>
      <c r="C26" s="20" t="s">
        <v>5</v>
      </c>
      <c r="D26" s="22">
        <f t="shared" si="1"/>
        <v>15</v>
      </c>
      <c r="E26" s="20" t="s">
        <v>13</v>
      </c>
      <c r="F26" s="22">
        <v>10</v>
      </c>
      <c r="G26" s="22">
        <v>300</v>
      </c>
      <c r="H26" s="26">
        <f>250+Q10</f>
        <v>1500</v>
      </c>
    </row>
    <row r="27" spans="1:13" x14ac:dyDescent="0.35">
      <c r="A27" s="20">
        <v>190</v>
      </c>
      <c r="B27" s="22">
        <f t="shared" si="0"/>
        <v>12</v>
      </c>
      <c r="C27" s="20" t="s">
        <v>6</v>
      </c>
      <c r="D27" s="22">
        <f t="shared" si="1"/>
        <v>15</v>
      </c>
      <c r="E27" s="20" t="s">
        <v>13</v>
      </c>
      <c r="F27" s="22">
        <v>10</v>
      </c>
      <c r="G27" s="22">
        <v>400</v>
      </c>
      <c r="H27" s="26">
        <f>220+Q11</f>
        <v>1470</v>
      </c>
    </row>
    <row r="28" spans="1:13" x14ac:dyDescent="0.35">
      <c r="A28" s="20">
        <v>190</v>
      </c>
      <c r="B28" s="22">
        <f t="shared" si="0"/>
        <v>11</v>
      </c>
      <c r="C28" s="20" t="s">
        <v>5</v>
      </c>
      <c r="D28" s="22">
        <f t="shared" si="1"/>
        <v>16</v>
      </c>
      <c r="E28" s="20" t="s">
        <v>14</v>
      </c>
      <c r="F28" s="22">
        <v>10</v>
      </c>
      <c r="G28" s="22">
        <v>300</v>
      </c>
      <c r="H28" s="26">
        <f>230+Q10</f>
        <v>1480</v>
      </c>
    </row>
    <row r="29" spans="1:13" x14ac:dyDescent="0.35">
      <c r="A29" s="20">
        <v>10</v>
      </c>
      <c r="B29" s="22">
        <f t="shared" si="0"/>
        <v>12</v>
      </c>
      <c r="C29" s="20" t="s">
        <v>6</v>
      </c>
      <c r="D29" s="22">
        <f t="shared" si="1"/>
        <v>16</v>
      </c>
      <c r="E29" s="20" t="s">
        <v>14</v>
      </c>
      <c r="F29" s="22">
        <v>10</v>
      </c>
      <c r="G29" s="22">
        <v>400</v>
      </c>
      <c r="H29" s="26">
        <f>240+Q11</f>
        <v>1490</v>
      </c>
    </row>
    <row r="32" spans="1:13" x14ac:dyDescent="0.35">
      <c r="H32" s="20" t="s">
        <v>48</v>
      </c>
      <c r="I32" s="26">
        <f>SUMPRODUCT(A6:A29,H6:H29)</f>
        <v>1944000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86943-1E37-49C3-8FE0-954E3B417829}">
  <dimension ref="A1"/>
  <sheetViews>
    <sheetView tabSelected="1" workbookViewId="0">
      <selection activeCell="J16" sqref="J16"/>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Sheet1 (2)</vt:lpstr>
      <vt:lpstr>Cover_page</vt:lpstr>
      <vt:lpstr>Case II Model</vt:lpstr>
      <vt:lpstr>Case II Report Solution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dc:creator>
  <cp:lastModifiedBy>Jason Siu</cp:lastModifiedBy>
  <dcterms:created xsi:type="dcterms:W3CDTF">2022-09-28T06:52:33Z</dcterms:created>
  <dcterms:modified xsi:type="dcterms:W3CDTF">2022-10-11T05:49:08Z</dcterms:modified>
</cp:coreProperties>
</file>