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sa3\Documents\GitHub\FIT3158---Assignment\"/>
    </mc:Choice>
  </mc:AlternateContent>
  <xr:revisionPtr revIDLastSave="0" documentId="13_ncr:1_{F91324A7-247C-41B1-8C09-5D1ECC9E8058}" xr6:coauthVersionLast="47" xr6:coauthVersionMax="47" xr10:uidLastSave="{00000000-0000-0000-0000-000000000000}"/>
  <bookViews>
    <workbookView xWindow="-110" yWindow="-110" windowWidth="19420" windowHeight="11020" activeTab="3" xr2:uid="{458D91AB-8241-40A1-A008-1DAA48E347C7}"/>
  </bookViews>
  <sheets>
    <sheet name="Cover_page" sheetId="2" r:id="rId1"/>
    <sheet name="Sheet1" sheetId="1" r:id="rId2"/>
    <sheet name="Q5" sheetId="4" r:id="rId3"/>
    <sheet name="Q6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0" i="3" l="1"/>
  <c r="N21" i="3"/>
  <c r="N22" i="3"/>
  <c r="N19" i="3"/>
  <c r="B15" i="3"/>
  <c r="B12" i="1"/>
  <c r="C12" i="1"/>
  <c r="I22" i="3"/>
  <c r="H22" i="3"/>
  <c r="M22" i="3" s="1"/>
  <c r="I21" i="3"/>
  <c r="H21" i="3"/>
  <c r="L21" i="3" s="1"/>
  <c r="I20" i="3"/>
  <c r="H20" i="3"/>
  <c r="M20" i="3" s="1"/>
  <c r="K21" i="3" l="1"/>
  <c r="J21" i="3"/>
  <c r="O21" i="3" s="1"/>
  <c r="M21" i="3"/>
  <c r="P21" i="3" s="1"/>
  <c r="J20" i="3"/>
  <c r="O20" i="3" s="1"/>
  <c r="K20" i="3"/>
  <c r="L20" i="3"/>
  <c r="J22" i="3"/>
  <c r="O22" i="3" s="1"/>
  <c r="P22" i="3" s="1"/>
  <c r="K22" i="3"/>
  <c r="L22" i="3"/>
  <c r="H19" i="3"/>
  <c r="L19" i="3" s="1"/>
  <c r="I19" i="3"/>
  <c r="I14" i="4"/>
  <c r="J14" i="4" s="1"/>
  <c r="I15" i="4"/>
  <c r="J15" i="4" s="1"/>
  <c r="I16" i="4"/>
  <c r="J16" i="4" s="1"/>
  <c r="I17" i="4"/>
  <c r="I18" i="4"/>
  <c r="J18" i="4" s="1"/>
  <c r="I19" i="4"/>
  <c r="J19" i="4" s="1"/>
  <c r="I20" i="4"/>
  <c r="I21" i="4"/>
  <c r="I22" i="4"/>
  <c r="I23" i="4"/>
  <c r="I13" i="4"/>
  <c r="J13" i="4" s="1"/>
  <c r="J17" i="4"/>
  <c r="J20" i="4"/>
  <c r="J21" i="4"/>
  <c r="J22" i="4"/>
  <c r="J23" i="4"/>
  <c r="H14" i="4"/>
  <c r="H15" i="4"/>
  <c r="H16" i="4"/>
  <c r="H17" i="4"/>
  <c r="H18" i="4"/>
  <c r="H19" i="4"/>
  <c r="H20" i="4"/>
  <c r="H21" i="4"/>
  <c r="H22" i="4"/>
  <c r="H23" i="4"/>
  <c r="H13" i="4"/>
  <c r="B14" i="4"/>
  <c r="B13" i="4"/>
  <c r="B15" i="4" s="1"/>
  <c r="B12" i="4"/>
  <c r="F14" i="4" s="1"/>
  <c r="G14" i="4" s="1"/>
  <c r="B13" i="3"/>
  <c r="B12" i="3"/>
  <c r="B11" i="1"/>
  <c r="J10" i="1"/>
  <c r="J12" i="1" s="1"/>
  <c r="J11" i="1"/>
  <c r="G11" i="1"/>
  <c r="G10" i="1"/>
  <c r="G12" i="1" s="1"/>
  <c r="P20" i="3" l="1"/>
  <c r="M19" i="3"/>
  <c r="J19" i="3"/>
  <c r="O19" i="3" s="1"/>
  <c r="K19" i="3"/>
  <c r="Q21" i="3"/>
  <c r="Q22" i="3"/>
  <c r="Q20" i="3"/>
  <c r="B23" i="3"/>
  <c r="B22" i="3"/>
  <c r="F13" i="4"/>
  <c r="G13" i="4" s="1"/>
  <c r="F23" i="4"/>
  <c r="G23" i="4" s="1"/>
  <c r="F22" i="4"/>
  <c r="G22" i="4" s="1"/>
  <c r="F21" i="4"/>
  <c r="G21" i="4" s="1"/>
  <c r="F20" i="4"/>
  <c r="G20" i="4" s="1"/>
  <c r="F19" i="4"/>
  <c r="G19" i="4" s="1"/>
  <c r="F18" i="4"/>
  <c r="G18" i="4" s="1"/>
  <c r="F17" i="4"/>
  <c r="G17" i="4" s="1"/>
  <c r="F16" i="4"/>
  <c r="G16" i="4" s="1"/>
  <c r="F15" i="4"/>
  <c r="G15" i="4" s="1"/>
  <c r="B10" i="1"/>
  <c r="J9" i="1"/>
  <c r="J13" i="1" s="1"/>
  <c r="J14" i="1" s="1"/>
  <c r="G9" i="1"/>
  <c r="G13" i="1" s="1"/>
  <c r="G14" i="1" s="1"/>
  <c r="B9" i="1"/>
  <c r="P19" i="3" l="1"/>
  <c r="Q19" i="3" s="1"/>
  <c r="B28" i="3"/>
  <c r="C28" i="3" s="1"/>
  <c r="B27" i="3"/>
  <c r="B26" i="3"/>
  <c r="B29" i="3"/>
  <c r="B17" i="1"/>
  <c r="B13" i="1"/>
  <c r="B14" i="1" s="1"/>
  <c r="G15" i="1"/>
  <c r="J15" i="1"/>
  <c r="B16" i="1"/>
  <c r="B30" i="3" l="1"/>
  <c r="C30" i="3" s="1"/>
  <c r="B15" i="1"/>
</calcChain>
</file>

<file path=xl/sharedStrings.xml><?xml version="1.0" encoding="utf-8"?>
<sst xmlns="http://schemas.openxmlformats.org/spreadsheetml/2006/main" count="91" uniqueCount="36">
  <si>
    <t>Instructor</t>
  </si>
  <si>
    <t>Machines</t>
  </si>
  <si>
    <t>Office</t>
  </si>
  <si>
    <t>Operator</t>
  </si>
  <si>
    <t>Annual Demand</t>
  </si>
  <si>
    <t>Acquisition Cost</t>
  </si>
  <si>
    <t>Cost per Item</t>
  </si>
  <si>
    <t>Holding cost</t>
  </si>
  <si>
    <t>Optimal Order Quantity</t>
  </si>
  <si>
    <t>Classes held per year</t>
  </si>
  <si>
    <t>Annual Cost (Not Rounded)</t>
  </si>
  <si>
    <t>Annual Cost (Rounded UP)</t>
  </si>
  <si>
    <t>Annual Cost (Rounded Down)</t>
  </si>
  <si>
    <t>Item</t>
  </si>
  <si>
    <t>Amount</t>
  </si>
  <si>
    <t>Annual Demand (A)</t>
  </si>
  <si>
    <t>Unit cost per item (c)</t>
  </si>
  <si>
    <t>Fixed cost per order (k)</t>
  </si>
  <si>
    <t>Cost of 4-week of heavy machine operator safety training course</t>
  </si>
  <si>
    <t>Opportunity cost for each heavy machine operator</t>
  </si>
  <si>
    <t>Q*</t>
  </si>
  <si>
    <t>Total annual cost</t>
  </si>
  <si>
    <t>Holding cost (h)</t>
  </si>
  <si>
    <t>Ordering cost</t>
  </si>
  <si>
    <t>Backorder Penalty cost (p)</t>
  </si>
  <si>
    <t>Optimal order quantity (Q*)</t>
  </si>
  <si>
    <t>Quantity at the start of each cycle (S*)</t>
  </si>
  <si>
    <t>Max Number of backorders</t>
  </si>
  <si>
    <t>Number of orders per year</t>
  </si>
  <si>
    <t>cycle time</t>
  </si>
  <si>
    <t>Order costs</t>
  </si>
  <si>
    <t>Holding costs</t>
  </si>
  <si>
    <t>Backorder costs</t>
  </si>
  <si>
    <t>Total costs</t>
  </si>
  <si>
    <t>check the bracket</t>
  </si>
  <si>
    <t>Delay (Week)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</si>
</sst>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5" formatCode="0.000"/>
    <numFmt numFmtId="180" formatCode="0.00000E+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75" fontId="0" fillId="0" borderId="2" xfId="0" applyNumberFormat="1" applyBorder="1" applyAlignment="1">
      <alignment horizontal="center" vertical="center" wrapText="1"/>
    </xf>
    <xf numFmtId="175" fontId="0" fillId="0" borderId="3" xfId="0" applyNumberFormat="1" applyBorder="1" applyAlignment="1">
      <alignment horizontal="center" vertical="center" wrapText="1"/>
    </xf>
    <xf numFmtId="175" fontId="0" fillId="0" borderId="0" xfId="0" applyNumberFormat="1"/>
    <xf numFmtId="175" fontId="0" fillId="0" borderId="0" xfId="0" applyNumberFormat="1" applyAlignment="1">
      <alignment horizontal="center" vertical="center"/>
    </xf>
    <xf numFmtId="175" fontId="0" fillId="0" borderId="1" xfId="0" applyNumberFormat="1" applyBorder="1" applyAlignment="1">
      <alignment horizontal="center" vertical="center"/>
    </xf>
    <xf numFmtId="175" fontId="0" fillId="0" borderId="1" xfId="0" applyNumberForma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180" fontId="0" fillId="0" borderId="0" xfId="0" applyNumberFormat="1" applyAlignment="1">
      <alignment wrapText="1"/>
    </xf>
    <xf numFmtId="0" fontId="0" fillId="0" borderId="0" xfId="0" applyAlignment="1">
      <alignment horizontal="center" wrapText="1"/>
    </xf>
    <xf numFmtId="180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590550</xdr:colOff>
      <xdr:row>1</xdr:row>
      <xdr:rowOff>114300</xdr:rowOff>
    </xdr:from>
    <xdr:ext cx="1820884" cy="37414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294D776-681C-4A2E-AC8C-F72E298814DD}"/>
            </a:ext>
          </a:extLst>
        </xdr:cNvPr>
        <xdr:cNvSpPr txBox="1"/>
      </xdr:nvSpPr>
      <xdr:spPr>
        <a:xfrm>
          <a:off x="590550" y="298450"/>
          <a:ext cx="1820884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GB" sz="1800" b="1"/>
            <a:t>Case </a:t>
          </a:r>
          <a:r>
            <a:rPr lang="en-US" sz="1800" b="1"/>
            <a:t>description:</a:t>
          </a:r>
          <a:endParaRPr lang="en-GB" sz="1800" b="1"/>
        </a:p>
      </xdr:txBody>
    </xdr:sp>
    <xdr:clientData/>
  </xdr:oneCellAnchor>
  <xdr:oneCellAnchor>
    <xdr:from>
      <xdr:col>1</xdr:col>
      <xdr:colOff>165100</xdr:colOff>
      <xdr:row>3</xdr:row>
      <xdr:rowOff>44450</xdr:rowOff>
    </xdr:from>
    <xdr:ext cx="8555820" cy="352155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BA0C0EB-E28F-497E-BEAE-24456427531D}"/>
            </a:ext>
          </a:extLst>
        </xdr:cNvPr>
        <xdr:cNvSpPr txBox="1"/>
      </xdr:nvSpPr>
      <xdr:spPr>
        <a:xfrm>
          <a:off x="774700" y="596900"/>
          <a:ext cx="8555820" cy="35215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500" b="1"/>
            <a:t>Background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/>
            <a:t>DynaSafe Training (DST) is an award-winning and accredited safety training provider for heavy machinery and earth moving equipment operators with a clientele of large mining companies. NorthStar Minerals Inc. (NMI) is interested in having DynaSafe provide a safety training program for its new heavy machine operators and has submitted a contract proposal.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5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Objectives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/>
            <a:t>NorthStar Minerals Inc. (NMI) requires a contract as it wants to ensure a steady supply of newly trained heavy machine operators to manage high demand across its multiple mining operations.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Since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our managers is interested in optimising the class sizes and analysing the cost and class sizes with different scenario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 Throught this i</a:t>
          </a:r>
          <a:r>
            <a:rPr lang="en-GB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nventory modelling problem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we hope 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find the optimal way to meet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need of NMI at the minimum cost.</a:t>
          </a:r>
          <a:endParaRPr lang="en-GB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aseline="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600" b="1" baseline="0"/>
            <a:t>Navigation to the report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/>
            <a:t>There are three sheets in this file: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/>
            <a:t>- The first one is to </a:t>
          </a:r>
          <a:r>
            <a:rPr lang="en-GB" sz="1100"/>
            <a:t>mathematically formulate the freight loading plan for the Noyina as an LP model;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/>
            <a:t>- the second one is a</a:t>
          </a:r>
          <a:r>
            <a:rPr lang="en-GB" sz="1100" baseline="0"/>
            <a:t> s</a:t>
          </a:r>
          <a:r>
            <a:rPr lang="en-GB" sz="1100"/>
            <a:t>ensitivity</a:t>
          </a:r>
          <a:r>
            <a:rPr lang="en-GB" sz="1100" baseline="0"/>
            <a:t> </a:t>
          </a:r>
          <a:r>
            <a:rPr lang="en-US" sz="1100" baseline="0"/>
            <a:t>report</a:t>
          </a:r>
          <a:r>
            <a:rPr lang="en-GB" sz="1100"/>
            <a:t>;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/>
            <a:t>- the third one is a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nswer report</a:t>
          </a:r>
          <a:endParaRPr lang="en-GB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/>
            <a:t>- and</a:t>
          </a:r>
          <a:r>
            <a:rPr lang="en-GB" sz="1100" baseline="0"/>
            <a:t> the third is a report we produce where to answer our managers about the scenario they concerns. </a:t>
          </a:r>
          <a:endParaRPr lang="en-GB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EB090-C7B7-4F64-8BDE-514D546148CA}">
  <dimension ref="A1"/>
  <sheetViews>
    <sheetView workbookViewId="0">
      <selection activeCell="Q5" sqref="Q5"/>
    </sheetView>
  </sheetViews>
  <sheetFormatPr defaultRowHeight="14.5" x14ac:dyDescent="0.35"/>
  <cols>
    <col min="1" max="16384" width="8.7265625" style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C1539-2DEB-40E5-88BD-3214699301B1}">
  <dimension ref="A1:J17"/>
  <sheetViews>
    <sheetView workbookViewId="0">
      <selection activeCell="C16" sqref="C16"/>
    </sheetView>
  </sheetViews>
  <sheetFormatPr defaultRowHeight="14.5" x14ac:dyDescent="0.35"/>
  <cols>
    <col min="1" max="1" width="25.81640625" style="2" bestFit="1" customWidth="1"/>
    <col min="2" max="2" width="17.6328125" style="2" customWidth="1"/>
    <col min="3" max="5" width="8.7265625" style="2"/>
    <col min="6" max="6" width="23.81640625" style="2" bestFit="1" customWidth="1"/>
    <col min="7" max="8" width="8.7265625" style="2"/>
    <col min="9" max="9" width="23.81640625" style="2" bestFit="1" customWidth="1"/>
    <col min="10" max="16384" width="8.7265625" style="2"/>
  </cols>
  <sheetData>
    <row r="1" spans="1:10" ht="40" customHeight="1" x14ac:dyDescent="0.35">
      <c r="A1" s="4" t="s">
        <v>18</v>
      </c>
      <c r="B1" s="4"/>
    </row>
    <row r="2" spans="1:10" x14ac:dyDescent="0.35">
      <c r="A2" s="3" t="s">
        <v>13</v>
      </c>
      <c r="B2" s="3" t="s">
        <v>14</v>
      </c>
    </row>
    <row r="3" spans="1:10" x14ac:dyDescent="0.35">
      <c r="A3" s="3" t="s">
        <v>0</v>
      </c>
      <c r="B3" s="3">
        <v>3000</v>
      </c>
      <c r="F3" s="2" t="s">
        <v>0</v>
      </c>
      <c r="G3" s="2">
        <v>3000</v>
      </c>
      <c r="I3" s="2" t="s">
        <v>0</v>
      </c>
      <c r="J3" s="2">
        <v>3000</v>
      </c>
    </row>
    <row r="4" spans="1:10" x14ac:dyDescent="0.35">
      <c r="A4" s="3" t="s">
        <v>1</v>
      </c>
      <c r="B4" s="3">
        <v>1500</v>
      </c>
      <c r="F4" s="2" t="s">
        <v>1</v>
      </c>
      <c r="G4" s="2">
        <v>1500</v>
      </c>
      <c r="I4" s="2" t="s">
        <v>1</v>
      </c>
      <c r="J4" s="2">
        <v>1500</v>
      </c>
    </row>
    <row r="5" spans="1:10" x14ac:dyDescent="0.35">
      <c r="A5" s="3" t="s">
        <v>2</v>
      </c>
      <c r="B5" s="3">
        <v>250</v>
      </c>
      <c r="F5" s="2" t="s">
        <v>2</v>
      </c>
      <c r="G5" s="2">
        <v>250</v>
      </c>
      <c r="I5" s="2" t="s">
        <v>2</v>
      </c>
      <c r="J5" s="2">
        <v>250</v>
      </c>
    </row>
    <row r="6" spans="1:10" x14ac:dyDescent="0.35">
      <c r="A6" s="3" t="s">
        <v>3</v>
      </c>
      <c r="B6" s="3">
        <v>1600</v>
      </c>
      <c r="D6" s="6"/>
      <c r="F6" s="2" t="s">
        <v>3</v>
      </c>
      <c r="G6" s="2">
        <v>1600</v>
      </c>
      <c r="I6" s="2" t="s">
        <v>3</v>
      </c>
      <c r="J6" s="2">
        <v>1600</v>
      </c>
    </row>
    <row r="7" spans="1:10" ht="29" x14ac:dyDescent="0.35">
      <c r="A7" s="7" t="s">
        <v>19</v>
      </c>
      <c r="B7" s="3">
        <v>1600</v>
      </c>
      <c r="D7" s="6"/>
    </row>
    <row r="9" spans="1:10" x14ac:dyDescent="0.35">
      <c r="A9" s="2" t="s">
        <v>15</v>
      </c>
      <c r="B9" s="2">
        <f>6*12</f>
        <v>72</v>
      </c>
      <c r="F9" s="2" t="s">
        <v>4</v>
      </c>
      <c r="G9" s="2">
        <f>8*12</f>
        <v>96</v>
      </c>
      <c r="I9" s="2" t="s">
        <v>4</v>
      </c>
      <c r="J9" s="2">
        <f>4*12</f>
        <v>48</v>
      </c>
    </row>
    <row r="10" spans="1:10" x14ac:dyDescent="0.35">
      <c r="A10" t="s">
        <v>17</v>
      </c>
      <c r="B10" s="2">
        <f>B5+B4+B3</f>
        <v>4750</v>
      </c>
      <c r="F10" s="2" t="s">
        <v>5</v>
      </c>
      <c r="G10" s="2">
        <f>G5+G4+G3</f>
        <v>4750</v>
      </c>
      <c r="I10" s="2" t="s">
        <v>5</v>
      </c>
      <c r="J10" s="2">
        <f>J5+J4+J3</f>
        <v>4750</v>
      </c>
    </row>
    <row r="11" spans="1:10" x14ac:dyDescent="0.35">
      <c r="A11" t="s">
        <v>16</v>
      </c>
      <c r="B11" s="2">
        <f>B7</f>
        <v>1600</v>
      </c>
      <c r="F11" s="2" t="s">
        <v>6</v>
      </c>
      <c r="G11" s="2">
        <f>G6</f>
        <v>1600</v>
      </c>
      <c r="I11" s="2" t="s">
        <v>6</v>
      </c>
      <c r="J11" s="2">
        <f>J6</f>
        <v>1600</v>
      </c>
    </row>
    <row r="12" spans="1:10" x14ac:dyDescent="0.35">
      <c r="A12" s="2" t="s">
        <v>7</v>
      </c>
      <c r="B12" s="2">
        <f>B4/B10</f>
        <v>0.31578947368421051</v>
      </c>
      <c r="C12" s="2">
        <f>B4/B10</f>
        <v>0.31578947368421051</v>
      </c>
      <c r="F12" s="2" t="s">
        <v>7</v>
      </c>
      <c r="G12" s="2">
        <f>G4/G10</f>
        <v>0.31578947368421051</v>
      </c>
      <c r="I12" s="2" t="s">
        <v>7</v>
      </c>
      <c r="J12" s="2">
        <f>J4/J10</f>
        <v>0.31578947368421051</v>
      </c>
    </row>
    <row r="13" spans="1:10" x14ac:dyDescent="0.35">
      <c r="A13" s="2" t="s">
        <v>8</v>
      </c>
      <c r="B13" s="2">
        <f>SQRT((2*B9*B10)/(B11*B12))</f>
        <v>36.793341788970459</v>
      </c>
      <c r="C13" s="2">
        <v>37</v>
      </c>
      <c r="D13" s="2">
        <v>36</v>
      </c>
      <c r="F13" s="2" t="s">
        <v>8</v>
      </c>
      <c r="G13" s="2">
        <f>SQRT((2*G9*G10)/(G11*G12))</f>
        <v>42.485291572496003</v>
      </c>
      <c r="I13" s="2" t="s">
        <v>8</v>
      </c>
      <c r="J13" s="2">
        <f>SQRT((2*J9*J10)/(J11*J12))</f>
        <v>30.041637771599603</v>
      </c>
    </row>
    <row r="14" spans="1:10" x14ac:dyDescent="0.35">
      <c r="A14" s="2" t="s">
        <v>9</v>
      </c>
      <c r="B14" s="2">
        <f>72/B13</f>
        <v>1.9568757959784844</v>
      </c>
      <c r="F14" s="2" t="s">
        <v>9</v>
      </c>
      <c r="G14" s="2">
        <f>72/G13</f>
        <v>1.6947041513682617</v>
      </c>
      <c r="I14" s="2" t="s">
        <v>9</v>
      </c>
      <c r="J14" s="2">
        <f>72/J13</f>
        <v>2.3966735950749825</v>
      </c>
    </row>
    <row r="15" spans="1:10" x14ac:dyDescent="0.35">
      <c r="A15" s="2" t="s">
        <v>10</v>
      </c>
      <c r="B15" s="2">
        <f>((($B$9*$B$10)/B13)+((B13*$B$11*$B$12)/2))</f>
        <v>18590.320061795603</v>
      </c>
      <c r="F15" s="2" t="s">
        <v>10</v>
      </c>
      <c r="G15" s="2">
        <f>((($B$9*$B$10)/G13)+((G13*$B$11*$B$12)/2))</f>
        <v>18782.97101099823</v>
      </c>
      <c r="I15" s="2" t="s">
        <v>10</v>
      </c>
      <c r="J15" s="2">
        <f>((($B$9*$B$10)/J13)+((J13*$B$11*$B$12)/2))</f>
        <v>18973.665961010276</v>
      </c>
    </row>
    <row r="16" spans="1:10" x14ac:dyDescent="0.35">
      <c r="A16" s="2" t="s">
        <v>11</v>
      </c>
      <c r="B16" s="2">
        <f>((($B$9*$B$10)/C13)+((C13*$B$11*$B$12)/2))</f>
        <v>18590.611664295873</v>
      </c>
    </row>
    <row r="17" spans="1:2" x14ac:dyDescent="0.35">
      <c r="A17" s="2" t="s">
        <v>12</v>
      </c>
      <c r="B17" s="2">
        <f>((($B$9*$B$10)/D13)+((D13*$B$11*$B$12)/2))</f>
        <v>18594.736842105263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8CD53-3D10-4DBD-964C-3650233B038B}">
  <dimension ref="A3:J23"/>
  <sheetViews>
    <sheetView topLeftCell="A3" zoomScale="97" zoomScaleNormal="85" workbookViewId="0">
      <selection activeCell="E13" sqref="E13"/>
    </sheetView>
  </sheetViews>
  <sheetFormatPr defaultRowHeight="14.5" x14ac:dyDescent="0.35"/>
  <cols>
    <col min="1" max="1" width="25.81640625" style="12" bestFit="1" customWidth="1"/>
    <col min="2" max="2" width="27.453125" style="12" customWidth="1"/>
    <col min="3" max="4" width="8.7265625" style="12"/>
    <col min="5" max="5" width="43.26953125" style="12" bestFit="1" customWidth="1"/>
    <col min="6" max="6" width="9.54296875" style="12" customWidth="1"/>
    <col min="7" max="7" width="18.453125" style="12" bestFit="1" customWidth="1"/>
    <col min="8" max="8" width="18.6328125" style="12" bestFit="1" customWidth="1"/>
    <col min="9" max="9" width="16.453125" style="12" bestFit="1" customWidth="1"/>
    <col min="10" max="10" width="15.08984375" style="12" bestFit="1" customWidth="1"/>
    <col min="11" max="16384" width="8.7265625" style="12"/>
  </cols>
  <sheetData>
    <row r="3" spans="1:10" ht="51.5" customHeight="1" x14ac:dyDescent="0.35">
      <c r="A3" s="10" t="s">
        <v>18</v>
      </c>
      <c r="B3" s="11"/>
    </row>
    <row r="4" spans="1:10" ht="14.5" customHeight="1" x14ac:dyDescent="0.35">
      <c r="A4" s="14" t="s">
        <v>13</v>
      </c>
      <c r="B4" s="14" t="s">
        <v>14</v>
      </c>
    </row>
    <row r="5" spans="1:10" x14ac:dyDescent="0.35">
      <c r="A5" s="14" t="s">
        <v>0</v>
      </c>
      <c r="B5" s="14">
        <v>3000</v>
      </c>
    </row>
    <row r="6" spans="1:10" x14ac:dyDescent="0.35">
      <c r="A6" s="14" t="s">
        <v>1</v>
      </c>
      <c r="B6" s="14">
        <v>1500</v>
      </c>
    </row>
    <row r="7" spans="1:10" x14ac:dyDescent="0.35">
      <c r="A7" s="14" t="s">
        <v>2</v>
      </c>
      <c r="B7" s="14">
        <v>250</v>
      </c>
    </row>
    <row r="8" spans="1:10" x14ac:dyDescent="0.35">
      <c r="A8" s="14" t="s">
        <v>3</v>
      </c>
      <c r="B8" s="14">
        <v>1600</v>
      </c>
    </row>
    <row r="9" spans="1:10" ht="29" x14ac:dyDescent="0.35">
      <c r="A9" s="15" t="s">
        <v>19</v>
      </c>
      <c r="B9" s="14">
        <v>0</v>
      </c>
    </row>
    <row r="11" spans="1:10" x14ac:dyDescent="0.35">
      <c r="A11" s="13"/>
      <c r="B11" s="13"/>
    </row>
    <row r="12" spans="1:10" ht="29" x14ac:dyDescent="0.35">
      <c r="A12" s="13" t="s">
        <v>15</v>
      </c>
      <c r="B12" s="13">
        <f>6*12</f>
        <v>72</v>
      </c>
      <c r="E12" s="15" t="s">
        <v>19</v>
      </c>
      <c r="F12" s="14" t="s">
        <v>20</v>
      </c>
      <c r="G12" s="14" t="s">
        <v>9</v>
      </c>
      <c r="H12" s="14" t="s">
        <v>23</v>
      </c>
      <c r="I12" s="14" t="s">
        <v>7</v>
      </c>
      <c r="J12" s="14" t="s">
        <v>21</v>
      </c>
    </row>
    <row r="13" spans="1:10" x14ac:dyDescent="0.35">
      <c r="A13" s="12" t="s">
        <v>17</v>
      </c>
      <c r="B13" s="13">
        <f>B7+B6+B5</f>
        <v>4750</v>
      </c>
      <c r="E13" s="16">
        <v>1000</v>
      </c>
      <c r="F13" s="14">
        <f>SQRT((2*$B$12*$B$13)/(E13*$B$15))</f>
        <v>46.540305112880382</v>
      </c>
      <c r="G13" s="14">
        <f>72/F13</f>
        <v>1.5470461533367441</v>
      </c>
      <c r="H13" s="14">
        <f>$B$12*$B$13/F13</f>
        <v>7348.4692283495342</v>
      </c>
      <c r="I13" s="14">
        <f>(F13*E13*$B$15)/2</f>
        <v>7348.4692283495342</v>
      </c>
      <c r="J13" s="14">
        <f>SUM(H13:I13)</f>
        <v>14696.938456699068</v>
      </c>
    </row>
    <row r="14" spans="1:10" x14ac:dyDescent="0.35">
      <c r="A14" s="12" t="s">
        <v>16</v>
      </c>
      <c r="B14" s="13">
        <f>B9</f>
        <v>0</v>
      </c>
      <c r="E14" s="16">
        <v>1100</v>
      </c>
      <c r="F14" s="14">
        <f t="shared" ref="F14:F23" si="0">SQRT((2*$B$12*$B$13)/(E14*$B$15))</f>
        <v>44.374439817206813</v>
      </c>
      <c r="G14" s="14">
        <f t="shared" ref="G14:G23" si="1">72/F14</f>
        <v>1.6225556941471742</v>
      </c>
      <c r="H14" s="14">
        <f t="shared" ref="H14:H23" si="2">$B$12*$B$13/F14</f>
        <v>7707.1395471990763</v>
      </c>
      <c r="I14" s="14">
        <f t="shared" ref="I14:I23" si="3">(F14*E14*$B$15)/2</f>
        <v>7707.1395471990782</v>
      </c>
      <c r="J14" s="14">
        <f t="shared" ref="J14:J23" si="4">SUM(H14:I14)</f>
        <v>15414.279094398154</v>
      </c>
    </row>
    <row r="15" spans="1:10" x14ac:dyDescent="0.35">
      <c r="A15" s="13" t="s">
        <v>22</v>
      </c>
      <c r="B15" s="13">
        <f>B6/B13</f>
        <v>0.31578947368421051</v>
      </c>
      <c r="E15" s="16">
        <v>1200</v>
      </c>
      <c r="F15" s="14">
        <f t="shared" si="0"/>
        <v>42.48529157249601</v>
      </c>
      <c r="G15" s="14">
        <f t="shared" si="1"/>
        <v>1.6947041513682615</v>
      </c>
      <c r="H15" s="14">
        <f t="shared" si="2"/>
        <v>8049.8447189992421</v>
      </c>
      <c r="I15" s="14">
        <f t="shared" si="3"/>
        <v>8049.844718999243</v>
      </c>
      <c r="J15" s="14">
        <f t="shared" si="4"/>
        <v>16099.689437998484</v>
      </c>
    </row>
    <row r="16" spans="1:10" x14ac:dyDescent="0.35">
      <c r="A16" s="13"/>
      <c r="B16" s="13"/>
      <c r="E16" s="16">
        <v>1300</v>
      </c>
      <c r="F16" s="14">
        <f t="shared" si="0"/>
        <v>40.81854782024768</v>
      </c>
      <c r="G16" s="14">
        <f t="shared" si="1"/>
        <v>1.7639040055287081</v>
      </c>
      <c r="H16" s="14">
        <f t="shared" si="2"/>
        <v>8378.5440262613629</v>
      </c>
      <c r="I16" s="14">
        <f t="shared" si="3"/>
        <v>8378.5440262613647</v>
      </c>
      <c r="J16" s="14">
        <f t="shared" si="4"/>
        <v>16757.088052522726</v>
      </c>
    </row>
    <row r="17" spans="1:10" x14ac:dyDescent="0.35">
      <c r="A17" s="13"/>
      <c r="B17" s="13"/>
      <c r="E17" s="16">
        <v>1400</v>
      </c>
      <c r="F17" s="14">
        <f t="shared" si="0"/>
        <v>39.333736882514188</v>
      </c>
      <c r="G17" s="14">
        <f t="shared" si="1"/>
        <v>1.8304896942555082</v>
      </c>
      <c r="H17" s="14">
        <f t="shared" si="2"/>
        <v>8694.8260477136628</v>
      </c>
      <c r="I17" s="14">
        <f t="shared" si="3"/>
        <v>8694.8260477136628</v>
      </c>
      <c r="J17" s="14">
        <f t="shared" si="4"/>
        <v>17389.652095427326</v>
      </c>
    </row>
    <row r="18" spans="1:10" x14ac:dyDescent="0.35">
      <c r="A18" s="13"/>
      <c r="B18" s="13"/>
      <c r="E18" s="16">
        <v>1500</v>
      </c>
      <c r="F18" s="14">
        <f t="shared" si="0"/>
        <v>38</v>
      </c>
      <c r="G18" s="14">
        <f t="shared" si="1"/>
        <v>1.8947368421052631</v>
      </c>
      <c r="H18" s="14">
        <f t="shared" si="2"/>
        <v>9000</v>
      </c>
      <c r="I18" s="14">
        <f t="shared" si="3"/>
        <v>9000</v>
      </c>
      <c r="J18" s="14">
        <f t="shared" si="4"/>
        <v>18000</v>
      </c>
    </row>
    <row r="19" spans="1:10" x14ac:dyDescent="0.35">
      <c r="A19" s="13"/>
      <c r="B19" s="13"/>
      <c r="E19" s="16">
        <v>1600</v>
      </c>
      <c r="F19" s="14">
        <f t="shared" si="0"/>
        <v>36.793341788970459</v>
      </c>
      <c r="G19" s="14">
        <f t="shared" si="1"/>
        <v>1.9568757959784844</v>
      </c>
      <c r="H19" s="14">
        <f t="shared" si="2"/>
        <v>9295.1600308978013</v>
      </c>
      <c r="I19" s="14">
        <f t="shared" si="3"/>
        <v>9295.1600308977995</v>
      </c>
      <c r="J19" s="14">
        <f t="shared" si="4"/>
        <v>18590.320061795603</v>
      </c>
    </row>
    <row r="20" spans="1:10" x14ac:dyDescent="0.35">
      <c r="A20" s="13"/>
      <c r="B20" s="13"/>
      <c r="E20" s="16">
        <v>1700</v>
      </c>
      <c r="F20" s="14">
        <f t="shared" si="0"/>
        <v>35.694784591853519</v>
      </c>
      <c r="G20" s="14">
        <f t="shared" si="1"/>
        <v>2.0171014007584818</v>
      </c>
      <c r="H20" s="14">
        <f t="shared" si="2"/>
        <v>9581.2316536027884</v>
      </c>
      <c r="I20" s="14">
        <f t="shared" si="3"/>
        <v>9581.2316536027865</v>
      </c>
      <c r="J20" s="14">
        <f t="shared" si="4"/>
        <v>19162.463307205573</v>
      </c>
    </row>
    <row r="21" spans="1:10" x14ac:dyDescent="0.35">
      <c r="E21" s="16">
        <v>1800</v>
      </c>
      <c r="F21" s="14">
        <f t="shared" si="0"/>
        <v>34.689095308660519</v>
      </c>
      <c r="G21" s="14">
        <f t="shared" si="1"/>
        <v>2.0755802179143137</v>
      </c>
      <c r="H21" s="14">
        <f t="shared" si="2"/>
        <v>9859.0060350929907</v>
      </c>
      <c r="I21" s="14">
        <f t="shared" si="3"/>
        <v>9859.0060350929889</v>
      </c>
      <c r="J21" s="14">
        <f t="shared" si="4"/>
        <v>19718.012070185978</v>
      </c>
    </row>
    <row r="22" spans="1:10" x14ac:dyDescent="0.35">
      <c r="E22" s="16">
        <v>1900</v>
      </c>
      <c r="F22" s="14">
        <f t="shared" si="0"/>
        <v>33.763886032268267</v>
      </c>
      <c r="G22" s="14">
        <f t="shared" si="1"/>
        <v>2.1324559599327322</v>
      </c>
      <c r="H22" s="14">
        <f t="shared" si="2"/>
        <v>10129.165809680479</v>
      </c>
      <c r="I22" s="14">
        <f t="shared" si="3"/>
        <v>10129.165809680479</v>
      </c>
      <c r="J22" s="14">
        <f t="shared" si="4"/>
        <v>20258.331619360957</v>
      </c>
    </row>
    <row r="23" spans="1:10" x14ac:dyDescent="0.35">
      <c r="E23" s="16">
        <v>2000</v>
      </c>
      <c r="F23" s="14">
        <f t="shared" si="0"/>
        <v>32.908965343808667</v>
      </c>
      <c r="G23" s="14">
        <f t="shared" si="1"/>
        <v>2.1878536516659506</v>
      </c>
      <c r="H23" s="14">
        <f t="shared" si="2"/>
        <v>10392.304845413264</v>
      </c>
      <c r="I23" s="14">
        <f t="shared" si="3"/>
        <v>10392.304845413262</v>
      </c>
      <c r="J23" s="14">
        <f t="shared" si="4"/>
        <v>20784.609690826524</v>
      </c>
    </row>
  </sheetData>
  <mergeCells count="1">
    <mergeCell ref="A3:B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9C27E-4E8F-4477-A514-66EF70F0119A}">
  <dimension ref="A3:Q30"/>
  <sheetViews>
    <sheetView tabSelected="1" topLeftCell="A15" zoomScale="104" zoomScaleNormal="115" workbookViewId="0">
      <selection activeCell="B21" sqref="B21"/>
    </sheetView>
  </sheetViews>
  <sheetFormatPr defaultRowHeight="14.5" x14ac:dyDescent="0.35"/>
  <cols>
    <col min="1" max="1" width="25.81640625" style="5" bestFit="1" customWidth="1"/>
    <col min="2" max="2" width="35.453125" style="5" customWidth="1"/>
    <col min="3" max="3" width="17.08984375" style="5" bestFit="1" customWidth="1"/>
    <col min="4" max="6" width="8.7265625" style="5"/>
    <col min="7" max="7" width="13.1796875" style="5" bestFit="1" customWidth="1"/>
    <col min="8" max="10" width="11.54296875" style="5" bestFit="1" customWidth="1"/>
    <col min="11" max="11" width="10.54296875" style="5" bestFit="1" customWidth="1"/>
    <col min="12" max="13" width="11.54296875" style="5" bestFit="1" customWidth="1"/>
    <col min="14" max="14" width="11.453125" style="5" bestFit="1" customWidth="1"/>
    <col min="15" max="15" width="10.54296875" style="5" bestFit="1" customWidth="1"/>
    <col min="16" max="16" width="11.453125" style="5" bestFit="1" customWidth="1"/>
    <col min="17" max="17" width="15.81640625" style="5" bestFit="1" customWidth="1"/>
    <col min="18" max="18" width="11.54296875" style="5" bestFit="1" customWidth="1"/>
    <col min="19" max="16384" width="8.7265625" style="5"/>
  </cols>
  <sheetData>
    <row r="3" spans="1:7" ht="51.5" customHeight="1" x14ac:dyDescent="0.35">
      <c r="A3" s="8" t="s">
        <v>18</v>
      </c>
      <c r="B3" s="9"/>
    </row>
    <row r="4" spans="1:7" ht="14.5" customHeight="1" x14ac:dyDescent="0.35">
      <c r="A4" s="7" t="s">
        <v>13</v>
      </c>
      <c r="B4" s="7" t="s">
        <v>14</v>
      </c>
      <c r="G4" s="6"/>
    </row>
    <row r="5" spans="1:7" x14ac:dyDescent="0.35">
      <c r="A5" s="7" t="s">
        <v>0</v>
      </c>
      <c r="B5" s="7">
        <v>3000</v>
      </c>
    </row>
    <row r="6" spans="1:7" x14ac:dyDescent="0.35">
      <c r="A6" s="7" t="s">
        <v>1</v>
      </c>
      <c r="B6" s="7">
        <v>1500</v>
      </c>
    </row>
    <row r="7" spans="1:7" x14ac:dyDescent="0.35">
      <c r="A7" s="7" t="s">
        <v>2</v>
      </c>
      <c r="B7" s="7">
        <v>250</v>
      </c>
    </row>
    <row r="8" spans="1:7" x14ac:dyDescent="0.35">
      <c r="A8" s="7" t="s">
        <v>3</v>
      </c>
      <c r="B8" s="7">
        <v>1600</v>
      </c>
    </row>
    <row r="9" spans="1:7" ht="29" x14ac:dyDescent="0.35">
      <c r="A9" s="7" t="s">
        <v>19</v>
      </c>
      <c r="B9" s="7">
        <v>1600</v>
      </c>
    </row>
    <row r="11" spans="1:7" x14ac:dyDescent="0.35">
      <c r="A11" s="6"/>
      <c r="B11" s="6"/>
    </row>
    <row r="12" spans="1:7" x14ac:dyDescent="0.35">
      <c r="A12" s="6" t="s">
        <v>15</v>
      </c>
      <c r="B12" s="6">
        <f>6*12</f>
        <v>72</v>
      </c>
    </row>
    <row r="13" spans="1:7" x14ac:dyDescent="0.35">
      <c r="A13" s="18" t="s">
        <v>17</v>
      </c>
      <c r="B13" s="6">
        <f>B7+B6+B5</f>
        <v>4750</v>
      </c>
    </row>
    <row r="14" spans="1:7" x14ac:dyDescent="0.35">
      <c r="A14" s="18" t="s">
        <v>16</v>
      </c>
      <c r="B14" s="6">
        <v>1600</v>
      </c>
    </row>
    <row r="15" spans="1:7" x14ac:dyDescent="0.35">
      <c r="A15" s="6" t="s">
        <v>7</v>
      </c>
      <c r="B15" s="6">
        <f>B6/B13</f>
        <v>0.31578947368421051</v>
      </c>
    </row>
    <row r="16" spans="1:7" x14ac:dyDescent="0.35">
      <c r="A16" s="6" t="s">
        <v>24</v>
      </c>
      <c r="B16" s="6">
        <v>500</v>
      </c>
    </row>
    <row r="17" spans="1:17" x14ac:dyDescent="0.35">
      <c r="A17" s="6"/>
      <c r="B17" s="6"/>
    </row>
    <row r="18" spans="1:17" ht="58" x14ac:dyDescent="0.35">
      <c r="B18" s="6"/>
      <c r="F18" s="6" t="s">
        <v>35</v>
      </c>
      <c r="G18" s="6" t="s">
        <v>24</v>
      </c>
      <c r="H18" s="6" t="s">
        <v>25</v>
      </c>
      <c r="I18" s="6" t="s">
        <v>26</v>
      </c>
      <c r="J18" s="6" t="s">
        <v>27</v>
      </c>
      <c r="K18" s="6" t="s">
        <v>28</v>
      </c>
      <c r="L18" s="6" t="s">
        <v>29</v>
      </c>
      <c r="M18" s="6" t="s">
        <v>30</v>
      </c>
      <c r="N18" s="6" t="s">
        <v>31</v>
      </c>
      <c r="O18" s="6" t="s">
        <v>32</v>
      </c>
      <c r="P18" s="6" t="s">
        <v>33</v>
      </c>
      <c r="Q18" s="6"/>
    </row>
    <row r="19" spans="1:17" ht="29" x14ac:dyDescent="0.35">
      <c r="A19" s="6"/>
      <c r="B19" s="6"/>
      <c r="F19" s="6">
        <v>1</v>
      </c>
      <c r="G19" s="6">
        <v>500</v>
      </c>
      <c r="H19" s="6">
        <f>SQRT((2*$B$12*$B$13/($B$14*$B$15))*(G19+($B$14*$B$15))/G19)</f>
        <v>52.170393903055782</v>
      </c>
      <c r="I19" s="6">
        <f>SQRT((2*$B$12*$B$13/$B$14*$B$15)*(G19/(G19+($B$14*$B$15))))</f>
        <v>8.1943027072862495</v>
      </c>
      <c r="J19" s="6">
        <f>H19-I19</f>
        <v>43.976091195769534</v>
      </c>
      <c r="K19" s="6">
        <f>$B$12/H19</f>
        <v>1.3800930875429471</v>
      </c>
      <c r="L19" s="6">
        <f>H19/$B$12</f>
        <v>0.72458880420910809</v>
      </c>
      <c r="M19" s="6">
        <f>$B$12*$B$13/H19</f>
        <v>6555.4421658289994</v>
      </c>
      <c r="N19" s="19">
        <f>($B$14*$B$15*(I19^2))/(2*H19)</f>
        <v>325.15282167242214</v>
      </c>
      <c r="O19" s="6">
        <f>G19*(J19)^2/(2*H19)</f>
        <v>9267.2129352341562</v>
      </c>
      <c r="P19" s="19">
        <f>M19+N19+O19</f>
        <v>16147.807922735577</v>
      </c>
      <c r="Q19" s="6" t="str">
        <f>TRIM(P19)</f>
        <v>16147.8079227355</v>
      </c>
    </row>
    <row r="20" spans="1:17" ht="29" x14ac:dyDescent="0.35">
      <c r="A20" s="6"/>
      <c r="B20" s="6"/>
      <c r="F20" s="6">
        <v>2</v>
      </c>
      <c r="G20" s="6">
        <v>1000</v>
      </c>
      <c r="H20" s="6">
        <f t="shared" ref="H20:H22" si="0">SQRT((2*$B$12*$B$13/($B$14*$B$15))*(G20+($B$14*$B$15))/G20)</f>
        <v>45.141444372106662</v>
      </c>
      <c r="I20" s="6">
        <f t="shared" ref="I20:I22" si="1">SQRT((2*$B$12*$B$13/$B$14*$B$15)*(G20/(G20+($B$14*$B$15))))</f>
        <v>9.4702330850573411</v>
      </c>
      <c r="J20" s="6">
        <f t="shared" ref="J20:J22" si="2">H20-I20</f>
        <v>35.671211287049317</v>
      </c>
      <c r="K20" s="6">
        <f t="shared" ref="K20:K22" si="3">$B$12/H20</f>
        <v>1.5949866248517626</v>
      </c>
      <c r="L20" s="6">
        <f t="shared" ref="L20:L22" si="4">H20/$B$12</f>
        <v>0.62696450516814806</v>
      </c>
      <c r="M20" s="6">
        <f t="shared" ref="M20:M22" si="5">$B$12*$B$13/H20</f>
        <v>7576.186468045873</v>
      </c>
      <c r="N20" s="19">
        <f t="shared" ref="N20:N22" si="6">($B$14*$B$15*(I20^2))/(2*H20)</f>
        <v>501.91886796034481</v>
      </c>
      <c r="O20" s="6">
        <f t="shared" ref="O20:O22" si="7">G20*(J20)^2/(2*H20)</f>
        <v>14093.870193834171</v>
      </c>
      <c r="P20" s="19">
        <f t="shared" ref="P20:P22" si="8">M20+N20+O20</f>
        <v>22171.975529840391</v>
      </c>
      <c r="Q20" s="6" t="str">
        <f t="shared" ref="Q20:Q22" si="9">TRIM(P20)</f>
        <v>22171.9755298404</v>
      </c>
    </row>
    <row r="21" spans="1:17" ht="29" x14ac:dyDescent="0.35">
      <c r="A21" s="6"/>
      <c r="B21" s="6"/>
      <c r="F21" s="6">
        <v>3</v>
      </c>
      <c r="G21" s="6">
        <v>1500</v>
      </c>
      <c r="H21" s="6">
        <f t="shared" si="0"/>
        <v>42.541156542811571</v>
      </c>
      <c r="I21" s="6">
        <f t="shared" si="1"/>
        <v>10.049092096727144</v>
      </c>
      <c r="J21" s="6">
        <f t="shared" si="2"/>
        <v>32.492064446084427</v>
      </c>
      <c r="K21" s="6">
        <f t="shared" si="3"/>
        <v>1.6924786689224665</v>
      </c>
      <c r="L21" s="6">
        <f t="shared" si="4"/>
        <v>0.59084939642793843</v>
      </c>
      <c r="M21" s="6">
        <f t="shared" si="5"/>
        <v>8039.2736773817151</v>
      </c>
      <c r="N21" s="19">
        <f t="shared" si="6"/>
        <v>599.69716615362984</v>
      </c>
      <c r="O21" s="6">
        <f t="shared" si="7"/>
        <v>18612.580224036552</v>
      </c>
      <c r="P21" s="19">
        <f t="shared" si="8"/>
        <v>27251.551067571898</v>
      </c>
      <c r="Q21" s="6" t="str">
        <f t="shared" si="9"/>
        <v>27251.5510675719</v>
      </c>
    </row>
    <row r="22" spans="1:17" ht="29" x14ac:dyDescent="0.35">
      <c r="A22" s="5" t="s">
        <v>25</v>
      </c>
      <c r="B22" s="5">
        <f>SQRT((2*B12*B13/(B14*B15))*(B16+(B14*B15))/B16)</f>
        <v>52.170393903055782</v>
      </c>
      <c r="C22" s="5" t="s">
        <v>34</v>
      </c>
      <c r="F22" s="6">
        <v>4</v>
      </c>
      <c r="G22" s="6">
        <v>2000</v>
      </c>
      <c r="H22" s="6">
        <f t="shared" si="0"/>
        <v>41.179485183765955</v>
      </c>
      <c r="I22" s="6">
        <f t="shared" si="1"/>
        <v>10.381382819436796</v>
      </c>
      <c r="J22" s="6">
        <f t="shared" si="2"/>
        <v>30.798102364329161</v>
      </c>
      <c r="K22" s="6">
        <f t="shared" si="3"/>
        <v>1.7484434222209342</v>
      </c>
      <c r="L22" s="6">
        <f t="shared" si="4"/>
        <v>0.57193729421897155</v>
      </c>
      <c r="M22" s="6">
        <f t="shared" si="5"/>
        <v>8305.1062555494373</v>
      </c>
      <c r="N22" s="19">
        <f t="shared" si="6"/>
        <v>661.17608403312636</v>
      </c>
      <c r="O22" s="6">
        <f t="shared" si="7"/>
        <v>23033.874877523493</v>
      </c>
      <c r="P22" s="19">
        <f t="shared" si="8"/>
        <v>32000.157217106054</v>
      </c>
      <c r="Q22" s="6" t="str">
        <f t="shared" si="9"/>
        <v>32000.1572171061</v>
      </c>
    </row>
    <row r="23" spans="1:17" ht="29" x14ac:dyDescent="0.35">
      <c r="A23" s="5" t="s">
        <v>26</v>
      </c>
      <c r="B23" s="5">
        <f>SQRT((2*B12*B13/B15*B15)*(B16/(B16+(B14*B15))))</f>
        <v>583.27474151018203</v>
      </c>
    </row>
    <row r="24" spans="1:17" x14ac:dyDescent="0.35">
      <c r="A24" s="5" t="s">
        <v>27</v>
      </c>
      <c r="B24" s="5">
        <v>738.54899999999998</v>
      </c>
    </row>
    <row r="25" spans="1:17" x14ac:dyDescent="0.35">
      <c r="A25" s="5" t="s">
        <v>28</v>
      </c>
      <c r="B25" s="5">
        <v>36.9</v>
      </c>
    </row>
    <row r="26" spans="1:17" x14ac:dyDescent="0.35">
      <c r="A26" s="5" t="s">
        <v>29</v>
      </c>
      <c r="B26" s="5">
        <f>B22/B12</f>
        <v>0.72458880420910809</v>
      </c>
    </row>
    <row r="27" spans="1:17" x14ac:dyDescent="0.35">
      <c r="A27" s="5" t="s">
        <v>30</v>
      </c>
      <c r="B27" s="5">
        <f>B12*B13/B22</f>
        <v>6555.4421658289994</v>
      </c>
    </row>
    <row r="28" spans="1:17" x14ac:dyDescent="0.35">
      <c r="A28" s="5" t="s">
        <v>31</v>
      </c>
      <c r="B28" s="17">
        <f>(B14*B15*(B23^2))/(2*B22)</f>
        <v>1647440.9631402721</v>
      </c>
      <c r="C28" s="5" t="str">
        <f>TRIM(B28)</f>
        <v>1647440.96314027</v>
      </c>
    </row>
    <row r="29" spans="1:17" x14ac:dyDescent="0.35">
      <c r="A29" s="5" t="s">
        <v>32</v>
      </c>
      <c r="B29" s="5">
        <f>B16*(B22-B23)^2/(2*B22)</f>
        <v>1351685.3474949005</v>
      </c>
    </row>
    <row r="30" spans="1:17" x14ac:dyDescent="0.35">
      <c r="A30" s="5" t="s">
        <v>33</v>
      </c>
      <c r="B30" s="17">
        <f>B27+B28+B29</f>
        <v>3005681.7528010015</v>
      </c>
      <c r="C30" s="5" t="str">
        <f>TRIM(B30)</f>
        <v>3005681.752801</v>
      </c>
    </row>
  </sheetData>
  <mergeCells count="1">
    <mergeCell ref="A3:B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Cover_page</vt:lpstr>
      <vt:lpstr>Sheet1</vt:lpstr>
      <vt:lpstr>Q5</vt:lpstr>
      <vt:lpstr>Q6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Tran</dc:creator>
  <cp:lastModifiedBy>Jason Siu</cp:lastModifiedBy>
  <dcterms:created xsi:type="dcterms:W3CDTF">2022-10-10T06:01:27Z</dcterms:created>
  <dcterms:modified xsi:type="dcterms:W3CDTF">2022-10-11T05:39:09Z</dcterms:modified>
</cp:coreProperties>
</file>