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showInkAnnotation="0" autoCompressPictures="0"/>
  <mc:AlternateContent xmlns:mc="http://schemas.openxmlformats.org/markup-compatibility/2006">
    <mc:Choice Requires="x15">
      <x15ac:absPath xmlns:x15ac="http://schemas.microsoft.com/office/spreadsheetml/2010/11/ac" url="C:\Users\sjsa3\Desktop\Shared_with_Mac\year2_sem1\FIT3152\Assignment 2\Q9\ID3\"/>
    </mc:Choice>
  </mc:AlternateContent>
  <xr:revisionPtr revIDLastSave="0" documentId="13_ncr:1_{D92B6741-0F1D-4E39-947F-FF5D2E6092B1}" xr6:coauthVersionLast="46" xr6:coauthVersionMax="46" xr10:uidLastSave="{00000000-0000-0000-0000-000000000000}"/>
  <bookViews>
    <workbookView xWindow="-110" yWindow="-110" windowWidth="19420" windowHeight="11020" tabRatio="500" activeTab="1" xr2:uid="{00000000-000D-0000-FFFF-FFFF00000000}"/>
  </bookViews>
  <sheets>
    <sheet name="DTree Calcs (2)" sheetId="2" r:id="rId1"/>
    <sheet name="DTree Calcs" sheetId="1" r:id="rId2"/>
    <sheet name="Sheet1" sheetId="5" r:id="rId3"/>
    <sheet name="Sheet2" sheetId="3" r:id="rId4"/>
  </sheets>
  <externalReferences>
    <externalReference r:id="rId5"/>
    <externalReference r:id="rId6"/>
  </externalReferences>
  <definedNames>
    <definedName name="Slicer_CloudTomorrow">#N/A</definedName>
    <definedName name="Slicer_CloudTomorrow1">#N/A</definedName>
    <definedName name="Slicer_Cold">#N/A</definedName>
    <definedName name="Slicer_Cold1">#N/A</definedName>
    <definedName name="Slicer_High_Pressure">#N/A</definedName>
    <definedName name="Slicer_Pressure1">#N/A</definedName>
    <definedName name="Slicer_Sunshine">#N/A</definedName>
    <definedName name="Slicer_Sunshine1">#N/A</definedName>
    <definedName name="Slicer_Windy">#N/A</definedName>
    <definedName name="Slicer_Windy1">#N/A</definedName>
  </definedNames>
  <calcPr calcId="191029"/>
  <extLst>
    <ext xmlns:x14="http://schemas.microsoft.com/office/spreadsheetml/2009/9/main" uri="{79F54976-1DA5-4618-B147-4CDE4B953A38}">
      <x14:workbookPr defaultImageDpi="32767"/>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08" i="1" l="1"/>
  <c r="C107" i="1"/>
  <c r="B108" i="1"/>
  <c r="B107" i="1"/>
  <c r="C101" i="1"/>
  <c r="C100" i="1"/>
  <c r="B101" i="1"/>
  <c r="B100" i="1"/>
  <c r="C88" i="1"/>
  <c r="F88" i="1" s="1"/>
  <c r="G88" i="1" s="1"/>
  <c r="B88" i="1"/>
  <c r="C87" i="1"/>
  <c r="F87" i="1" s="1"/>
  <c r="G87" i="1" s="1"/>
  <c r="B87" i="1"/>
  <c r="D87" i="1" s="1"/>
  <c r="C81" i="1"/>
  <c r="F81" i="1" s="1"/>
  <c r="G81" i="1" s="1"/>
  <c r="B81" i="1"/>
  <c r="D81" i="1" s="1"/>
  <c r="C80" i="1"/>
  <c r="F80" i="1" s="1"/>
  <c r="G80" i="1" s="1"/>
  <c r="B80" i="1"/>
  <c r="D80" i="1" s="1"/>
  <c r="C69" i="1"/>
  <c r="F69" i="1" s="1"/>
  <c r="G69" i="1" s="1"/>
  <c r="B69" i="1"/>
  <c r="D69" i="1" s="1"/>
  <c r="C68" i="1"/>
  <c r="F68" i="1" s="1"/>
  <c r="G68" i="1" s="1"/>
  <c r="B68" i="1"/>
  <c r="D68" i="1" s="1"/>
  <c r="C63" i="1"/>
  <c r="F63" i="1" s="1"/>
  <c r="G63" i="1" s="1"/>
  <c r="B63" i="1"/>
  <c r="D63" i="1" s="1"/>
  <c r="C62" i="1"/>
  <c r="F62" i="1" s="1"/>
  <c r="G62" i="1" s="1"/>
  <c r="B62" i="1"/>
  <c r="D62" i="1" s="1"/>
  <c r="C56" i="1"/>
  <c r="F56" i="1" s="1"/>
  <c r="G56" i="1" s="1"/>
  <c r="B56" i="1"/>
  <c r="D56" i="1" s="1"/>
  <c r="C55" i="1"/>
  <c r="F55" i="1" s="1"/>
  <c r="G55" i="1" s="1"/>
  <c r="B55" i="1"/>
  <c r="D55" i="1" s="1"/>
  <c r="C46" i="1"/>
  <c r="F46" i="1" s="1"/>
  <c r="G46" i="1" s="1"/>
  <c r="B46" i="1"/>
  <c r="D46" i="1" s="1"/>
  <c r="C45" i="1"/>
  <c r="F45" i="1" s="1"/>
  <c r="G45" i="1" s="1"/>
  <c r="B45" i="1"/>
  <c r="D45" i="1" s="1"/>
  <c r="C40" i="1"/>
  <c r="F40" i="1" s="1"/>
  <c r="G40" i="1" s="1"/>
  <c r="B40" i="1"/>
  <c r="D40" i="1" s="1"/>
  <c r="C39" i="1"/>
  <c r="F39" i="1" s="1"/>
  <c r="G39" i="1" s="1"/>
  <c r="B39" i="1"/>
  <c r="D39" i="1" s="1"/>
  <c r="C33" i="1"/>
  <c r="F33" i="1" s="1"/>
  <c r="G33" i="1" s="1"/>
  <c r="B33" i="1"/>
  <c r="D33" i="1" s="1"/>
  <c r="C32" i="1"/>
  <c r="F32" i="1" s="1"/>
  <c r="G32" i="1" s="1"/>
  <c r="B32" i="1"/>
  <c r="D32" i="1" s="1"/>
  <c r="C27" i="1"/>
  <c r="F27" i="1" s="1"/>
  <c r="G27" i="1" s="1"/>
  <c r="B27" i="1"/>
  <c r="D27" i="1" s="1"/>
  <c r="C26" i="1"/>
  <c r="F26" i="1" s="1"/>
  <c r="G26" i="1" s="1"/>
  <c r="B26" i="1"/>
  <c r="D26" i="1" s="1"/>
  <c r="C20" i="1"/>
  <c r="F20" i="1" s="1"/>
  <c r="G20" i="1" s="1"/>
  <c r="B20" i="1"/>
  <c r="D20" i="1" s="1"/>
  <c r="C19" i="1"/>
  <c r="F19" i="1" s="1"/>
  <c r="G19" i="1" s="1"/>
  <c r="B19" i="1"/>
  <c r="D19" i="1" s="1"/>
  <c r="C14" i="1"/>
  <c r="F14" i="1" s="1"/>
  <c r="G14" i="1" s="1"/>
  <c r="B14" i="1"/>
  <c r="D14" i="1" s="1"/>
  <c r="C13" i="1"/>
  <c r="F13" i="1" s="1"/>
  <c r="G13" i="1" s="1"/>
  <c r="B13" i="1"/>
  <c r="D13" i="1" s="1"/>
  <c r="C8" i="1"/>
  <c r="F8" i="1" s="1"/>
  <c r="G8" i="1" s="1"/>
  <c r="B8" i="1"/>
  <c r="D8" i="1" s="1"/>
  <c r="C7" i="1"/>
  <c r="F7" i="1" s="1"/>
  <c r="G7" i="1" s="1"/>
  <c r="B7" i="1"/>
  <c r="D7" i="1" s="1"/>
  <c r="F4" i="1"/>
  <c r="G4" i="1" s="1"/>
  <c r="E4" i="1"/>
  <c r="H4" i="1" s="1"/>
  <c r="D4" i="1"/>
  <c r="F1" i="1"/>
  <c r="K23" i="3"/>
  <c r="K22" i="3"/>
  <c r="J23" i="3"/>
  <c r="J22" i="3"/>
  <c r="K7" i="3"/>
  <c r="J7" i="3"/>
  <c r="D107" i="1" l="1"/>
  <c r="E107" i="1" s="1"/>
  <c r="H107" i="1" s="1"/>
  <c r="F108" i="1"/>
  <c r="G108" i="1" s="1"/>
  <c r="F107" i="1"/>
  <c r="G107" i="1" s="1"/>
  <c r="D100" i="1"/>
  <c r="E100" i="1" s="1"/>
  <c r="F101" i="1"/>
  <c r="G101" i="1" s="1"/>
  <c r="F100" i="1"/>
  <c r="G100" i="1" s="1"/>
  <c r="E45" i="1"/>
  <c r="H45" i="1" s="1"/>
  <c r="E46" i="1"/>
  <c r="H46" i="1" s="1"/>
  <c r="E81" i="1"/>
  <c r="H81" i="1" s="1"/>
  <c r="E27" i="1"/>
  <c r="H27" i="1" s="1"/>
  <c r="E56" i="1"/>
  <c r="H56" i="1"/>
  <c r="H26" i="1"/>
  <c r="E26" i="1"/>
  <c r="E19" i="1"/>
  <c r="H19" i="1" s="1"/>
  <c r="E20" i="1"/>
  <c r="H20" i="1" s="1"/>
  <c r="E55" i="1"/>
  <c r="H55" i="1" s="1"/>
  <c r="H57" i="1" s="1"/>
  <c r="H58" i="1" s="1"/>
  <c r="H87" i="1"/>
  <c r="E87" i="1"/>
  <c r="H7" i="1"/>
  <c r="E7" i="1"/>
  <c r="E32" i="1"/>
  <c r="H32" i="1" s="1"/>
  <c r="H34" i="1" s="1"/>
  <c r="H35" i="1" s="1"/>
  <c r="E62" i="1"/>
  <c r="H62" i="1" s="1"/>
  <c r="E63" i="1"/>
  <c r="H63" i="1" s="1"/>
  <c r="E80" i="1"/>
  <c r="H80" i="1" s="1"/>
  <c r="E8" i="1"/>
  <c r="H8" i="1"/>
  <c r="E33" i="1"/>
  <c r="H33" i="1"/>
  <c r="H13" i="1"/>
  <c r="E13" i="1"/>
  <c r="E39" i="1"/>
  <c r="H39" i="1" s="1"/>
  <c r="H41" i="1" s="1"/>
  <c r="H42" i="1" s="1"/>
  <c r="H68" i="1"/>
  <c r="E68" i="1"/>
  <c r="E14" i="1"/>
  <c r="H14" i="1"/>
  <c r="E40" i="1"/>
  <c r="H40" i="1" s="1"/>
  <c r="E69" i="1"/>
  <c r="H69" i="1" s="1"/>
  <c r="D88" i="1"/>
  <c r="D101" i="1"/>
  <c r="D108" i="1"/>
  <c r="H55" i="2"/>
  <c r="H57" i="2" s="1"/>
  <c r="H56" i="2"/>
  <c r="H61" i="2"/>
  <c r="H26" i="2"/>
  <c r="H17" i="2"/>
  <c r="H28" i="2"/>
  <c r="H36" i="2"/>
  <c r="H62" i="2"/>
  <c r="E34" i="2"/>
  <c r="H34" i="2" s="1"/>
  <c r="H37" i="2" s="1"/>
  <c r="E41" i="2"/>
  <c r="H41" i="2" s="1"/>
  <c r="H43" i="2" s="1"/>
  <c r="E67" i="2"/>
  <c r="H67" i="2" s="1"/>
  <c r="H69" i="2" s="1"/>
  <c r="E48" i="2"/>
  <c r="H48" i="2" s="1"/>
  <c r="H49" i="2" s="1"/>
  <c r="E20" i="2"/>
  <c r="H20" i="2" s="1"/>
  <c r="H22" i="2" s="1"/>
  <c r="H23" i="2" s="1"/>
  <c r="E27" i="2"/>
  <c r="H27" i="2" s="1"/>
  <c r="E35" i="2"/>
  <c r="H35" i="2" s="1"/>
  <c r="E61" i="2"/>
  <c r="E42" i="2"/>
  <c r="H42" i="2" s="1"/>
  <c r="H100" i="1" l="1"/>
  <c r="H21" i="1"/>
  <c r="H22" i="1" s="1"/>
  <c r="H82" i="1"/>
  <c r="H83" i="1" s="1"/>
  <c r="H64" i="1"/>
  <c r="H65" i="1" s="1"/>
  <c r="H47" i="1"/>
  <c r="H48" i="1" s="1"/>
  <c r="H28" i="1"/>
  <c r="H29" i="1" s="1"/>
  <c r="H70" i="1"/>
  <c r="H71" i="1" s="1"/>
  <c r="H9" i="1"/>
  <c r="H10" i="1" s="1"/>
  <c r="H15" i="1"/>
  <c r="H16" i="1" s="1"/>
  <c r="E108" i="1"/>
  <c r="H108" i="1" s="1"/>
  <c r="H109" i="1" s="1"/>
  <c r="H110" i="1" s="1"/>
  <c r="E101" i="1"/>
  <c r="H101" i="1" s="1"/>
  <c r="H88" i="1"/>
  <c r="H89" i="1" s="1"/>
  <c r="H90" i="1" s="1"/>
  <c r="E88" i="1"/>
  <c r="H44" i="2"/>
  <c r="H50" i="2"/>
  <c r="H38" i="2"/>
  <c r="H29" i="2"/>
  <c r="H30" i="2" s="1"/>
  <c r="H63" i="2"/>
  <c r="H64" i="2" s="1"/>
  <c r="H70" i="2"/>
  <c r="H58" i="2"/>
  <c r="H102" i="1" l="1"/>
  <c r="H103" i="1" s="1"/>
  <c r="K18" i="3"/>
  <c r="J10" i="3"/>
  <c r="K28" i="3"/>
  <c r="J28" i="3"/>
  <c r="K27" i="3"/>
  <c r="J27" i="3"/>
  <c r="J18" i="3"/>
  <c r="K17" i="3"/>
  <c r="J17" i="3"/>
  <c r="K11" i="3"/>
  <c r="J11" i="3"/>
  <c r="K10" i="3"/>
  <c r="F68" i="2"/>
  <c r="G68" i="2" s="1"/>
  <c r="H68" i="2" s="1"/>
  <c r="E68" i="2"/>
  <c r="D68" i="2"/>
  <c r="F67" i="2"/>
  <c r="G67" i="2" s="1"/>
  <c r="D67" i="2"/>
  <c r="G62" i="2"/>
  <c r="F62" i="2"/>
  <c r="D62" i="2"/>
  <c r="E62" i="2" s="1"/>
  <c r="F61" i="2"/>
  <c r="G61" i="2" s="1"/>
  <c r="D61" i="2"/>
  <c r="F56" i="2"/>
  <c r="G56" i="2" s="1"/>
  <c r="D56" i="2"/>
  <c r="E56" i="2" s="1"/>
  <c r="F55" i="2"/>
  <c r="G55" i="2" s="1"/>
  <c r="E55" i="2"/>
  <c r="D55" i="2"/>
  <c r="F48" i="2"/>
  <c r="G48" i="2" s="1"/>
  <c r="D48" i="2"/>
  <c r="G47" i="2"/>
  <c r="F47" i="2"/>
  <c r="D47" i="2"/>
  <c r="E47" i="2" s="1"/>
  <c r="H47" i="2" s="1"/>
  <c r="F42" i="2"/>
  <c r="G42" i="2" s="1"/>
  <c r="D42" i="2"/>
  <c r="F41" i="2"/>
  <c r="G41" i="2" s="1"/>
  <c r="D41" i="2"/>
  <c r="G36" i="2"/>
  <c r="F36" i="2"/>
  <c r="D36" i="2"/>
  <c r="E36" i="2" s="1"/>
  <c r="F35" i="2"/>
  <c r="G35" i="2" s="1"/>
  <c r="D35" i="2"/>
  <c r="F34" i="2"/>
  <c r="G34" i="2" s="1"/>
  <c r="D34" i="2"/>
  <c r="F28" i="2"/>
  <c r="G28" i="2" s="1"/>
  <c r="E28" i="2"/>
  <c r="D28" i="2"/>
  <c r="F27" i="2"/>
  <c r="D27" i="2"/>
  <c r="F26" i="2"/>
  <c r="G26" i="2" s="1"/>
  <c r="E26" i="2"/>
  <c r="D26" i="2"/>
  <c r="F21" i="2"/>
  <c r="G21" i="2" s="1"/>
  <c r="D21" i="2"/>
  <c r="E21" i="2" s="1"/>
  <c r="H21" i="2" s="1"/>
  <c r="F20" i="2"/>
  <c r="G20" i="2" s="1"/>
  <c r="D20" i="2"/>
  <c r="C15" i="2"/>
  <c r="F15" i="2" s="1"/>
  <c r="G15" i="2" s="1"/>
  <c r="B15" i="2"/>
  <c r="D15" i="2" s="1"/>
  <c r="E15" i="2" s="1"/>
  <c r="H15" i="2" s="1"/>
  <c r="C14" i="2"/>
  <c r="F14" i="2" s="1"/>
  <c r="G14" i="2" s="1"/>
  <c r="B14" i="2"/>
  <c r="D14" i="2" s="1"/>
  <c r="E14" i="2" s="1"/>
  <c r="C8" i="2"/>
  <c r="F8" i="2" s="1"/>
  <c r="G8" i="2" s="1"/>
  <c r="B8" i="2"/>
  <c r="D8" i="2" s="1"/>
  <c r="E8" i="2" s="1"/>
  <c r="H8" i="2" s="1"/>
  <c r="C7" i="2"/>
  <c r="F7" i="2" s="1"/>
  <c r="G7" i="2" s="1"/>
  <c r="B7" i="2"/>
  <c r="D7" i="2" s="1"/>
  <c r="E7" i="2" s="1"/>
  <c r="H7" i="2" s="1"/>
  <c r="H9" i="2" s="1"/>
  <c r="H10" i="2" s="1"/>
  <c r="F4" i="2"/>
  <c r="G4" i="2" s="1"/>
  <c r="E4" i="2"/>
  <c r="H4" i="2" s="1"/>
  <c r="D4" i="2"/>
  <c r="F1" i="2"/>
  <c r="G27" i="2" s="1"/>
  <c r="H14" i="2" l="1"/>
</calcChain>
</file>

<file path=xl/sharedStrings.xml><?xml version="1.0" encoding="utf-8"?>
<sst xmlns="http://schemas.openxmlformats.org/spreadsheetml/2006/main" count="635" uniqueCount="73">
  <si>
    <t>Log Base</t>
  </si>
  <si>
    <t>Yes</t>
  </si>
  <si>
    <t>No</t>
  </si>
  <si>
    <t>P(Yes)</t>
  </si>
  <si>
    <t>Log2(Yes)</t>
  </si>
  <si>
    <t>P(No)</t>
  </si>
  <si>
    <t>Log2(No)</t>
  </si>
  <si>
    <t>Entropy</t>
  </si>
  <si>
    <t>Entropy(S)</t>
  </si>
  <si>
    <t>Gain(S, Temp)</t>
  </si>
  <si>
    <t>Gain(S, Humidity)</t>
  </si>
  <si>
    <t>Gain(S, Wind)</t>
  </si>
  <si>
    <t>Gain(S, Outlook)</t>
  </si>
  <si>
    <t>EEntropy(Outlook)</t>
  </si>
  <si>
    <t>EEntropyWind)</t>
  </si>
  <si>
    <t>EEntropy(Temp)</t>
  </si>
  <si>
    <t>Sunny, Humid</t>
  </si>
  <si>
    <t>Sunny, Wind</t>
  </si>
  <si>
    <t>Gain(Sunny, Temp)</t>
  </si>
  <si>
    <t>Gain(Sunny, Humid)</t>
  </si>
  <si>
    <t>Gain(Sunny, Wind)</t>
  </si>
  <si>
    <t>Gain(Rain, Temp)</t>
  </si>
  <si>
    <t>Rain, Humid</t>
  </si>
  <si>
    <t>Gain(Rain, Humid)</t>
  </si>
  <si>
    <t>Rain, Wind</t>
  </si>
  <si>
    <t>Gain(Rain, Wind)</t>
  </si>
  <si>
    <t>Hot</t>
  </si>
  <si>
    <t>Mild</t>
  </si>
  <si>
    <t>Cool</t>
  </si>
  <si>
    <t>High</t>
  </si>
  <si>
    <t>Normal</t>
  </si>
  <si>
    <t>Weak</t>
  </si>
  <si>
    <t>Strong</t>
  </si>
  <si>
    <t>Sunny</t>
  </si>
  <si>
    <t>Rain</t>
  </si>
  <si>
    <t>Initial State</t>
  </si>
  <si>
    <t>Sunshine</t>
  </si>
  <si>
    <t>Pressure</t>
  </si>
  <si>
    <t>Cold</t>
  </si>
  <si>
    <t>Windy</t>
  </si>
  <si>
    <t>CloudTomorrow</t>
  </si>
  <si>
    <t>Not Sunny</t>
  </si>
  <si>
    <t>Cloudy</t>
  </si>
  <si>
    <t>Not High</t>
  </si>
  <si>
    <t>Not Cloudy</t>
  </si>
  <si>
    <t>Not Sunny, Wind</t>
  </si>
  <si>
    <t>Not Sunny, Cold</t>
  </si>
  <si>
    <t>Not Windy</t>
  </si>
  <si>
    <t>Not Windy, Cold</t>
  </si>
  <si>
    <t>Not Sunny, Pressure</t>
  </si>
  <si>
    <t>High Pressure</t>
  </si>
  <si>
    <t>EEntropy(Cold)</t>
  </si>
  <si>
    <t>Gain(S, Cold)</t>
  </si>
  <si>
    <t>Gain(S, Pressure)</t>
  </si>
  <si>
    <t>EEntropy(Sunshine)</t>
  </si>
  <si>
    <t>Gain(S, Sunshine)</t>
  </si>
  <si>
    <t>Gain(Sunny, Windy)</t>
  </si>
  <si>
    <t>layer 1 : Sunny</t>
  </si>
  <si>
    <t>Gain(Not Sunny, Wind)</t>
  </si>
  <si>
    <t>Gain(Not Sunny, Cold)</t>
  </si>
  <si>
    <t>Gain(Not Sunny, Pressure)</t>
  </si>
  <si>
    <t xml:space="preserve"> Sunny, Wind</t>
  </si>
  <si>
    <t xml:space="preserve"> Sunny, Cold</t>
  </si>
  <si>
    <t>Gain(Sunny, Cold)</t>
  </si>
  <si>
    <t xml:space="preserve"> Sunny, Pressure</t>
  </si>
  <si>
    <t>Gain(Sunny, Pressure)</t>
  </si>
  <si>
    <t xml:space="preserve">Layer sunny yes : 2 cold </t>
  </si>
  <si>
    <t>Not Cold, Pressure</t>
  </si>
  <si>
    <t xml:space="preserve"> Cold, Pressure</t>
  </si>
  <si>
    <t>Layer sunny No : 2 cWindy</t>
  </si>
  <si>
    <t xml:space="preserve"> Windy, Cold</t>
  </si>
  <si>
    <t>Gain(Not Windy, Cold)</t>
  </si>
  <si>
    <t>Gain( Windy, 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</si>
</sst>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2"/>
      <name val="Calibri"/>
      <family val="2"/>
      <scheme val="minor"/>
    </font>
    <font>
      <sz val="12"/>
      <name val="Calibri"/>
      <family val="2"/>
      <scheme val="minor"/>
    </font>
    <font>
      <sz val="12"/>
      <color theme="0" tint="-0.249977111117893"/>
      <name val="Calibri"/>
      <family val="2"/>
      <scheme val="minor"/>
    </font>
    <font>
      <b/>
      <sz val="12"/>
      <color theme="0" tint="-0.249977111117893"/>
      <name val="Calibri"/>
      <family val="2"/>
      <scheme val="minor"/>
    </font>
    <font>
      <sz val="12"/>
      <color theme="1"/>
      <name val="Calibri"/>
      <family val="2"/>
      <scheme val="minor"/>
    </font>
    <font>
      <b/>
      <sz val="12"/>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auto="1"/>
      </top>
      <bottom/>
      <diagonal/>
    </border>
  </borders>
  <cellStyleXfs count="1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8" fillId="0" borderId="0"/>
  </cellStyleXfs>
  <cellXfs count="47">
    <xf numFmtId="0" fontId="0" fillId="0" borderId="0" xfId="0"/>
    <xf numFmtId="0" fontId="0" fillId="0" borderId="0" xfId="0" applyAlignment="1">
      <alignment horizontal="left"/>
    </xf>
    <xf numFmtId="164" fontId="0" fillId="0" borderId="0" xfId="0" applyNumberFormat="1" applyAlignment="1">
      <alignment horizontal="left"/>
    </xf>
    <xf numFmtId="0" fontId="0" fillId="0" borderId="0" xfId="0" quotePrefix="1" applyAlignment="1">
      <alignment horizontal="left"/>
    </xf>
    <xf numFmtId="0" fontId="0" fillId="0" borderId="1" xfId="0"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164" fontId="3" fillId="0" borderId="1" xfId="0" applyNumberFormat="1" applyFont="1" applyBorder="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Alignment="1"/>
    <xf numFmtId="0" fontId="3" fillId="0" borderId="1" xfId="0" applyFont="1" applyBorder="1" applyAlignment="1"/>
    <xf numFmtId="0" fontId="0" fillId="0" borderId="1" xfId="0" applyBorder="1" applyAlignment="1"/>
    <xf numFmtId="0" fontId="4" fillId="0" borderId="1" xfId="0" applyFont="1" applyBorder="1" applyAlignment="1"/>
    <xf numFmtId="0" fontId="4" fillId="0" borderId="1" xfId="0" applyFont="1" applyBorder="1" applyAlignment="1">
      <alignment horizontal="center"/>
    </xf>
    <xf numFmtId="0" fontId="5" fillId="0" borderId="0" xfId="0" applyFont="1" applyAlignment="1">
      <alignment horizontal="left"/>
    </xf>
    <xf numFmtId="0" fontId="5" fillId="0" borderId="1" xfId="0" applyFont="1" applyBorder="1" applyAlignment="1"/>
    <xf numFmtId="0" fontId="5" fillId="0" borderId="0" xfId="0" applyFont="1" applyAlignment="1"/>
    <xf numFmtId="0" fontId="5" fillId="0" borderId="0" xfId="0" applyFont="1" applyAlignment="1">
      <alignment horizontal="center"/>
    </xf>
    <xf numFmtId="0" fontId="4" fillId="0" borderId="3" xfId="0" applyFont="1" applyBorder="1" applyAlignment="1">
      <alignment horizontal="center"/>
    </xf>
    <xf numFmtId="0" fontId="4" fillId="0" borderId="2" xfId="0" applyFont="1" applyBorder="1" applyAlignment="1">
      <alignment horizontal="center"/>
    </xf>
    <xf numFmtId="0" fontId="6" fillId="0" borderId="1" xfId="0" applyFont="1" applyBorder="1" applyAlignment="1">
      <alignment horizontal="center"/>
    </xf>
    <xf numFmtId="164" fontId="6" fillId="0" borderId="1" xfId="0" applyNumberFormat="1" applyFont="1" applyBorder="1" applyAlignment="1">
      <alignment horizontal="center"/>
    </xf>
    <xf numFmtId="0" fontId="6" fillId="0" borderId="0" xfId="0" applyFont="1" applyBorder="1" applyAlignment="1">
      <alignment horizontal="center"/>
    </xf>
    <xf numFmtId="164" fontId="7" fillId="0" borderId="1" xfId="0" applyNumberFormat="1" applyFont="1" applyBorder="1" applyAlignment="1">
      <alignment horizontal="center"/>
    </xf>
    <xf numFmtId="0" fontId="6" fillId="0" borderId="3" xfId="0" applyFont="1" applyBorder="1" applyAlignment="1">
      <alignment horizontal="center"/>
    </xf>
    <xf numFmtId="164" fontId="6" fillId="0" borderId="2" xfId="0" applyNumberFormat="1" applyFont="1" applyBorder="1" applyAlignment="1">
      <alignment horizontal="center"/>
    </xf>
    <xf numFmtId="0" fontId="3" fillId="0" borderId="1" xfId="131" applyFont="1" applyBorder="1"/>
    <xf numFmtId="0" fontId="3" fillId="0" borderId="1" xfId="131" applyFont="1" applyBorder="1" applyAlignment="1">
      <alignment horizontal="center"/>
    </xf>
    <xf numFmtId="0" fontId="8" fillId="0" borderId="1" xfId="131" applyBorder="1"/>
    <xf numFmtId="164" fontId="8" fillId="0" borderId="1" xfId="131" applyNumberFormat="1" applyBorder="1" applyAlignment="1">
      <alignment horizontal="center"/>
    </xf>
    <xf numFmtId="0" fontId="0" fillId="3" borderId="4" xfId="0" applyFont="1" applyFill="1" applyBorder="1"/>
    <xf numFmtId="0" fontId="0" fillId="0" borderId="4" xfId="0" applyFont="1" applyBorder="1"/>
    <xf numFmtId="0" fontId="0" fillId="0" borderId="1" xfId="131" applyFont="1" applyBorder="1" applyAlignment="1">
      <alignment horizontal="center"/>
    </xf>
    <xf numFmtId="0" fontId="0" fillId="4" borderId="0" xfId="0" applyFill="1" applyAlignment="1">
      <alignment horizontal="left"/>
    </xf>
    <xf numFmtId="0" fontId="9" fillId="2" borderId="5" xfId="0" applyFont="1" applyFill="1" applyBorder="1"/>
    <xf numFmtId="0" fontId="0" fillId="3" borderId="6" xfId="0" applyFont="1" applyFill="1" applyBorder="1"/>
    <xf numFmtId="0" fontId="0" fillId="0" borderId="6" xfId="0" applyBorder="1"/>
    <xf numFmtId="0" fontId="0" fillId="3" borderId="4" xfId="0" applyFill="1" applyBorder="1"/>
    <xf numFmtId="0" fontId="0" fillId="0" borderId="4" xfId="0" applyBorder="1"/>
    <xf numFmtId="0" fontId="0" fillId="3" borderId="6" xfId="0" applyFill="1" applyBorder="1"/>
    <xf numFmtId="0" fontId="0" fillId="4" borderId="7" xfId="0" applyFill="1" applyBorder="1" applyAlignment="1">
      <alignment horizontal="center"/>
    </xf>
    <xf numFmtId="0" fontId="3" fillId="0" borderId="1" xfId="0" applyFont="1" applyBorder="1"/>
    <xf numFmtId="0" fontId="0" fillId="0" borderId="1" xfId="0" applyBorder="1"/>
    <xf numFmtId="0" fontId="0" fillId="5" borderId="1" xfId="0" applyFill="1" applyBorder="1"/>
    <xf numFmtId="0" fontId="5" fillId="0" borderId="1" xfId="0" applyFont="1" applyBorder="1"/>
    <xf numFmtId="0" fontId="0" fillId="4" borderId="0" xfId="0" applyFill="1"/>
  </cellXfs>
  <cellStyles count="1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 name="Normal 2" xfId="131" xr:uid="{35558D8F-BB9B-4021-9204-B8C52D5DAF72}"/>
  </cellStyles>
  <dxfs count="24">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microsoft.com/office/2007/relationships/slicerCache" Target="slicerCaches/slicerCache5.xml"/><Relationship Id="rId5" Type="http://schemas.openxmlformats.org/officeDocument/2006/relationships/externalLink" Target="externalLinks/externalLink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drawings/drawing1.xml><?xml version="1.0" encoding="utf-8"?>
<xdr:wsDr xmlns:xdr="http://schemas.openxmlformats.org/drawingml/2006/spreadsheetDrawing" xmlns:a="http://schemas.openxmlformats.org/drawingml/2006/main">
  <xdr:twoCellAnchor editAs="absolute">
    <xdr:from>
      <xdr:col>6</xdr:col>
      <xdr:colOff>139700</xdr:colOff>
      <xdr:row>0</xdr:row>
      <xdr:rowOff>114301</xdr:rowOff>
    </xdr:from>
    <xdr:to>
      <xdr:col>9</xdr:col>
      <xdr:colOff>6350</xdr:colOff>
      <xdr:row>19</xdr:row>
      <xdr:rowOff>158751</xdr:rowOff>
    </xdr:to>
    <mc:AlternateContent xmlns:mc="http://schemas.openxmlformats.org/markup-compatibility/2006" xmlns:sle15="http://schemas.microsoft.com/office/drawing/2012/slicer">
      <mc:Choice Requires="sle15">
        <xdr:graphicFrame macro="">
          <xdr:nvGraphicFramePr>
            <xdr:cNvPr id="2" name="Sunshine">
              <a:extLst>
                <a:ext uri="{FF2B5EF4-FFF2-40B4-BE49-F238E27FC236}">
                  <a16:creationId xmlns:a16="http://schemas.microsoft.com/office/drawing/2014/main" id="{6C991A7A-BA40-4C39-8C7C-CAB680CB8B90}"/>
                </a:ext>
              </a:extLst>
            </xdr:cNvPr>
            <xdr:cNvGraphicFramePr/>
          </xdr:nvGraphicFramePr>
          <xdr:xfrm>
            <a:off x="0" y="0"/>
            <a:ext cx="0" cy="0"/>
          </xdr:xfrm>
          <a:graphic>
            <a:graphicData uri="http://schemas.microsoft.com/office/drawing/2010/slicer">
              <sle:slicer xmlns:sle="http://schemas.microsoft.com/office/drawing/2010/slicer" name="Sunshine"/>
            </a:graphicData>
          </a:graphic>
        </xdr:graphicFrame>
      </mc:Choice>
      <mc:Fallback xmlns="">
        <xdr:sp macro="" textlink="">
          <xdr:nvSpPr>
            <xdr:cNvPr id="0" name=""/>
            <xdr:cNvSpPr>
              <a:spLocks noTextEdit="1"/>
            </xdr:cNvSpPr>
          </xdr:nvSpPr>
          <xdr:spPr>
            <a:xfrm>
              <a:off x="4065657" y="114301"/>
              <a:ext cx="1829628" cy="103836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11734</xdr:colOff>
      <xdr:row>1</xdr:row>
      <xdr:rowOff>0</xdr:rowOff>
    </xdr:from>
    <xdr:to>
      <xdr:col>15</xdr:col>
      <xdr:colOff>488260</xdr:colOff>
      <xdr:row>20</xdr:row>
      <xdr:rowOff>8974</xdr:rowOff>
    </xdr:to>
    <mc:AlternateContent xmlns:mc="http://schemas.openxmlformats.org/markup-compatibility/2006" xmlns:sle15="http://schemas.microsoft.com/office/drawing/2012/slicer">
      <mc:Choice Requires="sle15">
        <xdr:graphicFrame macro="">
          <xdr:nvGraphicFramePr>
            <xdr:cNvPr id="3" name="CloudTomorrow">
              <a:extLst>
                <a:ext uri="{FF2B5EF4-FFF2-40B4-BE49-F238E27FC236}">
                  <a16:creationId xmlns:a16="http://schemas.microsoft.com/office/drawing/2014/main" id="{7F1EF860-E222-4CD5-81D7-F2BEBF4585D1}"/>
                </a:ext>
              </a:extLst>
            </xdr:cNvPr>
            <xdr:cNvGraphicFramePr/>
          </xdr:nvGraphicFramePr>
          <xdr:xfrm>
            <a:off x="0" y="0"/>
            <a:ext cx="0" cy="0"/>
          </xdr:xfrm>
          <a:graphic>
            <a:graphicData uri="http://schemas.microsoft.com/office/drawing/2010/slicer">
              <sle:slicer xmlns:sle="http://schemas.microsoft.com/office/drawing/2010/slicer" name="CloudTomorrow"/>
            </a:graphicData>
          </a:graphic>
        </xdr:graphicFrame>
      </mc:Choice>
      <mc:Fallback xmlns="">
        <xdr:sp macro="" textlink="">
          <xdr:nvSpPr>
            <xdr:cNvPr id="0" name=""/>
            <xdr:cNvSpPr>
              <a:spLocks noTextEdit="1"/>
            </xdr:cNvSpPr>
          </xdr:nvSpPr>
          <xdr:spPr>
            <a:xfrm>
              <a:off x="8625647" y="198783"/>
              <a:ext cx="1801743" cy="1002887"/>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139700</xdr:colOff>
      <xdr:row>20</xdr:row>
      <xdr:rowOff>63501</xdr:rowOff>
    </xdr:from>
    <xdr:to>
      <xdr:col>9</xdr:col>
      <xdr:colOff>120650</xdr:colOff>
      <xdr:row>25</xdr:row>
      <xdr:rowOff>63501</xdr:rowOff>
    </xdr:to>
    <mc:AlternateContent xmlns:mc="http://schemas.openxmlformats.org/markup-compatibility/2006" xmlns:sle15="http://schemas.microsoft.com/office/drawing/2012/slicer">
      <mc:Choice Requires="sle15">
        <xdr:graphicFrame macro="">
          <xdr:nvGraphicFramePr>
            <xdr:cNvPr id="4" name="High Pressure">
              <a:extLst>
                <a:ext uri="{FF2B5EF4-FFF2-40B4-BE49-F238E27FC236}">
                  <a16:creationId xmlns:a16="http://schemas.microsoft.com/office/drawing/2014/main" id="{61EA5BF4-E5C0-4DAB-A35E-782D1C8ECBED}"/>
                </a:ext>
              </a:extLst>
            </xdr:cNvPr>
            <xdr:cNvGraphicFramePr/>
          </xdr:nvGraphicFramePr>
          <xdr:xfrm>
            <a:off x="0" y="0"/>
            <a:ext cx="0" cy="0"/>
          </xdr:xfrm>
          <a:graphic>
            <a:graphicData uri="http://schemas.microsoft.com/office/drawing/2010/slicer">
              <sle:slicer xmlns:sle="http://schemas.microsoft.com/office/drawing/2010/slicer" name="High Pressure"/>
            </a:graphicData>
          </a:graphic>
        </xdr:graphicFrame>
      </mc:Choice>
      <mc:Fallback xmlns="">
        <xdr:sp macro="" textlink="">
          <xdr:nvSpPr>
            <xdr:cNvPr id="0" name=""/>
            <xdr:cNvSpPr>
              <a:spLocks noTextEdit="1"/>
            </xdr:cNvSpPr>
          </xdr:nvSpPr>
          <xdr:spPr>
            <a:xfrm>
              <a:off x="4065657" y="1256197"/>
              <a:ext cx="1943928" cy="99391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349250</xdr:colOff>
      <xdr:row>0</xdr:row>
      <xdr:rowOff>114301</xdr:rowOff>
    </xdr:from>
    <xdr:to>
      <xdr:col>12</xdr:col>
      <xdr:colOff>152400</xdr:colOff>
      <xdr:row>19</xdr:row>
      <xdr:rowOff>139701</xdr:rowOff>
    </xdr:to>
    <mc:AlternateContent xmlns:mc="http://schemas.openxmlformats.org/markup-compatibility/2006" xmlns:sle15="http://schemas.microsoft.com/office/drawing/2012/slicer">
      <mc:Choice Requires="sle15">
        <xdr:graphicFrame macro="">
          <xdr:nvGraphicFramePr>
            <xdr:cNvPr id="5" name="Windy">
              <a:extLst>
                <a:ext uri="{FF2B5EF4-FFF2-40B4-BE49-F238E27FC236}">
                  <a16:creationId xmlns:a16="http://schemas.microsoft.com/office/drawing/2014/main" id="{CC3703F5-632C-440C-A7A0-5545ED18D53D}"/>
                </a:ext>
              </a:extLst>
            </xdr:cNvPr>
            <xdr:cNvGraphicFramePr/>
          </xdr:nvGraphicFramePr>
          <xdr:xfrm>
            <a:off x="0" y="0"/>
            <a:ext cx="0" cy="0"/>
          </xdr:xfrm>
          <a:graphic>
            <a:graphicData uri="http://schemas.microsoft.com/office/drawing/2010/slicer">
              <sle:slicer xmlns:sle="http://schemas.microsoft.com/office/drawing/2010/slicer" name="Windy"/>
            </a:graphicData>
          </a:graphic>
        </xdr:graphicFrame>
      </mc:Choice>
      <mc:Fallback xmlns="">
        <xdr:sp macro="" textlink="">
          <xdr:nvSpPr>
            <xdr:cNvPr id="0" name=""/>
            <xdr:cNvSpPr>
              <a:spLocks noTextEdit="1"/>
            </xdr:cNvSpPr>
          </xdr:nvSpPr>
          <xdr:spPr>
            <a:xfrm>
              <a:off x="6238185" y="114301"/>
              <a:ext cx="1766128" cy="101931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352425</xdr:colOff>
      <xdr:row>20</xdr:row>
      <xdr:rowOff>66676</xdr:rowOff>
    </xdr:from>
    <xdr:to>
      <xdr:col>12</xdr:col>
      <xdr:colOff>196850</xdr:colOff>
      <xdr:row>25</xdr:row>
      <xdr:rowOff>139700</xdr:rowOff>
    </xdr:to>
    <mc:AlternateContent xmlns:mc="http://schemas.openxmlformats.org/markup-compatibility/2006" xmlns:sle15="http://schemas.microsoft.com/office/drawing/2012/slicer">
      <mc:Choice Requires="sle15">
        <xdr:graphicFrame macro="">
          <xdr:nvGraphicFramePr>
            <xdr:cNvPr id="6" name="Cold">
              <a:extLst>
                <a:ext uri="{FF2B5EF4-FFF2-40B4-BE49-F238E27FC236}">
                  <a16:creationId xmlns:a16="http://schemas.microsoft.com/office/drawing/2014/main" id="{BEAFB52A-D6A5-4199-BB69-33C103314F02}"/>
                </a:ext>
              </a:extLst>
            </xdr:cNvPr>
            <xdr:cNvGraphicFramePr/>
          </xdr:nvGraphicFramePr>
          <xdr:xfrm>
            <a:off x="0" y="0"/>
            <a:ext cx="0" cy="0"/>
          </xdr:xfrm>
          <a:graphic>
            <a:graphicData uri="http://schemas.microsoft.com/office/drawing/2010/slicer">
              <sle:slicer xmlns:sle="http://schemas.microsoft.com/office/drawing/2010/slicer" name="Cold"/>
            </a:graphicData>
          </a:graphic>
        </xdr:graphicFrame>
      </mc:Choice>
      <mc:Fallback xmlns="">
        <xdr:sp macro="" textlink="">
          <xdr:nvSpPr>
            <xdr:cNvPr id="0" name=""/>
            <xdr:cNvSpPr>
              <a:spLocks noTextEdit="1"/>
            </xdr:cNvSpPr>
          </xdr:nvSpPr>
          <xdr:spPr>
            <a:xfrm>
              <a:off x="6241360" y="1259372"/>
              <a:ext cx="1807403" cy="1066937"/>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25</xdr:col>
      <xdr:colOff>158750</xdr:colOff>
      <xdr:row>10</xdr:row>
      <xdr:rowOff>184151</xdr:rowOff>
    </xdr:from>
    <xdr:to>
      <xdr:col>28</xdr:col>
      <xdr:colOff>6350</xdr:colOff>
      <xdr:row>16</xdr:row>
      <xdr:rowOff>95251</xdr:rowOff>
    </xdr:to>
    <mc:AlternateContent xmlns:mc="http://schemas.openxmlformats.org/markup-compatibility/2006" xmlns:sle15="http://schemas.microsoft.com/office/drawing/2012/slicer">
      <mc:Choice Requires="sle15">
        <xdr:graphicFrame macro="">
          <xdr:nvGraphicFramePr>
            <xdr:cNvPr id="7" name="Sunshine 1">
              <a:extLst>
                <a:ext uri="{FF2B5EF4-FFF2-40B4-BE49-F238E27FC236}">
                  <a16:creationId xmlns:a16="http://schemas.microsoft.com/office/drawing/2014/main" id="{B4858BA2-D683-4000-BA50-D9BF1E86C8C8}"/>
                </a:ext>
              </a:extLst>
            </xdr:cNvPr>
            <xdr:cNvGraphicFramePr/>
          </xdr:nvGraphicFramePr>
          <xdr:xfrm>
            <a:off x="0" y="0"/>
            <a:ext cx="0" cy="0"/>
          </xdr:xfrm>
          <a:graphic>
            <a:graphicData uri="http://schemas.microsoft.com/office/drawing/2010/slicer">
              <sle:slicer xmlns:sle="http://schemas.microsoft.com/office/drawing/2010/slicer" name="Sunshine 1"/>
            </a:graphicData>
          </a:graphic>
        </xdr:graphicFrame>
      </mc:Choice>
      <mc:Fallback xmlns="">
        <xdr:sp macro="" textlink="">
          <xdr:nvSpPr>
            <xdr:cNvPr id="0" name=""/>
            <xdr:cNvSpPr>
              <a:spLocks noTextEdit="1"/>
            </xdr:cNvSpPr>
          </xdr:nvSpPr>
          <xdr:spPr>
            <a:xfrm>
              <a:off x="17324684" y="2137997"/>
              <a:ext cx="1836336" cy="1083408"/>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273050</xdr:colOff>
      <xdr:row>17</xdr:row>
      <xdr:rowOff>50801</xdr:rowOff>
    </xdr:from>
    <xdr:to>
      <xdr:col>28</xdr:col>
      <xdr:colOff>120650</xdr:colOff>
      <xdr:row>22</xdr:row>
      <xdr:rowOff>57151</xdr:rowOff>
    </xdr:to>
    <mc:AlternateContent xmlns:mc="http://schemas.openxmlformats.org/markup-compatibility/2006" xmlns:sle15="http://schemas.microsoft.com/office/drawing/2012/slicer">
      <mc:Choice Requires="sle15">
        <xdr:graphicFrame macro="">
          <xdr:nvGraphicFramePr>
            <xdr:cNvPr id="8" name="CloudTomorrow 1">
              <a:extLst>
                <a:ext uri="{FF2B5EF4-FFF2-40B4-BE49-F238E27FC236}">
                  <a16:creationId xmlns:a16="http://schemas.microsoft.com/office/drawing/2014/main" id="{50E3E60C-6A68-4D20-8618-66ABD5767E26}"/>
                </a:ext>
              </a:extLst>
            </xdr:cNvPr>
            <xdr:cNvGraphicFramePr/>
          </xdr:nvGraphicFramePr>
          <xdr:xfrm>
            <a:off x="0" y="0"/>
            <a:ext cx="0" cy="0"/>
          </xdr:xfrm>
          <a:graphic>
            <a:graphicData uri="http://schemas.microsoft.com/office/drawing/2010/slicer">
              <sle:slicer xmlns:sle="http://schemas.microsoft.com/office/drawing/2010/slicer" name="CloudTomorrow 1"/>
            </a:graphicData>
          </a:graphic>
        </xdr:graphicFrame>
      </mc:Choice>
      <mc:Fallback xmlns="">
        <xdr:sp macro="" textlink="">
          <xdr:nvSpPr>
            <xdr:cNvPr id="0" name=""/>
            <xdr:cNvSpPr>
              <a:spLocks noTextEdit="1"/>
            </xdr:cNvSpPr>
          </xdr:nvSpPr>
          <xdr:spPr>
            <a:xfrm>
              <a:off x="17438984" y="3372339"/>
              <a:ext cx="1836336" cy="98327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234950</xdr:colOff>
      <xdr:row>11</xdr:row>
      <xdr:rowOff>44451</xdr:rowOff>
    </xdr:from>
    <xdr:to>
      <xdr:col>31</xdr:col>
      <xdr:colOff>82550</xdr:colOff>
      <xdr:row>16</xdr:row>
      <xdr:rowOff>25401</xdr:rowOff>
    </xdr:to>
    <mc:AlternateContent xmlns:mc="http://schemas.openxmlformats.org/markup-compatibility/2006" xmlns:sle15="http://schemas.microsoft.com/office/drawing/2012/slicer">
      <mc:Choice Requires="sle15">
        <xdr:graphicFrame macro="">
          <xdr:nvGraphicFramePr>
            <xdr:cNvPr id="9" name="Pressure 1">
              <a:extLst>
                <a:ext uri="{FF2B5EF4-FFF2-40B4-BE49-F238E27FC236}">
                  <a16:creationId xmlns:a16="http://schemas.microsoft.com/office/drawing/2014/main" id="{9AC480D9-DB83-41BD-A7B9-DAE90D808A07}"/>
                </a:ext>
              </a:extLst>
            </xdr:cNvPr>
            <xdr:cNvGraphicFramePr/>
          </xdr:nvGraphicFramePr>
          <xdr:xfrm>
            <a:off x="0" y="0"/>
            <a:ext cx="0" cy="0"/>
          </xdr:xfrm>
          <a:graphic>
            <a:graphicData uri="http://schemas.microsoft.com/office/drawing/2010/slicer">
              <sle:slicer xmlns:sle="http://schemas.microsoft.com/office/drawing/2010/slicer" name="Pressure 1"/>
            </a:graphicData>
          </a:graphic>
        </xdr:graphicFrame>
      </mc:Choice>
      <mc:Fallback xmlns="">
        <xdr:sp macro="" textlink="">
          <xdr:nvSpPr>
            <xdr:cNvPr id="0" name=""/>
            <xdr:cNvSpPr>
              <a:spLocks noTextEdit="1"/>
            </xdr:cNvSpPr>
          </xdr:nvSpPr>
          <xdr:spPr>
            <a:xfrm>
              <a:off x="19389620" y="2193682"/>
              <a:ext cx="1836337" cy="95787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457200</xdr:colOff>
      <xdr:row>17</xdr:row>
      <xdr:rowOff>0</xdr:rowOff>
    </xdr:from>
    <xdr:to>
      <xdr:col>31</xdr:col>
      <xdr:colOff>304800</xdr:colOff>
      <xdr:row>22</xdr:row>
      <xdr:rowOff>50801</xdr:rowOff>
    </xdr:to>
    <mc:AlternateContent xmlns:mc="http://schemas.openxmlformats.org/markup-compatibility/2006" xmlns:sle15="http://schemas.microsoft.com/office/drawing/2012/slicer">
      <mc:Choice Requires="sle15">
        <xdr:graphicFrame macro="">
          <xdr:nvGraphicFramePr>
            <xdr:cNvPr id="10" name="Windy 1">
              <a:extLst>
                <a:ext uri="{FF2B5EF4-FFF2-40B4-BE49-F238E27FC236}">
                  <a16:creationId xmlns:a16="http://schemas.microsoft.com/office/drawing/2014/main" id="{0574EC02-E8C0-4912-B5FF-E0889BCE9A78}"/>
                </a:ext>
              </a:extLst>
            </xdr:cNvPr>
            <xdr:cNvGraphicFramePr/>
          </xdr:nvGraphicFramePr>
          <xdr:xfrm>
            <a:off x="0" y="0"/>
            <a:ext cx="0" cy="0"/>
          </xdr:xfrm>
          <a:graphic>
            <a:graphicData uri="http://schemas.microsoft.com/office/drawing/2010/slicer">
              <sle:slicer xmlns:sle="http://schemas.microsoft.com/office/drawing/2010/slicer" name="Windy 1"/>
            </a:graphicData>
          </a:graphic>
        </xdr:graphicFrame>
      </mc:Choice>
      <mc:Fallback xmlns="">
        <xdr:sp macro="" textlink="">
          <xdr:nvSpPr>
            <xdr:cNvPr id="0" name=""/>
            <xdr:cNvSpPr>
              <a:spLocks noTextEdit="1"/>
            </xdr:cNvSpPr>
          </xdr:nvSpPr>
          <xdr:spPr>
            <a:xfrm>
              <a:off x="19611870" y="3321538"/>
              <a:ext cx="1836337" cy="102772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311150</xdr:colOff>
      <xdr:row>23</xdr:row>
      <xdr:rowOff>114301</xdr:rowOff>
    </xdr:from>
    <xdr:to>
      <xdr:col>28</xdr:col>
      <xdr:colOff>158750</xdr:colOff>
      <xdr:row>28</xdr:row>
      <xdr:rowOff>139701</xdr:rowOff>
    </xdr:to>
    <mc:AlternateContent xmlns:mc="http://schemas.openxmlformats.org/markup-compatibility/2006" xmlns:sle15="http://schemas.microsoft.com/office/drawing/2012/slicer">
      <mc:Choice Requires="sle15">
        <xdr:graphicFrame macro="">
          <xdr:nvGraphicFramePr>
            <xdr:cNvPr id="11" name="Cold 1">
              <a:extLst>
                <a:ext uri="{FF2B5EF4-FFF2-40B4-BE49-F238E27FC236}">
                  <a16:creationId xmlns:a16="http://schemas.microsoft.com/office/drawing/2014/main" id="{1C61D84A-071E-4324-AE13-5EAC08C1367E}"/>
                </a:ext>
              </a:extLst>
            </xdr:cNvPr>
            <xdr:cNvGraphicFramePr/>
          </xdr:nvGraphicFramePr>
          <xdr:xfrm>
            <a:off x="0" y="0"/>
            <a:ext cx="0" cy="0"/>
          </xdr:xfrm>
          <a:graphic>
            <a:graphicData uri="http://schemas.microsoft.com/office/drawing/2010/slicer">
              <sle:slicer xmlns:sle="http://schemas.microsoft.com/office/drawing/2010/slicer" name="Cold 1"/>
            </a:graphicData>
          </a:graphic>
        </xdr:graphicFrame>
      </mc:Choice>
      <mc:Fallback xmlns="">
        <xdr:sp macro="" textlink="">
          <xdr:nvSpPr>
            <xdr:cNvPr id="0" name=""/>
            <xdr:cNvSpPr>
              <a:spLocks noTextEdit="1"/>
            </xdr:cNvSpPr>
          </xdr:nvSpPr>
          <xdr:spPr>
            <a:xfrm>
              <a:off x="17477084" y="4608147"/>
              <a:ext cx="1836336" cy="1002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raining.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ing"/>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d"/>
      <sheetName val="Sunny"/>
      <sheetName val="Sheet2"/>
      <sheetName val="Sheet3"/>
      <sheetName val="Sheet4"/>
    </sheetNames>
    <sheetDataSet>
      <sheetData sheetId="0"/>
      <sheetData sheetId="1"/>
      <sheetData sheetId="2"/>
      <sheetData sheetId="3"/>
      <sheetData sheetId="4"/>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nshine1" xr10:uid="{E1BC9B2F-8559-4864-B5F4-0C0F06C1A5ED}" sourceName="Sunshine">
  <extLst>
    <x:ext xmlns:x15="http://schemas.microsoft.com/office/spreadsheetml/2010/11/main" uri="{2F2917AC-EB37-4324-AD4E-5DD8C200BD13}">
      <x15:tableSlicerCache tableId="5" column="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d" xr10:uid="{976D1D41-31E1-4C4B-B4AB-1E26E03655FE}" sourceName="Cold">
  <extLst>
    <x:ext xmlns:x15="http://schemas.microsoft.com/office/spreadsheetml/2010/11/main" uri="{2F2917AC-EB37-4324-AD4E-5DD8C200BD13}">
      <x15:tableSlicerCache tableId="2"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udTomorrow1" xr10:uid="{E0C8854F-D7DD-4A8E-99BB-B6948AD688BD}" sourceName="CloudTomorrow">
  <extLst>
    <x:ext xmlns:x15="http://schemas.microsoft.com/office/spreadsheetml/2010/11/main" uri="{2F2917AC-EB37-4324-AD4E-5DD8C200BD13}">
      <x15:tableSlicerCache tableId="5"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sure1" xr10:uid="{59F42087-F4C1-4F67-AB54-83477443A4EA}" sourceName="Pressure">
  <extLst>
    <x:ext xmlns:x15="http://schemas.microsoft.com/office/spreadsheetml/2010/11/main" uri="{2F2917AC-EB37-4324-AD4E-5DD8C200BD13}">
      <x15:tableSlicerCache tableId="5"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dy1" xr10:uid="{EFF8F65A-625B-41BD-9AFD-6DE3C394AFD9}" sourceName="Windy">
  <extLst>
    <x:ext xmlns:x15="http://schemas.microsoft.com/office/spreadsheetml/2010/11/main" uri="{2F2917AC-EB37-4324-AD4E-5DD8C200BD13}">
      <x15:tableSlicerCache tableId="5"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d1" xr10:uid="{F6E701D0-771D-4C5D-A246-C34EC0813D1E}" sourceName="Cold">
  <extLst>
    <x:ext xmlns:x15="http://schemas.microsoft.com/office/spreadsheetml/2010/11/main" uri="{2F2917AC-EB37-4324-AD4E-5DD8C200BD13}">
      <x15:tableSlicerCache tableId="5"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nshine" xr10:uid="{247D5FEC-5642-474B-99E9-CEB369869DA3}" sourceName="Sunshine">
  <extLst>
    <x:ext xmlns:x15="http://schemas.microsoft.com/office/spreadsheetml/2010/11/main" uri="{2F2917AC-EB37-4324-AD4E-5DD8C200BD13}">
      <x15:tableSlicerCache tableId="2"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udTomorrow" xr10:uid="{CFF5142D-5FA4-4B0F-9451-45940BB4F4BC}" sourceName="CloudTomorrow">
  <extLst>
    <x:ext xmlns:x15="http://schemas.microsoft.com/office/spreadsheetml/2010/11/main" uri="{2F2917AC-EB37-4324-AD4E-5DD8C200BD13}">
      <x15:tableSlicerCache tableId="2"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Pressure" xr10:uid="{9F347866-13EE-4517-A9F6-867D16E9D114}" sourceName="High Pressure">
  <extLst>
    <x:ext xmlns:x15="http://schemas.microsoft.com/office/spreadsheetml/2010/11/main" uri="{2F2917AC-EB37-4324-AD4E-5DD8C200BD13}">
      <x15:tableSlicerCache tableId="2"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dy" xr10:uid="{05FC76B2-C168-4CBF-A3CD-90322B3E01E4}" sourceName="Windy">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nshine" xr10:uid="{948513F1-5A72-4977-BA9F-EDCE1725BD1E}" cache="Slicer_Sunshine" caption="Sunshine" rowHeight="262466"/>
  <slicer name="CloudTomorrow" xr10:uid="{69C35A31-F0F1-4E89-9CA1-2A0F587E50DC}" cache="Slicer_CloudTomorrow" caption="CloudTomorrow" rowHeight="262466"/>
  <slicer name="High Pressure" xr10:uid="{A4CCFDCD-D868-420A-93B4-1F5C8473DB8C}" cache="Slicer_High_Pressure" caption="High Pressure" rowHeight="262466"/>
  <slicer name="Windy" xr10:uid="{C9032FA9-8FE8-494A-A170-97172B15C734}" cache="Slicer_Windy" caption="Windy" rowHeight="262466"/>
  <slicer name="Cold" xr10:uid="{3F8CC901-DBB4-4CD9-A77C-2C38E498AD2B}" cache="Slicer_Cold" caption="Cold"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nshine 1" xr10:uid="{F0869ABC-AD87-4A9A-A93D-042450A35C97}" cache="Slicer_Sunshine1" caption="Sunshine" rowHeight="262466"/>
  <slicer name="CloudTomorrow 1" xr10:uid="{A81AAC77-36C8-433E-A195-8F86D21D56E0}" cache="Slicer_CloudTomorrow1" caption="CloudTomorrow" rowHeight="262466"/>
  <slicer name="Pressure 1" xr10:uid="{A054117E-0793-4BB1-A2A6-D4F9861AA7B0}" cache="Slicer_Pressure1" caption="Pressure" rowHeight="262466"/>
  <slicer name="Windy 1" xr10:uid="{BB127CC3-C17C-4B4B-AD8B-EAB411000B88}" cache="Slicer_Windy1" caption="Windy" rowHeight="262466"/>
  <slicer name="Cold 1" xr10:uid="{D0B38ED1-F82F-44E5-913B-3264FD5795ED}" cache="Slicer_Cold1" caption="Cold"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FA3482-11EC-461B-8FB2-C3A44E20DE81}" name="Table43" displayName="Table43" ref="A1:E16" totalsRowShown="0" headerRowDxfId="9" dataDxfId="0" headerRowBorderDxfId="8" tableBorderDxfId="7" totalsRowBorderDxfId="6">
  <autoFilter ref="A1:E16" xr:uid="{3F372F33-D57C-4A9F-9334-A47DF011CDBD}">
    <filterColumn colId="0">
      <filters>
        <filter val="Yes"/>
      </filters>
    </filterColumn>
    <filterColumn colId="2">
      <filters>
        <filter val="No"/>
      </filters>
    </filterColumn>
  </autoFilter>
  <sortState xmlns:xlrd2="http://schemas.microsoft.com/office/spreadsheetml/2017/richdata2" ref="A2:E16">
    <sortCondition descending="1" ref="E1:E16"/>
  </sortState>
  <tableColumns count="5">
    <tableColumn id="1" xr3:uid="{9DF77DDC-464B-4582-9543-9BE6529CAC9A}" name="Sunshine" dataDxfId="5"/>
    <tableColumn id="2" xr3:uid="{E66C7FDD-D481-4640-B16A-79360B431E8A}" name="CloudTomorrow" dataDxfId="4"/>
    <tableColumn id="3" xr3:uid="{556DBA4E-2B63-4976-B40B-A0B6FD0F85AE}" name="High Pressure" dataDxfId="3"/>
    <tableColumn id="4" xr3:uid="{C4537DC9-6D50-4D98-AC60-F2D08DD145B2}" name="Windy" dataDxfId="2"/>
    <tableColumn id="5" xr3:uid="{0F95A89B-FC64-4CB2-8CC6-9D0FE1584439}" name="Cold" dataDxfId="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C8589-5AEB-4A86-915A-9D44E125E191}" name="Table1" displayName="Table1" ref="B1:F16" totalsRowShown="0">
  <autoFilter ref="B1:F16" xr:uid="{3ABED4A8-530A-4402-9818-E601A6833D33}"/>
  <tableColumns count="5">
    <tableColumn id="1" xr3:uid="{049088A7-6A08-4414-BD2A-01A4117C2A63}" name="Sunshine"/>
    <tableColumn id="2" xr3:uid="{49286007-478C-4CBA-BBA2-FF6868CE0FF5}" name="CloudTomorrow"/>
    <tableColumn id="3" xr3:uid="{C17AAA1B-BF6B-40A4-9BEC-18FCE6E295B2}" name="Pressure"/>
    <tableColumn id="4" xr3:uid="{33970B55-B118-408A-B443-2B73B36DE1C1}" name="Windy"/>
    <tableColumn id="5" xr3:uid="{24181733-0C33-4799-B79C-ECD27165B7E4}" name="Col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EEA19A-8703-40A5-A08B-4DA109BC944A}" name="Table46" displayName="Table46" ref="U15:Y30" totalsRowShown="0" headerRowDxfId="19" dataDxfId="17" headerRowBorderDxfId="18" tableBorderDxfId="16" totalsRowBorderDxfId="15">
  <autoFilter ref="U15:Y30" xr:uid="{8FC5D413-8446-4343-B86F-7A045B02DC98}"/>
  <sortState xmlns:xlrd2="http://schemas.microsoft.com/office/spreadsheetml/2017/richdata2" ref="U16:Y28">
    <sortCondition ref="V15:V30"/>
  </sortState>
  <tableColumns count="5">
    <tableColumn id="1" xr3:uid="{698DACD8-5792-4A28-999A-3467B3A1EE67}" name="Sunshine" dataDxfId="14"/>
    <tableColumn id="2" xr3:uid="{407255B6-ACCA-460E-B5B1-08B11599F7DC}" name="CloudTomorrow" dataDxfId="13"/>
    <tableColumn id="3" xr3:uid="{2654984C-0B6E-4487-9FC7-9FADB684D1D4}" name="Pressure" dataDxfId="12"/>
    <tableColumn id="4" xr3:uid="{E4479F88-50BB-4F09-8FEC-028D69BC4971}" name="Windy" dataDxfId="11"/>
    <tableColumn id="5" xr3:uid="{6BD7F3EE-CAFA-4F31-9BF6-AC4654F15514}" name="Cold" dataDxfId="1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A3215-BBAC-4C33-9C57-1B7BCBDF297B}">
  <dimension ref="A1:H70"/>
  <sheetViews>
    <sheetView topLeftCell="A33" zoomScale="70" zoomScaleNormal="70" zoomScalePageLayoutView="160" workbookViewId="0">
      <selection activeCell="H56" sqref="H56"/>
    </sheetView>
  </sheetViews>
  <sheetFormatPr defaultColWidth="10.83203125" defaultRowHeight="15.5" x14ac:dyDescent="0.35"/>
  <cols>
    <col min="1" max="1" width="16.83203125" style="10" customWidth="1"/>
    <col min="2" max="8" width="10.33203125" style="1" customWidth="1"/>
    <col min="9" max="16384" width="10.83203125" style="1"/>
  </cols>
  <sheetData>
    <row r="1" spans="1:8" x14ac:dyDescent="0.35">
      <c r="D1" s="1" t="s">
        <v>0</v>
      </c>
      <c r="E1" s="1">
        <v>2</v>
      </c>
      <c r="F1" s="2">
        <f>LOG(E1)</f>
        <v>0.3010299956639812</v>
      </c>
      <c r="G1" s="3"/>
    </row>
    <row r="3" spans="1:8" x14ac:dyDescent="0.35">
      <c r="A3" s="11" t="s">
        <v>35</v>
      </c>
      <c r="B3" s="6" t="s">
        <v>1</v>
      </c>
      <c r="C3" s="6" t="s">
        <v>2</v>
      </c>
      <c r="D3" s="6" t="s">
        <v>3</v>
      </c>
      <c r="E3" s="6" t="s">
        <v>4</v>
      </c>
      <c r="F3" s="6" t="s">
        <v>5</v>
      </c>
      <c r="G3" s="6" t="s">
        <v>6</v>
      </c>
      <c r="H3" s="6" t="s">
        <v>7</v>
      </c>
    </row>
    <row r="4" spans="1:8" x14ac:dyDescent="0.35">
      <c r="A4" s="12" t="s">
        <v>8</v>
      </c>
      <c r="B4" s="4">
        <v>6</v>
      </c>
      <c r="C4" s="4">
        <v>14</v>
      </c>
      <c r="D4" s="5">
        <f>B4/SUM(B4:C4)</f>
        <v>0.3</v>
      </c>
      <c r="E4" s="5">
        <f>IF(D4&lt;&gt;0,LOG(D4)/$F$1,0)</f>
        <v>-1.7369655941662063</v>
      </c>
      <c r="F4" s="5">
        <f>C4/SUM(B4:C4)</f>
        <v>0.7</v>
      </c>
      <c r="G4" s="5">
        <f>IF(F4&lt;&gt;0,LOG(F4)/$F$1,0)</f>
        <v>-0.51457317282975834</v>
      </c>
      <c r="H4" s="5">
        <f>-D4*E4-F4*G4</f>
        <v>0.8812908992306927</v>
      </c>
    </row>
    <row r="6" spans="1:8" x14ac:dyDescent="0.35">
      <c r="A6" s="11" t="s">
        <v>38</v>
      </c>
      <c r="B6" s="6" t="s">
        <v>1</v>
      </c>
      <c r="C6" s="6" t="s">
        <v>2</v>
      </c>
      <c r="D6" s="6" t="s">
        <v>3</v>
      </c>
      <c r="E6" s="6" t="s">
        <v>4</v>
      </c>
      <c r="F6" s="6" t="s">
        <v>5</v>
      </c>
      <c r="G6" s="6" t="s">
        <v>6</v>
      </c>
      <c r="H6" s="6" t="s">
        <v>7</v>
      </c>
    </row>
    <row r="7" spans="1:8" x14ac:dyDescent="0.35">
      <c r="A7" s="16" t="s">
        <v>1</v>
      </c>
      <c r="B7" t="e">
        <f>COUNTIFS([1]!Table1[CloudTomorrow], "Cloudy",[1]!Table1[Windy],"Yes")</f>
        <v>#REF!</v>
      </c>
      <c r="C7" t="e">
        <f>COUNTIFS([1]!Table1[CloudTomorrow], "Not Cloudy",[1]!Table1[Windy],"Yes")</f>
        <v>#REF!</v>
      </c>
      <c r="D7" s="5" t="e">
        <f>B7/SUM(B7:C7)</f>
        <v>#REF!</v>
      </c>
      <c r="E7" s="5" t="e">
        <f>IF(D7&lt;&gt;0,LOG(D7)/$F$1,0)</f>
        <v>#REF!</v>
      </c>
      <c r="F7" s="5" t="e">
        <f>C7/SUM(B7:C7)</f>
        <v>#REF!</v>
      </c>
      <c r="G7" s="5" t="e">
        <f>IF(F7&lt;&gt;0,LOG(F7)/$F$1,0)</f>
        <v>#REF!</v>
      </c>
      <c r="H7" s="5" t="e">
        <f>-D7*E7-F7*G7</f>
        <v>#REF!</v>
      </c>
    </row>
    <row r="8" spans="1:8" x14ac:dyDescent="0.35">
      <c r="A8" s="16" t="s">
        <v>2</v>
      </c>
      <c r="B8" t="e">
        <f>COUNTIFS([1]!Table1[CloudTomorrow], "Cloudy",[1]!Table1[Windy],"No")</f>
        <v>#REF!</v>
      </c>
      <c r="C8" t="e">
        <f>COUNTIFS([1]!Table1[CloudTomorrow], "Not Cloudy",[1]!Table1[Windy],"No")</f>
        <v>#REF!</v>
      </c>
      <c r="D8" s="5" t="e">
        <f t="shared" ref="D8" si="0">B8/SUM(B8:C8)</f>
        <v>#REF!</v>
      </c>
      <c r="E8" s="5" t="e">
        <f t="shared" ref="E8" si="1">IF(D8&lt;&gt;0,LOG(D8)/$F$1,0)</f>
        <v>#REF!</v>
      </c>
      <c r="F8" s="5" t="e">
        <f t="shared" ref="F8" si="2">C8/SUM(B8:C8)</f>
        <v>#REF!</v>
      </c>
      <c r="G8" s="5" t="e">
        <f t="shared" ref="G8" si="3">IF(F8&lt;&gt;0,LOG(F8)/$F$1,0)</f>
        <v>#REF!</v>
      </c>
      <c r="H8" s="5" t="e">
        <f t="shared" ref="H8" si="4">-D8*E8-F8*G8</f>
        <v>#REF!</v>
      </c>
    </row>
    <row r="9" spans="1:8" x14ac:dyDescent="0.35">
      <c r="A9" s="12" t="s">
        <v>15</v>
      </c>
      <c r="B9" s="4"/>
      <c r="C9" s="4"/>
      <c r="D9" s="4"/>
      <c r="E9" s="4"/>
      <c r="F9" s="4"/>
      <c r="G9" s="4"/>
      <c r="H9" s="5" t="e">
        <f>(    H7*SUM(B7:C7)+H8*SUM(B8:C8)    )/SUM(B7:C8)</f>
        <v>#REF!</v>
      </c>
    </row>
    <row r="10" spans="1:8" x14ac:dyDescent="0.35">
      <c r="A10" s="12" t="s">
        <v>9</v>
      </c>
      <c r="B10" s="4"/>
      <c r="C10" s="4"/>
      <c r="D10" s="4"/>
      <c r="E10" s="4"/>
      <c r="F10" s="4"/>
      <c r="G10" s="4"/>
      <c r="H10" s="7" t="e">
        <f>H4-H9</f>
        <v>#REF!</v>
      </c>
    </row>
    <row r="14" spans="1:8" x14ac:dyDescent="0.35">
      <c r="A14" s="16" t="s">
        <v>1</v>
      </c>
      <c r="B14" t="e">
        <f>COUNTIFS([1]!Table1[CloudTomorrow], "Cloudy",[1]!Table1[Cold],"Cold")</f>
        <v>#REF!</v>
      </c>
      <c r="C14" t="e">
        <f>COUNTIFS([1]!Table1[CloudTomorrow], "Not Cloudy",[1]!Table1[Cold],"Cold")</f>
        <v>#REF!</v>
      </c>
      <c r="D14" s="5" t="e">
        <f>B14/SUM(B14:C14)</f>
        <v>#REF!</v>
      </c>
      <c r="E14" s="5" t="e">
        <f>IF(D14&lt;&gt;0,LOG(D14)/$F$1,0)</f>
        <v>#REF!</v>
      </c>
      <c r="F14" s="5" t="e">
        <f>C14/SUM(B14:C14)</f>
        <v>#REF!</v>
      </c>
      <c r="G14" s="5" t="e">
        <f>IF(F14&lt;&gt;0,LOG(F14)/$F$1,0)</f>
        <v>#REF!</v>
      </c>
      <c r="H14" s="5" t="e">
        <f>-D14*E14-F14*G14</f>
        <v>#REF!</v>
      </c>
    </row>
    <row r="15" spans="1:8" x14ac:dyDescent="0.35">
      <c r="A15" s="16" t="s">
        <v>2</v>
      </c>
      <c r="B15" t="e">
        <f>COUNTIFS([1]!Table1[CloudTomorrow], "Cloudy",[1]!Table1[Cold],"Not Cold")</f>
        <v>#REF!</v>
      </c>
      <c r="C15" t="e">
        <f>COUNTIFS([1]!Table1[CloudTomorrow], "Not Cloudy",[1]!Table1[Cold],"Not Cold")</f>
        <v>#REF!</v>
      </c>
      <c r="D15" s="5" t="e">
        <f t="shared" ref="D15" si="5">B15/SUM(B15:C15)</f>
        <v>#REF!</v>
      </c>
      <c r="E15" s="5" t="e">
        <f t="shared" ref="E15" si="6">IF(D15&lt;&gt;0,LOG(D15)/$F$1,0)</f>
        <v>#REF!</v>
      </c>
      <c r="F15" s="5" t="e">
        <f t="shared" ref="F15" si="7">C15/SUM(B15:C15)</f>
        <v>#REF!</v>
      </c>
      <c r="G15" s="5" t="e">
        <f t="shared" ref="G15" si="8">IF(F15&lt;&gt;0,LOG(F15)/$F$1,0)</f>
        <v>#REF!</v>
      </c>
      <c r="H15" s="5" t="e">
        <f t="shared" ref="H15" si="9">-D15*E15-F15*G15</f>
        <v>#REF!</v>
      </c>
    </row>
    <row r="17" spans="1:8" x14ac:dyDescent="0.35">
      <c r="A17" s="12" t="s">
        <v>10</v>
      </c>
      <c r="B17" s="4"/>
      <c r="C17" s="4"/>
      <c r="D17" s="4"/>
      <c r="E17" s="4"/>
      <c r="F17" s="4"/>
      <c r="G17" s="4"/>
      <c r="H17" s="7">
        <f>H4-H16</f>
        <v>0.8812908992306927</v>
      </c>
    </row>
    <row r="18" spans="1:8" x14ac:dyDescent="0.35">
      <c r="B18" s="9"/>
      <c r="C18" s="9"/>
      <c r="D18" s="9"/>
      <c r="E18" s="9"/>
      <c r="F18" s="9"/>
      <c r="G18" s="9"/>
      <c r="H18" s="9"/>
    </row>
    <row r="19" spans="1:8" s="8" customFormat="1" x14ac:dyDescent="0.35">
      <c r="A19" s="11" t="s">
        <v>37</v>
      </c>
      <c r="B19" s="6" t="s">
        <v>1</v>
      </c>
      <c r="C19" s="6" t="s">
        <v>2</v>
      </c>
      <c r="D19" s="6" t="s">
        <v>3</v>
      </c>
      <c r="E19" s="6" t="s">
        <v>4</v>
      </c>
      <c r="F19" s="6" t="s">
        <v>5</v>
      </c>
      <c r="G19" s="6" t="s">
        <v>6</v>
      </c>
      <c r="H19" s="6" t="s">
        <v>7</v>
      </c>
    </row>
    <row r="20" spans="1:8" x14ac:dyDescent="0.35">
      <c r="A20" s="16" t="s">
        <v>1</v>
      </c>
      <c r="B20" s="4">
        <v>3</v>
      </c>
      <c r="C20" s="4">
        <v>10</v>
      </c>
      <c r="D20" s="5">
        <f>B20/SUM(B20:C20)</f>
        <v>0.23076923076923078</v>
      </c>
      <c r="E20" s="5">
        <f>IF(D20&lt;&gt;0,LOG(D20)/$F$1,0)</f>
        <v>-2.1154772174199361</v>
      </c>
      <c r="F20" s="5">
        <f>C20/SUM(B20:C20)</f>
        <v>0.76923076923076927</v>
      </c>
      <c r="G20" s="5">
        <f>IF(F20&lt;&gt;0,LOG(F20)/$F$1,0)</f>
        <v>-0.37851162325372972</v>
      </c>
      <c r="H20" s="5">
        <f>-D20*E20-F20*G20</f>
        <v>0.77934983729208507</v>
      </c>
    </row>
    <row r="21" spans="1:8" x14ac:dyDescent="0.35">
      <c r="A21" s="16" t="s">
        <v>2</v>
      </c>
      <c r="B21" s="4">
        <v>3</v>
      </c>
      <c r="C21" s="4">
        <v>4</v>
      </c>
      <c r="D21" s="5">
        <f>B21/SUM(B21:C21)</f>
        <v>0.42857142857142855</v>
      </c>
      <c r="E21" s="5">
        <f t="shared" ref="E21" si="10">IF(D21&lt;&gt;0,LOG(D21)/$F$1,0)</f>
        <v>-1.2223924213364481</v>
      </c>
      <c r="F21" s="5">
        <f>C21/SUM(B21:C21)</f>
        <v>0.5714285714285714</v>
      </c>
      <c r="G21" s="5">
        <f t="shared" ref="G21" si="11">IF(F21&lt;&gt;0,LOG(F21)/$F$1,0)</f>
        <v>-0.80735492205760417</v>
      </c>
      <c r="H21" s="5">
        <f t="shared" ref="H21" si="12">-D21*E21-F21*G21</f>
        <v>0.98522813603425152</v>
      </c>
    </row>
    <row r="22" spans="1:8" x14ac:dyDescent="0.35">
      <c r="A22" s="12" t="s">
        <v>14</v>
      </c>
      <c r="B22" s="4"/>
      <c r="C22" s="4"/>
      <c r="D22" s="4"/>
      <c r="E22" s="4"/>
      <c r="F22" s="4"/>
      <c r="G22" s="4"/>
      <c r="H22" s="5">
        <f>(H20*SUM(B20:C20)+H21*SUM(B21:C21))/SUM(B20:C21)</f>
        <v>0.85140724185184324</v>
      </c>
    </row>
    <row r="23" spans="1:8" x14ac:dyDescent="0.35">
      <c r="A23" s="12" t="s">
        <v>11</v>
      </c>
      <c r="B23" s="4"/>
      <c r="C23" s="4"/>
      <c r="D23" s="4"/>
      <c r="E23" s="4"/>
      <c r="F23" s="4"/>
      <c r="G23" s="4"/>
      <c r="H23" s="7">
        <f>H4-H22</f>
        <v>2.988365737884946E-2</v>
      </c>
    </row>
    <row r="24" spans="1:8" x14ac:dyDescent="0.35">
      <c r="B24" s="9"/>
      <c r="C24" s="9"/>
      <c r="D24" s="9"/>
      <c r="E24" s="9"/>
      <c r="F24" s="9"/>
      <c r="G24" s="9"/>
      <c r="H24" s="9"/>
    </row>
    <row r="25" spans="1:8" s="8" customFormat="1" x14ac:dyDescent="0.35">
      <c r="A25" s="11" t="s">
        <v>36</v>
      </c>
      <c r="B25" s="6" t="s">
        <v>1</v>
      </c>
      <c r="C25" s="6" t="s">
        <v>2</v>
      </c>
      <c r="D25" s="6" t="s">
        <v>3</v>
      </c>
      <c r="E25" s="6" t="s">
        <v>4</v>
      </c>
      <c r="F25" s="6" t="s">
        <v>5</v>
      </c>
      <c r="G25" s="6" t="s">
        <v>6</v>
      </c>
      <c r="H25" s="6" t="s">
        <v>7</v>
      </c>
    </row>
    <row r="26" spans="1:8" x14ac:dyDescent="0.35">
      <c r="A26" s="16" t="s">
        <v>1</v>
      </c>
      <c r="B26" s="4">
        <v>0</v>
      </c>
      <c r="C26" s="4">
        <v>2</v>
      </c>
      <c r="D26" s="5">
        <f>B26/SUM(B26:C26)</f>
        <v>0</v>
      </c>
      <c r="E26" s="5">
        <f>IF(D26&lt;&gt;0,LOG(D26)/$F$1,0)</f>
        <v>0</v>
      </c>
      <c r="F26" s="5">
        <f>C26/SUM(B26:C26)</f>
        <v>1</v>
      </c>
      <c r="G26" s="5">
        <f>IF(F26&lt;&gt;0,LOG(F26)/$F$1,0)</f>
        <v>0</v>
      </c>
      <c r="H26" s="5">
        <f>-D26*E26-F26*G26</f>
        <v>0</v>
      </c>
    </row>
    <row r="27" spans="1:8" x14ac:dyDescent="0.35">
      <c r="A27" s="16" t="s">
        <v>2</v>
      </c>
      <c r="B27" s="4">
        <v>6</v>
      </c>
      <c r="C27" s="4">
        <v>12</v>
      </c>
      <c r="D27" s="5">
        <f t="shared" ref="D27:D28" si="13">B27/SUM(B27:C27)</f>
        <v>0.33333333333333331</v>
      </c>
      <c r="E27" s="5">
        <f t="shared" ref="E27:E28" si="14">IF(D27&lt;&gt;0,LOG(D27)/$F$1,0)</f>
        <v>-1.5849625007211561</v>
      </c>
      <c r="F27" s="5">
        <f t="shared" ref="F27:F28" si="15">C27/SUM(B27:C27)</f>
        <v>0.66666666666666663</v>
      </c>
      <c r="G27" s="5">
        <f t="shared" ref="G27:G28" si="16">IF(F27&lt;&gt;0,LOG(F27)/$F$1,0)</f>
        <v>-0.5849625007211563</v>
      </c>
      <c r="H27" s="5">
        <f t="shared" ref="H27:H28" si="17">-D27*E27-F27*G27</f>
        <v>0.91829583405448945</v>
      </c>
    </row>
    <row r="28" spans="1:8" x14ac:dyDescent="0.35">
      <c r="A28" s="12" t="s">
        <v>34</v>
      </c>
      <c r="B28" s="4">
        <v>3</v>
      </c>
      <c r="C28" s="4">
        <v>2</v>
      </c>
      <c r="D28" s="5">
        <f t="shared" si="13"/>
        <v>0.6</v>
      </c>
      <c r="E28" s="5">
        <f t="shared" si="14"/>
        <v>-0.73696559416620622</v>
      </c>
      <c r="F28" s="5">
        <f t="shared" si="15"/>
        <v>0.4</v>
      </c>
      <c r="G28" s="5">
        <f t="shared" si="16"/>
        <v>-1.3219280948873624</v>
      </c>
      <c r="H28" s="5">
        <f t="shared" si="17"/>
        <v>0.97095059445466869</v>
      </c>
    </row>
    <row r="29" spans="1:8" x14ac:dyDescent="0.35">
      <c r="A29" s="12" t="s">
        <v>13</v>
      </c>
      <c r="B29" s="4"/>
      <c r="C29" s="4"/>
      <c r="D29" s="4"/>
      <c r="E29" s="4"/>
      <c r="F29" s="4"/>
      <c r="G29" s="4"/>
      <c r="H29" s="5">
        <f>(H26*SUM(B26:C26)+H27*SUM(B27:C27)+H28*SUM(B28:C28))/SUM(B26:C28)</f>
        <v>0.85536311941016607</v>
      </c>
    </row>
    <row r="30" spans="1:8" x14ac:dyDescent="0.35">
      <c r="A30" s="12" t="s">
        <v>12</v>
      </c>
      <c r="B30" s="4"/>
      <c r="C30" s="4"/>
      <c r="D30" s="4"/>
      <c r="E30" s="4"/>
      <c r="F30" s="4"/>
      <c r="G30" s="4"/>
      <c r="H30" s="7">
        <f>H4-H29</f>
        <v>2.5927779820526631E-2</v>
      </c>
    </row>
    <row r="34" spans="1:8" x14ac:dyDescent="0.35">
      <c r="A34" s="16" t="s">
        <v>26</v>
      </c>
      <c r="B34" s="4">
        <v>0</v>
      </c>
      <c r="C34" s="4">
        <v>2</v>
      </c>
      <c r="D34" s="5">
        <f>B34/SUM(B34:C34)</f>
        <v>0</v>
      </c>
      <c r="E34" s="5">
        <f>IF(D34&lt;&gt;0,LOG(D34)/$F$1,0)</f>
        <v>0</v>
      </c>
      <c r="F34" s="5">
        <f>C34/SUM(B34:C34)</f>
        <v>1</v>
      </c>
      <c r="G34" s="5">
        <f>IF(F34&lt;&gt;0,LOG(F34)/$F$1,0)</f>
        <v>0</v>
      </c>
      <c r="H34" s="5">
        <f>-D34*E34-F34*G34</f>
        <v>0</v>
      </c>
    </row>
    <row r="35" spans="1:8" x14ac:dyDescent="0.35">
      <c r="A35" s="16" t="s">
        <v>27</v>
      </c>
      <c r="B35" s="4">
        <v>1</v>
      </c>
      <c r="C35" s="4">
        <v>1</v>
      </c>
      <c r="D35" s="5">
        <f t="shared" ref="D35:D36" si="18">B35/SUM(B35:C35)</f>
        <v>0.5</v>
      </c>
      <c r="E35" s="5">
        <f t="shared" ref="E35:E36" si="19">IF(D35&lt;&gt;0,LOG(D35)/$F$1,0)</f>
        <v>-1</v>
      </c>
      <c r="F35" s="5">
        <f t="shared" ref="F35:F36" si="20">C35/SUM(B35:C35)</f>
        <v>0.5</v>
      </c>
      <c r="G35" s="5">
        <f t="shared" ref="G35:G36" si="21">IF(F35&lt;&gt;0,LOG(F35)/$F$1,0)</f>
        <v>-1</v>
      </c>
      <c r="H35" s="5">
        <f t="shared" ref="H35:H36" si="22">-D35*E35-F35*G35</f>
        <v>1</v>
      </c>
    </row>
    <row r="36" spans="1:8" x14ac:dyDescent="0.35">
      <c r="A36" s="16" t="s">
        <v>28</v>
      </c>
      <c r="B36" s="4">
        <v>1</v>
      </c>
      <c r="C36" s="4">
        <v>0</v>
      </c>
      <c r="D36" s="5">
        <f t="shared" si="18"/>
        <v>1</v>
      </c>
      <c r="E36" s="5">
        <f t="shared" si="19"/>
        <v>0</v>
      </c>
      <c r="F36" s="5">
        <f t="shared" si="20"/>
        <v>0</v>
      </c>
      <c r="G36" s="5">
        <f t="shared" si="21"/>
        <v>0</v>
      </c>
      <c r="H36" s="5">
        <f t="shared" si="22"/>
        <v>0</v>
      </c>
    </row>
    <row r="37" spans="1:8" x14ac:dyDescent="0.35">
      <c r="A37" s="12" t="s">
        <v>15</v>
      </c>
      <c r="B37" s="4"/>
      <c r="C37" s="4"/>
      <c r="D37" s="4"/>
      <c r="E37" s="4"/>
      <c r="F37" s="4"/>
      <c r="G37" s="4"/>
      <c r="H37" s="5">
        <f>(H34*SUM(B34:C34)+H35*SUM(B35:C35)+H36*SUM(B36:C36))/SUM(B34:C36)</f>
        <v>0.4</v>
      </c>
    </row>
    <row r="38" spans="1:8" x14ac:dyDescent="0.35">
      <c r="A38" s="12" t="s">
        <v>18</v>
      </c>
      <c r="B38" s="4"/>
      <c r="C38" s="4"/>
      <c r="D38" s="4"/>
      <c r="E38" s="4"/>
      <c r="F38" s="4"/>
      <c r="G38" s="4"/>
      <c r="H38" s="7">
        <f>H26-H37</f>
        <v>-0.4</v>
      </c>
    </row>
    <row r="39" spans="1:8" x14ac:dyDescent="0.35">
      <c r="B39" s="9"/>
      <c r="C39" s="9"/>
      <c r="D39" s="9"/>
      <c r="E39" s="9"/>
      <c r="F39" s="9"/>
      <c r="G39" s="9"/>
      <c r="H39" s="9"/>
    </row>
    <row r="40" spans="1:8" s="8" customFormat="1" x14ac:dyDescent="0.35">
      <c r="A40" s="11" t="s">
        <v>16</v>
      </c>
      <c r="B40" s="6" t="s">
        <v>1</v>
      </c>
      <c r="C40" s="6" t="s">
        <v>2</v>
      </c>
      <c r="D40" s="6" t="s">
        <v>3</v>
      </c>
      <c r="E40" s="6" t="s">
        <v>4</v>
      </c>
      <c r="F40" s="6" t="s">
        <v>5</v>
      </c>
      <c r="G40" s="6" t="s">
        <v>6</v>
      </c>
      <c r="H40" s="6" t="s">
        <v>7</v>
      </c>
    </row>
    <row r="41" spans="1:8" x14ac:dyDescent="0.35">
      <c r="A41" s="16" t="s">
        <v>29</v>
      </c>
      <c r="B41" s="4">
        <v>0</v>
      </c>
      <c r="C41" s="4">
        <v>3</v>
      </c>
      <c r="D41" s="5">
        <f>B41/SUM(B41:C41)</f>
        <v>0</v>
      </c>
      <c r="E41" s="5">
        <f>IF(D41&lt;&gt;0,LOG(D41)/$F$1,0)</f>
        <v>0</v>
      </c>
      <c r="F41" s="5">
        <f>C41/SUM(B41:C41)</f>
        <v>1</v>
      </c>
      <c r="G41" s="5">
        <f>IF(F41&lt;&gt;0,LOG(F41)/$F$1,0)</f>
        <v>0</v>
      </c>
      <c r="H41" s="5">
        <f>-D41*E41-F41*G41</f>
        <v>0</v>
      </c>
    </row>
    <row r="42" spans="1:8" x14ac:dyDescent="0.35">
      <c r="A42" s="16" t="s">
        <v>30</v>
      </c>
      <c r="B42" s="4">
        <v>2</v>
      </c>
      <c r="C42" s="4">
        <v>0</v>
      </c>
      <c r="D42" s="5">
        <f t="shared" ref="D42" si="23">B42/SUM(B42:C42)</f>
        <v>1</v>
      </c>
      <c r="E42" s="5">
        <f t="shared" ref="E42" si="24">IF(D42&lt;&gt;0,LOG(D42)/$F$1,0)</f>
        <v>0</v>
      </c>
      <c r="F42" s="5">
        <f t="shared" ref="F42" si="25">C42/SUM(B42:C42)</f>
        <v>0</v>
      </c>
      <c r="G42" s="5">
        <f t="shared" ref="G42" si="26">IF(F42&lt;&gt;0,LOG(F42)/$F$1,0)</f>
        <v>0</v>
      </c>
      <c r="H42" s="5">
        <f t="shared" ref="H42" si="27">-D42*E42-F42*G42</f>
        <v>0</v>
      </c>
    </row>
    <row r="43" spans="1:8" x14ac:dyDescent="0.35">
      <c r="A43" s="12" t="s">
        <v>15</v>
      </c>
      <c r="B43" s="4"/>
      <c r="C43" s="4"/>
      <c r="D43" s="4"/>
      <c r="E43" s="4"/>
      <c r="F43" s="4"/>
      <c r="G43" s="4"/>
      <c r="H43" s="5">
        <f>(H41*SUM(B41:C41)+H42*SUM(B42:C42))/SUM(B41:C42)</f>
        <v>0</v>
      </c>
    </row>
    <row r="44" spans="1:8" x14ac:dyDescent="0.35">
      <c r="A44" s="12" t="s">
        <v>19</v>
      </c>
      <c r="B44" s="4"/>
      <c r="C44" s="4"/>
      <c r="D44" s="4"/>
      <c r="E44" s="4"/>
      <c r="F44" s="4"/>
      <c r="G44" s="4"/>
      <c r="H44" s="7">
        <f>H26-H43</f>
        <v>0</v>
      </c>
    </row>
    <row r="45" spans="1:8" x14ac:dyDescent="0.35">
      <c r="B45" s="9"/>
      <c r="C45" s="9"/>
      <c r="D45" s="9"/>
      <c r="E45" s="9"/>
      <c r="F45" s="9"/>
      <c r="G45" s="9"/>
      <c r="H45" s="9"/>
    </row>
    <row r="46" spans="1:8" s="8" customFormat="1" x14ac:dyDescent="0.35">
      <c r="A46" s="11" t="s">
        <v>17</v>
      </c>
      <c r="B46" s="6" t="s">
        <v>1</v>
      </c>
      <c r="C46" s="6" t="s">
        <v>2</v>
      </c>
      <c r="D46" s="6" t="s">
        <v>3</v>
      </c>
      <c r="E46" s="6" t="s">
        <v>4</v>
      </c>
      <c r="F46" s="6" t="s">
        <v>5</v>
      </c>
      <c r="G46" s="6" t="s">
        <v>6</v>
      </c>
      <c r="H46" s="6" t="s">
        <v>7</v>
      </c>
    </row>
    <row r="47" spans="1:8" x14ac:dyDescent="0.35">
      <c r="A47" s="16" t="s">
        <v>31</v>
      </c>
      <c r="B47" s="4">
        <v>1</v>
      </c>
      <c r="C47" s="4">
        <v>2</v>
      </c>
      <c r="D47" s="5">
        <f>B47/SUM(B47:C47)</f>
        <v>0.33333333333333331</v>
      </c>
      <c r="E47" s="5">
        <f>IF(D47&lt;&gt;0,LOG(D47)/$F$1,0)</f>
        <v>-1.5849625007211561</v>
      </c>
      <c r="F47" s="5">
        <f>C47/SUM(B47:C47)</f>
        <v>0.66666666666666663</v>
      </c>
      <c r="G47" s="5">
        <f>IF(F47&lt;&gt;0,LOG(F47)/$F$1,0)</f>
        <v>-0.5849625007211563</v>
      </c>
      <c r="H47" s="5">
        <f>-D47*E47-F47*G47</f>
        <v>0.91829583405448945</v>
      </c>
    </row>
    <row r="48" spans="1:8" x14ac:dyDescent="0.35">
      <c r="A48" s="16" t="s">
        <v>32</v>
      </c>
      <c r="B48" s="4">
        <v>1</v>
      </c>
      <c r="C48" s="4">
        <v>1</v>
      </c>
      <c r="D48" s="5">
        <f t="shared" ref="D48" si="28">B48/SUM(B48:C48)</f>
        <v>0.5</v>
      </c>
      <c r="E48" s="5">
        <f t="shared" ref="E48" si="29">IF(D48&lt;&gt;0,LOG(D48)/$F$1,0)</f>
        <v>-1</v>
      </c>
      <c r="F48" s="5">
        <f t="shared" ref="F48" si="30">C48/SUM(B48:C48)</f>
        <v>0.5</v>
      </c>
      <c r="G48" s="5">
        <f t="shared" ref="G48" si="31">IF(F48&lt;&gt;0,LOG(F48)/$F$1,0)</f>
        <v>-1</v>
      </c>
      <c r="H48" s="5">
        <f t="shared" ref="H48" si="32">-D48*E48-F48*G48</f>
        <v>1</v>
      </c>
    </row>
    <row r="49" spans="1:8" x14ac:dyDescent="0.35">
      <c r="A49" s="12" t="s">
        <v>14</v>
      </c>
      <c r="B49" s="4"/>
      <c r="C49" s="4"/>
      <c r="D49" s="4"/>
      <c r="E49" s="4"/>
      <c r="F49" s="4"/>
      <c r="G49" s="4"/>
      <c r="H49" s="5">
        <f>(H47*SUM(B47:C47)+H48*SUM(B48:C48))/SUM(B47:C48)</f>
        <v>0.95097750043269369</v>
      </c>
    </row>
    <row r="50" spans="1:8" x14ac:dyDescent="0.35">
      <c r="A50" s="12" t="s">
        <v>20</v>
      </c>
      <c r="B50" s="4"/>
      <c r="C50" s="4"/>
      <c r="D50" s="4"/>
      <c r="E50" s="4"/>
      <c r="F50" s="4"/>
      <c r="G50" s="4"/>
      <c r="H50" s="7">
        <f>H26-H49</f>
        <v>-0.95097750043269369</v>
      </c>
    </row>
    <row r="54" spans="1:8" s="15" customFormat="1" x14ac:dyDescent="0.35">
      <c r="A54" s="16" t="s">
        <v>26</v>
      </c>
      <c r="B54" s="21">
        <v>0</v>
      </c>
      <c r="C54" s="21">
        <v>0</v>
      </c>
      <c r="D54" s="22">
        <v>0</v>
      </c>
      <c r="E54" s="22">
        <v>0</v>
      </c>
      <c r="F54" s="22">
        <v>0</v>
      </c>
      <c r="G54" s="22">
        <v>0</v>
      </c>
      <c r="H54" s="22">
        <v>0</v>
      </c>
    </row>
    <row r="55" spans="1:8" s="15" customFormat="1" x14ac:dyDescent="0.35">
      <c r="A55" s="16" t="s">
        <v>27</v>
      </c>
      <c r="B55" s="21">
        <v>2</v>
      </c>
      <c r="C55" s="21">
        <v>1</v>
      </c>
      <c r="D55" s="22">
        <f t="shared" ref="D55:D56" si="33">B55/SUM(B55:C55)</f>
        <v>0.66666666666666663</v>
      </c>
      <c r="E55" s="22">
        <f t="shared" ref="E55:E56" si="34">IF(D55&lt;&gt;0,LOG(D55)/$F$1,0)</f>
        <v>-0.5849625007211563</v>
      </c>
      <c r="F55" s="22">
        <f t="shared" ref="F55:F56" si="35">C55/SUM(B55:C55)</f>
        <v>0.33333333333333331</v>
      </c>
      <c r="G55" s="22">
        <f t="shared" ref="G55:G56" si="36">IF(F55&lt;&gt;0,LOG(F55)/$F$1,0)</f>
        <v>-1.5849625007211561</v>
      </c>
      <c r="H55" s="22">
        <f t="shared" ref="H55:H56" si="37">-D55*E55-F55*G55</f>
        <v>0.91829583405448945</v>
      </c>
    </row>
    <row r="56" spans="1:8" s="15" customFormat="1" x14ac:dyDescent="0.35">
      <c r="A56" s="16" t="s">
        <v>28</v>
      </c>
      <c r="B56" s="21">
        <v>1</v>
      </c>
      <c r="C56" s="21">
        <v>1</v>
      </c>
      <c r="D56" s="22">
        <f t="shared" si="33"/>
        <v>0.5</v>
      </c>
      <c r="E56" s="22">
        <f t="shared" si="34"/>
        <v>-1</v>
      </c>
      <c r="F56" s="22">
        <f t="shared" si="35"/>
        <v>0.5</v>
      </c>
      <c r="G56" s="22">
        <f t="shared" si="36"/>
        <v>-1</v>
      </c>
      <c r="H56" s="22">
        <f t="shared" si="37"/>
        <v>1</v>
      </c>
    </row>
    <row r="57" spans="1:8" s="15" customFormat="1" x14ac:dyDescent="0.35">
      <c r="A57" s="16" t="s">
        <v>15</v>
      </c>
      <c r="B57" s="23"/>
      <c r="C57" s="23"/>
      <c r="D57" s="23"/>
      <c r="E57" s="23"/>
      <c r="F57" s="23"/>
      <c r="G57" s="23"/>
      <c r="H57" s="22">
        <f>(H54*SUM(B54:C54)+H55*SUM(B55:C55)+H56*SUM(B56:C56))/SUM(B54:C56)</f>
        <v>0.95097750043269369</v>
      </c>
    </row>
    <row r="58" spans="1:8" s="15" customFormat="1" x14ac:dyDescent="0.35">
      <c r="A58" s="16" t="s">
        <v>21</v>
      </c>
      <c r="B58" s="23"/>
      <c r="C58" s="23"/>
      <c r="D58" s="23"/>
      <c r="E58" s="23"/>
      <c r="F58" s="23"/>
      <c r="G58" s="23"/>
      <c r="H58" s="24">
        <f>H28-H57</f>
        <v>1.9973094021975002E-2</v>
      </c>
    </row>
    <row r="59" spans="1:8" s="15" customFormat="1" x14ac:dyDescent="0.35">
      <c r="A59" s="17"/>
      <c r="B59" s="18"/>
      <c r="C59" s="18"/>
      <c r="D59" s="18"/>
      <c r="E59" s="18"/>
      <c r="F59" s="18"/>
      <c r="G59" s="18"/>
      <c r="H59" s="18"/>
    </row>
    <row r="60" spans="1:8" s="15" customFormat="1" x14ac:dyDescent="0.35">
      <c r="A60" s="13" t="s">
        <v>22</v>
      </c>
      <c r="B60" s="14" t="s">
        <v>1</v>
      </c>
      <c r="C60" s="14" t="s">
        <v>2</v>
      </c>
      <c r="D60" s="14" t="s">
        <v>3</v>
      </c>
      <c r="E60" s="14" t="s">
        <v>4</v>
      </c>
      <c r="F60" s="14" t="s">
        <v>5</v>
      </c>
      <c r="G60" s="14" t="s">
        <v>6</v>
      </c>
      <c r="H60" s="14" t="s">
        <v>7</v>
      </c>
    </row>
    <row r="61" spans="1:8" s="15" customFormat="1" x14ac:dyDescent="0.35">
      <c r="A61" s="16" t="s">
        <v>29</v>
      </c>
      <c r="B61" s="21">
        <v>1</v>
      </c>
      <c r="C61" s="21">
        <v>1</v>
      </c>
      <c r="D61" s="22">
        <f>B61/SUM(B61:C61)</f>
        <v>0.5</v>
      </c>
      <c r="E61" s="22">
        <f>IF(D61&lt;&gt;0,LOG(D61)/$F$1,0)</f>
        <v>-1</v>
      </c>
      <c r="F61" s="22">
        <f>C61/SUM(B61:C61)</f>
        <v>0.5</v>
      </c>
      <c r="G61" s="22">
        <f>IF(F61&lt;&gt;0,LOG(F61)/$F$1,0)</f>
        <v>-1</v>
      </c>
      <c r="H61" s="22">
        <f>-D61*E61-F61*G61</f>
        <v>1</v>
      </c>
    </row>
    <row r="62" spans="1:8" s="15" customFormat="1" x14ac:dyDescent="0.35">
      <c r="A62" s="16" t="s">
        <v>30</v>
      </c>
      <c r="B62" s="21">
        <v>2</v>
      </c>
      <c r="C62" s="21">
        <v>1</v>
      </c>
      <c r="D62" s="22">
        <f t="shared" ref="D62" si="38">B62/SUM(B62:C62)</f>
        <v>0.66666666666666663</v>
      </c>
      <c r="E62" s="22">
        <f t="shared" ref="E62" si="39">IF(D62&lt;&gt;0,LOG(D62)/$F$1,0)</f>
        <v>-0.5849625007211563</v>
      </c>
      <c r="F62" s="22">
        <f t="shared" ref="F62" si="40">C62/SUM(B62:C62)</f>
        <v>0.33333333333333331</v>
      </c>
      <c r="G62" s="22">
        <f t="shared" ref="G62" si="41">IF(F62&lt;&gt;0,LOG(F62)/$F$1,0)</f>
        <v>-1.5849625007211561</v>
      </c>
      <c r="H62" s="22">
        <f t="shared" ref="H62" si="42">-D62*E62-F62*G62</f>
        <v>0.91829583405448945</v>
      </c>
    </row>
    <row r="63" spans="1:8" s="15" customFormat="1" x14ac:dyDescent="0.35">
      <c r="A63" s="16" t="s">
        <v>15</v>
      </c>
      <c r="B63" s="23"/>
      <c r="C63" s="23"/>
      <c r="D63" s="23"/>
      <c r="E63" s="23"/>
      <c r="F63" s="23"/>
      <c r="G63" s="23"/>
      <c r="H63" s="22">
        <f>(H61*SUM(B61:C61)+H62*SUM(B62:C62))/SUM(B61:C62)</f>
        <v>0.95097750043269369</v>
      </c>
    </row>
    <row r="64" spans="1:8" s="15" customFormat="1" x14ac:dyDescent="0.35">
      <c r="A64" s="16" t="s">
        <v>23</v>
      </c>
      <c r="B64" s="23"/>
      <c r="C64" s="23"/>
      <c r="D64" s="23"/>
      <c r="E64" s="23"/>
      <c r="F64" s="23"/>
      <c r="G64" s="23"/>
      <c r="H64" s="24">
        <f>H28-H63</f>
        <v>1.9973094021975002E-2</v>
      </c>
    </row>
    <row r="65" spans="1:8" s="15" customFormat="1" x14ac:dyDescent="0.35">
      <c r="A65" s="17"/>
      <c r="B65" s="18"/>
      <c r="C65" s="18"/>
      <c r="D65" s="18"/>
      <c r="E65" s="18"/>
      <c r="F65" s="18"/>
      <c r="G65" s="18"/>
      <c r="H65" s="18"/>
    </row>
    <row r="66" spans="1:8" s="15" customFormat="1" x14ac:dyDescent="0.35">
      <c r="A66" s="13" t="s">
        <v>24</v>
      </c>
      <c r="B66" s="19" t="s">
        <v>1</v>
      </c>
      <c r="C66" s="14" t="s">
        <v>2</v>
      </c>
      <c r="D66" s="14" t="s">
        <v>3</v>
      </c>
      <c r="E66" s="14" t="s">
        <v>4</v>
      </c>
      <c r="F66" s="14" t="s">
        <v>5</v>
      </c>
      <c r="G66" s="20" t="s">
        <v>6</v>
      </c>
      <c r="H66" s="14" t="s">
        <v>7</v>
      </c>
    </row>
    <row r="67" spans="1:8" s="15" customFormat="1" x14ac:dyDescent="0.35">
      <c r="A67" s="16" t="s">
        <v>31</v>
      </c>
      <c r="B67" s="25">
        <v>3</v>
      </c>
      <c r="C67" s="21">
        <v>0</v>
      </c>
      <c r="D67" s="22">
        <f>B67/SUM(B67:C67)</f>
        <v>1</v>
      </c>
      <c r="E67" s="22">
        <f>IF(D67&lt;&gt;0,LOG(D67)/$F$1,0)</f>
        <v>0</v>
      </c>
      <c r="F67" s="22">
        <f>C67/SUM(B67:C67)</f>
        <v>0</v>
      </c>
      <c r="G67" s="26">
        <f>IF(F67&lt;&gt;0,LOG(F67)/$F$1,0)</f>
        <v>0</v>
      </c>
      <c r="H67" s="22">
        <f>-D67*E67-F67*G67</f>
        <v>0</v>
      </c>
    </row>
    <row r="68" spans="1:8" s="15" customFormat="1" x14ac:dyDescent="0.35">
      <c r="A68" s="16" t="s">
        <v>32</v>
      </c>
      <c r="B68" s="25">
        <v>0</v>
      </c>
      <c r="C68" s="21">
        <v>2</v>
      </c>
      <c r="D68" s="22">
        <f t="shared" ref="D68" si="43">B68/SUM(B68:C68)</f>
        <v>0</v>
      </c>
      <c r="E68" s="22">
        <f t="shared" ref="E68" si="44">IF(D68&lt;&gt;0,LOG(D68)/$F$1,0)</f>
        <v>0</v>
      </c>
      <c r="F68" s="22">
        <f t="shared" ref="F68" si="45">C68/SUM(B68:C68)</f>
        <v>1</v>
      </c>
      <c r="G68" s="26">
        <f t="shared" ref="G68" si="46">IF(F68&lt;&gt;0,LOG(F68)/$F$1,0)</f>
        <v>0</v>
      </c>
      <c r="H68" s="22">
        <f t="shared" ref="H68" si="47">-D68*E68-F68*G68</f>
        <v>0</v>
      </c>
    </row>
    <row r="69" spans="1:8" s="15" customFormat="1" x14ac:dyDescent="0.35">
      <c r="A69" s="16" t="s">
        <v>14</v>
      </c>
      <c r="B69" s="23"/>
      <c r="C69" s="23"/>
      <c r="D69" s="23"/>
      <c r="E69" s="23"/>
      <c r="F69" s="23"/>
      <c r="G69" s="23"/>
      <c r="H69" s="22">
        <f>(H67*SUM(B67:C67)+H68*SUM(B68:C68))/SUM(B67:C68)</f>
        <v>0</v>
      </c>
    </row>
    <row r="70" spans="1:8" s="15" customFormat="1" x14ac:dyDescent="0.35">
      <c r="A70" s="16" t="s">
        <v>25</v>
      </c>
      <c r="B70" s="23"/>
      <c r="C70" s="23"/>
      <c r="D70" s="23"/>
      <c r="E70" s="23"/>
      <c r="F70" s="23"/>
      <c r="G70" s="23"/>
      <c r="H70" s="24">
        <f>H28-H69</f>
        <v>0.97095059445466869</v>
      </c>
    </row>
  </sheetData>
  <conditionalFormatting sqref="A20:A21">
    <cfRule type="uniqueValues" dxfId="23" priority="2"/>
  </conditionalFormatting>
  <conditionalFormatting sqref="A26:A27">
    <cfRule type="uniqueValues" dxfId="22" priority="1"/>
  </conditionalFormatting>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97" zoomScaleNormal="100" zoomScalePageLayoutView="160" workbookViewId="0">
      <selection activeCell="H110" sqref="H110"/>
    </sheetView>
  </sheetViews>
  <sheetFormatPr defaultColWidth="10.83203125" defaultRowHeight="15.5" x14ac:dyDescent="0.35"/>
  <cols>
    <col min="1" max="1" width="20.83203125" customWidth="1"/>
    <col min="2" max="8" width="10.33203125" style="1" customWidth="1"/>
    <col min="9" max="16384" width="10.83203125" style="1"/>
  </cols>
  <sheetData>
    <row r="1" spans="1:8" x14ac:dyDescent="0.35">
      <c r="D1" s="1" t="s">
        <v>0</v>
      </c>
      <c r="E1" s="1">
        <v>2</v>
      </c>
      <c r="F1" s="2">
        <f>LOG(E1)</f>
        <v>0.3010299956639812</v>
      </c>
      <c r="G1" s="3"/>
    </row>
    <row r="3" spans="1:8" x14ac:dyDescent="0.35">
      <c r="A3" s="42" t="s">
        <v>35</v>
      </c>
      <c r="B3" s="6" t="s">
        <v>1</v>
      </c>
      <c r="C3" s="6" t="s">
        <v>2</v>
      </c>
      <c r="D3" s="6" t="s">
        <v>3</v>
      </c>
      <c r="E3" s="6" t="s">
        <v>4</v>
      </c>
      <c r="F3" s="6" t="s">
        <v>5</v>
      </c>
      <c r="G3" s="6" t="s">
        <v>6</v>
      </c>
      <c r="H3" s="6" t="s">
        <v>7</v>
      </c>
    </row>
    <row r="4" spans="1:8" x14ac:dyDescent="0.35">
      <c r="A4" s="43" t="s">
        <v>8</v>
      </c>
      <c r="B4" s="4">
        <v>8</v>
      </c>
      <c r="C4" s="4">
        <v>12</v>
      </c>
      <c r="D4" s="5">
        <f>B4/SUM(B4:C4)</f>
        <v>0.4</v>
      </c>
      <c r="E4" s="5">
        <f>IF(D4&lt;&gt;0,LOG(D4)/$F$1,0)</f>
        <v>-1.3219280948873624</v>
      </c>
      <c r="F4" s="5">
        <f>C4/SUM(B4:C4)</f>
        <v>0.6</v>
      </c>
      <c r="G4" s="5">
        <f>IF(F4&lt;&gt;0,LOG(F4)/$F$1,0)</f>
        <v>-0.73696559416620622</v>
      </c>
      <c r="H4" s="5">
        <f>-D4*E4-F4*G4</f>
        <v>0.97095059445466869</v>
      </c>
    </row>
    <row r="6" spans="1:8" x14ac:dyDescent="0.35">
      <c r="A6" s="42" t="s">
        <v>38</v>
      </c>
      <c r="B6" s="42" t="s">
        <v>1</v>
      </c>
      <c r="C6" s="42" t="s">
        <v>2</v>
      </c>
      <c r="D6" s="6" t="s">
        <v>3</v>
      </c>
      <c r="E6" s="6" t="s">
        <v>4</v>
      </c>
      <c r="F6" s="6" t="s">
        <v>5</v>
      </c>
      <c r="G6" s="6" t="s">
        <v>6</v>
      </c>
      <c r="H6" s="6" t="s">
        <v>7</v>
      </c>
    </row>
    <row r="7" spans="1:8" x14ac:dyDescent="0.35">
      <c r="A7" s="42" t="s">
        <v>1</v>
      </c>
      <c r="B7" s="44">
        <f>COUNTIFS([2]!Table1[CloudTomorrow], "Cloudy",[2]!Table1[Cold],"Yes")</f>
        <v>2</v>
      </c>
      <c r="C7" s="43">
        <f>COUNTIFS([2]!Table1[CloudTomorrow], "Not Cloudy",[2]!Table1[Cold],"Yes")</f>
        <v>3</v>
      </c>
      <c r="D7" s="5">
        <f>B7/SUM(B7:C7)</f>
        <v>0.4</v>
      </c>
      <c r="E7" s="5">
        <f>IF(D7&lt;&gt;0,LOG(D7)/$F$1,0)</f>
        <v>-1.3219280948873624</v>
      </c>
      <c r="F7" s="5">
        <f>C7/SUM(B7:C7)</f>
        <v>0.6</v>
      </c>
      <c r="G7" s="5">
        <f>IF(F7&lt;&gt;0,LOG(F7)/$F$1,0)</f>
        <v>-0.73696559416620622</v>
      </c>
      <c r="H7" s="5">
        <f>-D7*E7-F7*G7</f>
        <v>0.97095059445466869</v>
      </c>
    </row>
    <row r="8" spans="1:8" x14ac:dyDescent="0.35">
      <c r="A8" s="42" t="s">
        <v>2</v>
      </c>
      <c r="B8" s="43">
        <f>COUNTIFS([2]!Table1[CloudTomorrow], "Cloudy",[2]!Table1[Cold],"No")</f>
        <v>2</v>
      </c>
      <c r="C8" s="43">
        <f>COUNTIFS([2]!Table1[CloudTomorrow], "Not Cloudy",[2]!Table1[Cold],"No")</f>
        <v>8</v>
      </c>
      <c r="D8" s="5">
        <f t="shared" ref="D8" si="0">B8/SUM(B8:C8)</f>
        <v>0.2</v>
      </c>
      <c r="E8" s="5">
        <f t="shared" ref="E8" si="1">IF(D8&lt;&gt;0,LOG(D8)/$F$1,0)</f>
        <v>-2.3219280948873622</v>
      </c>
      <c r="F8" s="5">
        <f t="shared" ref="F8" si="2">C8/SUM(B8:C8)</f>
        <v>0.8</v>
      </c>
      <c r="G8" s="5">
        <f t="shared" ref="G8" si="3">IF(F8&lt;&gt;0,LOG(F8)/$F$1,0)</f>
        <v>-0.32192809488736229</v>
      </c>
      <c r="H8" s="5">
        <f t="shared" ref="H8" si="4">-D8*E8-F8*G8</f>
        <v>0.72192809488736231</v>
      </c>
    </row>
    <row r="9" spans="1:8" x14ac:dyDescent="0.35">
      <c r="A9" s="42" t="s">
        <v>51</v>
      </c>
      <c r="B9" s="4"/>
      <c r="C9" s="4"/>
      <c r="D9" s="4"/>
      <c r="E9" s="4"/>
      <c r="F9" s="4"/>
      <c r="G9" s="4"/>
      <c r="H9" s="5">
        <f>(    H7*SUM(B7:C7)+H8*SUM(B8:C8)    )/SUM(B7:C8)</f>
        <v>0.80493559474313114</v>
      </c>
    </row>
    <row r="10" spans="1:8" x14ac:dyDescent="0.35">
      <c r="A10" s="42" t="s">
        <v>52</v>
      </c>
      <c r="B10" s="4"/>
      <c r="C10" s="4"/>
      <c r="D10" s="4"/>
      <c r="E10" s="4"/>
      <c r="F10" s="4"/>
      <c r="G10" s="4"/>
      <c r="H10" s="7">
        <f>H4-H9</f>
        <v>0.16601499971153755</v>
      </c>
    </row>
    <row r="11" spans="1:8" x14ac:dyDescent="0.35">
      <c r="B11" s="9"/>
      <c r="C11" s="9"/>
      <c r="D11" s="9"/>
      <c r="E11" s="9"/>
      <c r="F11" s="9"/>
      <c r="G11" s="9"/>
      <c r="H11" s="9"/>
    </row>
    <row r="12" spans="1:8" s="8" customFormat="1" x14ac:dyDescent="0.35">
      <c r="A12" s="42" t="s">
        <v>37</v>
      </c>
      <c r="B12" s="42" t="s">
        <v>1</v>
      </c>
      <c r="C12" s="42" t="s">
        <v>2</v>
      </c>
      <c r="D12" s="6" t="s">
        <v>3</v>
      </c>
      <c r="E12" s="6" t="s">
        <v>4</v>
      </c>
      <c r="F12" s="6" t="s">
        <v>5</v>
      </c>
      <c r="G12" s="6" t="s">
        <v>6</v>
      </c>
      <c r="H12" s="6" t="s">
        <v>7</v>
      </c>
    </row>
    <row r="13" spans="1:8" x14ac:dyDescent="0.35">
      <c r="A13" s="42" t="s">
        <v>1</v>
      </c>
      <c r="B13" s="44">
        <f>COUNTIFS([2]!Table1[CloudTomorrow], "Cloudy",[2]!Table1[Pressure],"Yes")</f>
        <v>3</v>
      </c>
      <c r="C13" s="43">
        <f>COUNTIFS([2]!Table1[CloudTomorrow], "Not Cloudy",[2]!Table1[Pressure],"Yes")</f>
        <v>7</v>
      </c>
      <c r="D13" s="5">
        <f>B13/SUM(B13:C13)</f>
        <v>0.3</v>
      </c>
      <c r="E13" s="5">
        <f>IF(D13&lt;&gt;0,LOG(D13)/$F$1,0)</f>
        <v>-1.7369655941662063</v>
      </c>
      <c r="F13" s="5">
        <f>C13/SUM(B13:C13)</f>
        <v>0.7</v>
      </c>
      <c r="G13" s="5">
        <f>IF(F13&lt;&gt;0,LOG(F13)/$F$1,0)</f>
        <v>-0.51457317282975834</v>
      </c>
      <c r="H13" s="5">
        <f>-D13*E13-F13*G13</f>
        <v>0.8812908992306927</v>
      </c>
    </row>
    <row r="14" spans="1:8" x14ac:dyDescent="0.35">
      <c r="A14" s="42" t="s">
        <v>2</v>
      </c>
      <c r="B14" s="43">
        <f>COUNTIFS([2]!Table1[CloudTomorrow], "Cloudy",[2]!Table1[Pressure],"No")</f>
        <v>1</v>
      </c>
      <c r="C14" s="43">
        <f>COUNTIFS([2]!Table1[CloudTomorrow], "Not Cloudy",[2]!Table1[Pressure],"No")</f>
        <v>4</v>
      </c>
      <c r="D14" s="5">
        <f>B14/SUM(B14:C14)</f>
        <v>0.2</v>
      </c>
      <c r="E14" s="5">
        <f t="shared" ref="E14" si="5">IF(D14&lt;&gt;0,LOG(D14)/$F$1,0)</f>
        <v>-2.3219280948873622</v>
      </c>
      <c r="F14" s="5">
        <f>C14/SUM(B14:C14)</f>
        <v>0.8</v>
      </c>
      <c r="G14" s="5">
        <f t="shared" ref="G14" si="6">IF(F14&lt;&gt;0,LOG(F14)/$F$1,0)</f>
        <v>-0.32192809488736229</v>
      </c>
      <c r="H14" s="5">
        <f t="shared" ref="H14" si="7">-D14*E14-F14*G14</f>
        <v>0.72192809488736231</v>
      </c>
    </row>
    <row r="15" spans="1:8" x14ac:dyDescent="0.35">
      <c r="A15" s="42" t="s">
        <v>14</v>
      </c>
      <c r="B15" s="4"/>
      <c r="C15" s="4"/>
      <c r="D15" s="4"/>
      <c r="E15" s="4"/>
      <c r="F15" s="4"/>
      <c r="G15" s="4"/>
      <c r="H15" s="5">
        <f>(H13*SUM(B13:C13)+H14*SUM(B14:C14))/SUM(B13:C14)</f>
        <v>0.82816996444958257</v>
      </c>
    </row>
    <row r="16" spans="1:8" x14ac:dyDescent="0.35">
      <c r="A16" s="42" t="s">
        <v>53</v>
      </c>
      <c r="B16" s="4"/>
      <c r="C16" s="4"/>
      <c r="D16" s="4"/>
      <c r="E16" s="4"/>
      <c r="F16" s="4"/>
      <c r="G16" s="4"/>
      <c r="H16" s="7">
        <f>H4-H15</f>
        <v>0.14278063000508612</v>
      </c>
    </row>
    <row r="17" spans="1:15" x14ac:dyDescent="0.35">
      <c r="B17" s="9"/>
      <c r="C17" s="9"/>
      <c r="D17" s="9"/>
      <c r="E17" s="9"/>
      <c r="F17" s="9"/>
      <c r="G17" s="9"/>
      <c r="H17" s="9"/>
      <c r="L17" s="43"/>
    </row>
    <row r="18" spans="1:15" s="8" customFormat="1" x14ac:dyDescent="0.35">
      <c r="A18" s="42" t="s">
        <v>36</v>
      </c>
      <c r="B18" s="42" t="s">
        <v>1</v>
      </c>
      <c r="C18" s="42" t="s">
        <v>2</v>
      </c>
      <c r="D18" s="6" t="s">
        <v>3</v>
      </c>
      <c r="E18" s="6" t="s">
        <v>4</v>
      </c>
      <c r="F18" s="6" t="s">
        <v>5</v>
      </c>
      <c r="G18" s="6" t="s">
        <v>6</v>
      </c>
      <c r="H18" s="6" t="s">
        <v>7</v>
      </c>
      <c r="L18" s="43"/>
    </row>
    <row r="19" spans="1:15" x14ac:dyDescent="0.35">
      <c r="A19" s="42" t="s">
        <v>1</v>
      </c>
      <c r="B19" s="44">
        <f>COUNTIFS([2]!Table1[CloudTomorrow], "Cloudy",[2]!Table1[Sunshine],"Yes")</f>
        <v>0</v>
      </c>
      <c r="C19" s="43">
        <f>COUNTIFS([2]!Table1[CloudTomorrow], "Not Cloudy",[2]!Table1[Sunshine],"Yes")</f>
        <v>3</v>
      </c>
      <c r="D19" s="5">
        <f>B19/SUM(B19:C19)</f>
        <v>0</v>
      </c>
      <c r="E19" s="5">
        <f>IF(D19&lt;&gt;0,LOG(D19)/$F$1,0)</f>
        <v>0</v>
      </c>
      <c r="F19" s="5">
        <f>C19/SUM(B19:C19)</f>
        <v>1</v>
      </c>
      <c r="G19" s="5">
        <f>IF(F19&lt;&gt;0,LOG(F19)/$F$1,0)</f>
        <v>0</v>
      </c>
      <c r="H19" s="5">
        <f>-D19*E19-F19*G19</f>
        <v>0</v>
      </c>
      <c r="L19" s="43"/>
    </row>
    <row r="20" spans="1:15" x14ac:dyDescent="0.35">
      <c r="A20" s="42" t="s">
        <v>2</v>
      </c>
      <c r="B20" s="43">
        <f>COUNTIFS([2]!Table1[CloudTomorrow], "Cloudy",[2]!Table1[Sunshine],"No")</f>
        <v>4</v>
      </c>
      <c r="C20" s="43">
        <f>COUNTIFS([2]!Table1[CloudTomorrow], "Not Cloudy",[2]!Table1[Sunshine],"No")</f>
        <v>8</v>
      </c>
      <c r="D20" s="5">
        <f t="shared" ref="D20" si="8">B20/SUM(B20:C20)</f>
        <v>0.33333333333333331</v>
      </c>
      <c r="E20" s="5">
        <f t="shared" ref="E20" si="9">IF(D20&lt;&gt;0,LOG(D20)/$F$1,0)</f>
        <v>-1.5849625007211561</v>
      </c>
      <c r="F20" s="5">
        <f t="shared" ref="F20" si="10">C20/SUM(B20:C20)</f>
        <v>0.66666666666666663</v>
      </c>
      <c r="G20" s="5">
        <f t="shared" ref="G20" si="11">IF(F20&lt;&gt;0,LOG(F20)/$F$1,0)</f>
        <v>-0.5849625007211563</v>
      </c>
      <c r="H20" s="5">
        <f t="shared" ref="H20" si="12">-D20*E20-F20*G20</f>
        <v>0.91829583405448945</v>
      </c>
      <c r="L20" s="45"/>
    </row>
    <row r="21" spans="1:15" x14ac:dyDescent="0.35">
      <c r="A21" s="42" t="s">
        <v>54</v>
      </c>
      <c r="B21" s="4"/>
      <c r="C21" s="4"/>
      <c r="D21" s="4"/>
      <c r="E21" s="4"/>
      <c r="F21" s="4"/>
      <c r="G21" s="4"/>
      <c r="H21" s="5">
        <f>(H19*SUM(B19:C19)+H20*SUM(B20:C20))/SUM(B19:C20)</f>
        <v>0.73463666724359156</v>
      </c>
    </row>
    <row r="22" spans="1:15" x14ac:dyDescent="0.35">
      <c r="A22" s="42" t="s">
        <v>55</v>
      </c>
      <c r="B22" s="4"/>
      <c r="C22" s="4"/>
      <c r="D22" s="4"/>
      <c r="E22" s="4"/>
      <c r="F22" s="4"/>
      <c r="G22" s="4"/>
      <c r="H22" s="7">
        <f>H4-H21</f>
        <v>0.23631392721107713</v>
      </c>
    </row>
    <row r="25" spans="1:15" x14ac:dyDescent="0.35">
      <c r="A25" s="42" t="s">
        <v>39</v>
      </c>
      <c r="B25" s="42" t="s">
        <v>1</v>
      </c>
      <c r="C25" s="42" t="s">
        <v>2</v>
      </c>
      <c r="D25" s="6" t="s">
        <v>3</v>
      </c>
      <c r="E25" s="6" t="s">
        <v>4</v>
      </c>
      <c r="F25" s="6" t="s">
        <v>5</v>
      </c>
      <c r="G25" s="6" t="s">
        <v>6</v>
      </c>
      <c r="H25" s="6" t="s">
        <v>7</v>
      </c>
    </row>
    <row r="26" spans="1:15" x14ac:dyDescent="0.35">
      <c r="A26" s="42" t="s">
        <v>1</v>
      </c>
      <c r="B26" s="44">
        <f>COUNTIFS([2]!Table1[CloudTomorrow], "Cloudy",[2]!Table1[Windy],"Yes")</f>
        <v>3</v>
      </c>
      <c r="C26" s="43">
        <f>COUNTIFS([2]!Table1[CloudTomorrow], "Not Cloudy",[2]!Table1[Windy],"Yes")</f>
        <v>4</v>
      </c>
      <c r="D26" s="5">
        <f t="shared" ref="D26:D27" si="13">B26/SUM(B26:C26)</f>
        <v>0.42857142857142855</v>
      </c>
      <c r="E26" s="5">
        <f t="shared" ref="E26:E27" si="14">IF(D26&lt;&gt;0,LOG(D26)/$F$1,0)</f>
        <v>-1.2223924213364481</v>
      </c>
      <c r="F26" s="5">
        <f t="shared" ref="F26:F27" si="15">C26/SUM(B26:C26)</f>
        <v>0.5714285714285714</v>
      </c>
      <c r="G26" s="5">
        <f t="shared" ref="G26:G27" si="16">IF(F26&lt;&gt;0,LOG(F26)/$F$1,0)</f>
        <v>-0.80735492205760417</v>
      </c>
      <c r="H26" s="5">
        <f t="shared" ref="H26:H27" si="17">-D26*E26-F26*G26</f>
        <v>0.98522813603425152</v>
      </c>
    </row>
    <row r="27" spans="1:15" x14ac:dyDescent="0.35">
      <c r="A27" s="42" t="s">
        <v>2</v>
      </c>
      <c r="B27" s="43">
        <f>COUNTIFS([2]!Table1[CloudTomorrow], "Cloudy",[2]!Table1[Windy],"No")</f>
        <v>1</v>
      </c>
      <c r="C27" s="43">
        <f>COUNTIFS([2]!Table1[CloudTomorrow], "Not Cloudy",[2]!Table1[Windy],"No")</f>
        <v>7</v>
      </c>
      <c r="D27" s="5">
        <f t="shared" si="13"/>
        <v>0.125</v>
      </c>
      <c r="E27" s="5">
        <f t="shared" si="14"/>
        <v>-3</v>
      </c>
      <c r="F27" s="5">
        <f t="shared" si="15"/>
        <v>0.875</v>
      </c>
      <c r="G27" s="5">
        <f t="shared" si="16"/>
        <v>-0.19264507794239588</v>
      </c>
      <c r="H27" s="5">
        <f t="shared" si="17"/>
        <v>0.5435644431995964</v>
      </c>
    </row>
    <row r="28" spans="1:15" x14ac:dyDescent="0.35">
      <c r="A28" s="42" t="s">
        <v>15</v>
      </c>
      <c r="B28" s="4"/>
      <c r="C28" s="4"/>
      <c r="D28" s="4"/>
      <c r="E28" s="4"/>
      <c r="F28" s="4"/>
      <c r="G28" s="4"/>
      <c r="H28" s="5">
        <f>(H26*SUM(B26:C26) + H27*SUM(B27:C27) )/SUM(B26:C27)</f>
        <v>0.74967416652243546</v>
      </c>
    </row>
    <row r="29" spans="1:15" x14ac:dyDescent="0.35">
      <c r="A29" s="42" t="s">
        <v>56</v>
      </c>
      <c r="B29" s="4"/>
      <c r="C29" s="4"/>
      <c r="D29" s="4"/>
      <c r="E29" s="4"/>
      <c r="F29" s="4"/>
      <c r="G29" s="4"/>
      <c r="H29" s="7">
        <f>H4-H28</f>
        <v>0.22127642793223323</v>
      </c>
    </row>
    <row r="30" spans="1:15" x14ac:dyDescent="0.35">
      <c r="A30" s="41" t="s">
        <v>57</v>
      </c>
      <c r="B30" s="41"/>
      <c r="C30" s="41"/>
      <c r="D30" s="41"/>
      <c r="E30" s="41"/>
      <c r="F30" s="41"/>
      <c r="G30" s="41"/>
      <c r="H30" s="41"/>
      <c r="I30" s="34"/>
      <c r="J30" s="34"/>
      <c r="K30" s="34"/>
      <c r="L30" s="34"/>
      <c r="M30" s="34"/>
    </row>
    <row r="31" spans="1:15" s="15" customFormat="1" x14ac:dyDescent="0.35">
      <c r="A31" s="42" t="s">
        <v>45</v>
      </c>
      <c r="B31" s="42" t="s">
        <v>1</v>
      </c>
      <c r="C31" s="42" t="s">
        <v>2</v>
      </c>
      <c r="D31" s="6" t="s">
        <v>3</v>
      </c>
      <c r="E31" s="6" t="s">
        <v>4</v>
      </c>
      <c r="F31" s="6" t="s">
        <v>5</v>
      </c>
      <c r="G31" s="6" t="s">
        <v>6</v>
      </c>
      <c r="H31" s="6" t="s">
        <v>7</v>
      </c>
      <c r="M31"/>
      <c r="N31" t="s">
        <v>41</v>
      </c>
      <c r="O31"/>
    </row>
    <row r="32" spans="1:15" s="15" customFormat="1" x14ac:dyDescent="0.35">
      <c r="A32" s="42" t="s">
        <v>1</v>
      </c>
      <c r="B32" s="44">
        <f>COUNTIFS([2]!Table1[Sunshine],"No",[2]!Table1[CloudTomorrow],"Cloudy",[2]!Table1[Windy],"Yes")</f>
        <v>3</v>
      </c>
      <c r="C32" s="43">
        <f>COUNTIFS([2]!Table1[Sunshine],"No",[2]!Table1[CloudTomorrow],"Not Cloudy",[2]!Table1[Windy],"Yes")</f>
        <v>2</v>
      </c>
      <c r="D32" s="5">
        <f>B32/SUM(B32:C32)</f>
        <v>0.6</v>
      </c>
      <c r="E32" s="5">
        <f>IF(D32&lt;&gt;0,LOG(D32)/$F$1,0)</f>
        <v>-0.73696559416620622</v>
      </c>
      <c r="F32" s="5">
        <f>C32/SUM(B32:C32)</f>
        <v>0.4</v>
      </c>
      <c r="G32" s="5">
        <f>IF(F32&lt;&gt;0,LOG(F32)/$F$1,0)</f>
        <v>-1.3219280948873624</v>
      </c>
      <c r="H32" s="5">
        <f>-D32*E32-F32*G32</f>
        <v>0.97095059445466869</v>
      </c>
      <c r="M32" t="s">
        <v>39</v>
      </c>
      <c r="N32" t="s">
        <v>1</v>
      </c>
      <c r="O32" t="s">
        <v>2</v>
      </c>
    </row>
    <row r="33" spans="1:15" s="15" customFormat="1" x14ac:dyDescent="0.35">
      <c r="A33" s="42" t="s">
        <v>2</v>
      </c>
      <c r="B33" s="43">
        <f>COUNTIFS([2]!Table1[Sunshine],"No",[2]!Table1[CloudTomorrow],"Cloudy",[2]!Table1[Windy],"No")</f>
        <v>1</v>
      </c>
      <c r="C33" s="43">
        <f>COUNTIFS([2]!Table1[Sunshine],"No",[2]!Table1[CloudTomorrow],"Not Cloudy",[2]!Table1[Windy],"No")</f>
        <v>6</v>
      </c>
      <c r="D33" s="5">
        <f t="shared" ref="D33" si="18">B33/SUM(B33:C33)</f>
        <v>0.14285714285714285</v>
      </c>
      <c r="E33" s="5">
        <f t="shared" ref="E33" si="19">IF(D33&lt;&gt;0,LOG(D33)/$F$1,0)</f>
        <v>-2.8073549220576042</v>
      </c>
      <c r="F33" s="5">
        <f t="shared" ref="F33" si="20">C33/SUM(B33:C33)</f>
        <v>0.8571428571428571</v>
      </c>
      <c r="G33" s="5">
        <f t="shared" ref="G33" si="21">IF(F33&lt;&gt;0,LOG(F33)/$F$1,0)</f>
        <v>-0.22239242133644799</v>
      </c>
      <c r="H33" s="5">
        <f t="shared" ref="H33" si="22">-D33*E33-F33*G33</f>
        <v>0.59167277858232736</v>
      </c>
      <c r="M33" t="s">
        <v>1</v>
      </c>
      <c r="N33">
        <v>3</v>
      </c>
      <c r="O33">
        <v>2</v>
      </c>
    </row>
    <row r="34" spans="1:15" s="15" customFormat="1" x14ac:dyDescent="0.35">
      <c r="A34" s="42" t="s">
        <v>14</v>
      </c>
      <c r="B34" s="4"/>
      <c r="C34" s="4"/>
      <c r="D34" s="4"/>
      <c r="E34" s="4"/>
      <c r="F34" s="4"/>
      <c r="G34" s="4"/>
      <c r="H34" s="5">
        <f>(H32*SUM(B32:C32)+H33*SUM(B33:C33))/SUM(B32:C33)</f>
        <v>0.74970520186246947</v>
      </c>
      <c r="M34" t="s">
        <v>2</v>
      </c>
      <c r="N34">
        <v>1</v>
      </c>
      <c r="O34">
        <v>7</v>
      </c>
    </row>
    <row r="35" spans="1:15" s="15" customFormat="1" x14ac:dyDescent="0.35">
      <c r="A35" s="42" t="s">
        <v>58</v>
      </c>
      <c r="B35" s="4"/>
      <c r="C35" s="4"/>
      <c r="D35" s="4"/>
      <c r="E35" s="4"/>
      <c r="F35" s="4"/>
      <c r="G35" s="4"/>
      <c r="H35" s="7">
        <f>$H$4-H34</f>
        <v>0.22124539259219922</v>
      </c>
      <c r="M35"/>
      <c r="N35"/>
      <c r="O35"/>
    </row>
    <row r="36" spans="1:15" x14ac:dyDescent="0.35">
      <c r="M36"/>
      <c r="N36"/>
      <c r="O36"/>
    </row>
    <row r="37" spans="1:15" x14ac:dyDescent="0.35">
      <c r="M37"/>
      <c r="N37"/>
      <c r="O37"/>
    </row>
    <row r="38" spans="1:15" x14ac:dyDescent="0.35">
      <c r="A38" s="42" t="s">
        <v>46</v>
      </c>
      <c r="B38" s="42" t="s">
        <v>1</v>
      </c>
      <c r="C38" s="42" t="s">
        <v>2</v>
      </c>
      <c r="D38" s="6" t="s">
        <v>3</v>
      </c>
      <c r="E38" s="6" t="s">
        <v>4</v>
      </c>
      <c r="F38" s="6" t="s">
        <v>5</v>
      </c>
      <c r="G38" s="6" t="s">
        <v>6</v>
      </c>
      <c r="H38" s="6" t="s">
        <v>7</v>
      </c>
      <c r="M38"/>
      <c r="N38" t="s">
        <v>41</v>
      </c>
      <c r="O38"/>
    </row>
    <row r="39" spans="1:15" x14ac:dyDescent="0.35">
      <c r="A39" s="42" t="s">
        <v>1</v>
      </c>
      <c r="B39" s="44">
        <f>COUNTIFS([2]!Table1[Sunshine],"No",[2]!Table1[CloudTomorrow],"Cloudy",[2]!Table1[Cold],"Yes")</f>
        <v>2</v>
      </c>
      <c r="C39" s="43">
        <f>COUNTIFS([2]!Table1[Sunshine],"No",[2]!Table1[CloudTomorrow],"Not Cloudy",[2]!Table1[Cold],"Yes")</f>
        <v>2</v>
      </c>
      <c r="D39" s="5">
        <f>B39/SUM(B39:C39)</f>
        <v>0.5</v>
      </c>
      <c r="E39" s="5">
        <f>IF(D39&lt;&gt;0,LOG(D39)/$F$1,0)</f>
        <v>-1</v>
      </c>
      <c r="F39" s="5">
        <f>C39/SUM(B39:C39)</f>
        <v>0.5</v>
      </c>
      <c r="G39" s="5">
        <f>IF(F39&lt;&gt;0,LOG(F39)/$F$1,0)</f>
        <v>-1</v>
      </c>
      <c r="H39" s="5">
        <f>-D39*E39-F39*G39</f>
        <v>1</v>
      </c>
      <c r="M39" t="s">
        <v>38</v>
      </c>
      <c r="N39" t="s">
        <v>1</v>
      </c>
      <c r="O39" t="s">
        <v>2</v>
      </c>
    </row>
    <row r="40" spans="1:15" x14ac:dyDescent="0.35">
      <c r="A40" s="42" t="s">
        <v>2</v>
      </c>
      <c r="B40" s="43">
        <f>COUNTIFS([2]!Table1[Sunshine],"No",[2]!Table1[CloudTomorrow],"Cloudy",[2]!Table1[Cold],"No")</f>
        <v>2</v>
      </c>
      <c r="C40" s="43">
        <f>COUNTIFS([2]!Table1[Sunshine],"No",[2]!Table1[CloudTomorrow],"Not Cloudy",[2]!Table1[Cold],"No")</f>
        <v>6</v>
      </c>
      <c r="D40" s="5">
        <f t="shared" ref="D40" si="23">B40/SUM(B40:C40)</f>
        <v>0.25</v>
      </c>
      <c r="E40" s="5">
        <f t="shared" ref="E40" si="24">IF(D40&lt;&gt;0,LOG(D40)/$F$1,0)</f>
        <v>-2</v>
      </c>
      <c r="F40" s="5">
        <f t="shared" ref="F40" si="25">C40/SUM(B40:C40)</f>
        <v>0.75</v>
      </c>
      <c r="G40" s="5">
        <f t="shared" ref="G40" si="26">IF(F40&lt;&gt;0,LOG(F40)/$F$1,0)</f>
        <v>-0.41503749927884381</v>
      </c>
      <c r="H40" s="5">
        <f t="shared" ref="H40" si="27">-D40*E40-F40*G40</f>
        <v>0.81127812445913283</v>
      </c>
      <c r="M40" t="s">
        <v>1</v>
      </c>
      <c r="N40">
        <v>2</v>
      </c>
      <c r="O40">
        <v>1</v>
      </c>
    </row>
    <row r="41" spans="1:15" x14ac:dyDescent="0.35">
      <c r="A41" s="42" t="s">
        <v>14</v>
      </c>
      <c r="B41" s="4"/>
      <c r="C41" s="4"/>
      <c r="D41" s="4"/>
      <c r="E41" s="4"/>
      <c r="F41" s="4"/>
      <c r="G41" s="4"/>
      <c r="H41" s="5">
        <f>(H39*SUM(B39:C39)+H40*SUM(B40:C40))/SUM(B39:C40)</f>
        <v>0.87418541630608859</v>
      </c>
      <c r="M41" t="s">
        <v>2</v>
      </c>
      <c r="N41">
        <v>2</v>
      </c>
      <c r="O41">
        <v>10</v>
      </c>
    </row>
    <row r="42" spans="1:15" x14ac:dyDescent="0.35">
      <c r="A42" s="42" t="s">
        <v>59</v>
      </c>
      <c r="B42" s="4"/>
      <c r="C42" s="4"/>
      <c r="D42" s="4"/>
      <c r="E42" s="4"/>
      <c r="F42" s="4"/>
      <c r="G42" s="4"/>
      <c r="H42" s="7">
        <f>H4-H41</f>
        <v>9.67651781485801E-2</v>
      </c>
      <c r="M42"/>
      <c r="N42"/>
      <c r="O42"/>
    </row>
    <row r="43" spans="1:15" x14ac:dyDescent="0.35">
      <c r="M43"/>
      <c r="N43" t="s">
        <v>41</v>
      </c>
      <c r="O43"/>
    </row>
    <row r="44" spans="1:15" x14ac:dyDescent="0.35">
      <c r="A44" s="42" t="s">
        <v>49</v>
      </c>
      <c r="B44" s="42" t="s">
        <v>1</v>
      </c>
      <c r="C44" s="42" t="s">
        <v>2</v>
      </c>
      <c r="D44" s="6" t="s">
        <v>3</v>
      </c>
      <c r="E44" s="6" t="s">
        <v>4</v>
      </c>
      <c r="F44" s="6" t="s">
        <v>5</v>
      </c>
      <c r="G44" s="6" t="s">
        <v>6</v>
      </c>
      <c r="H44" s="6" t="s">
        <v>7</v>
      </c>
      <c r="M44" t="s">
        <v>37</v>
      </c>
      <c r="N44" t="s">
        <v>1</v>
      </c>
      <c r="O44" t="s">
        <v>2</v>
      </c>
    </row>
    <row r="45" spans="1:15" x14ac:dyDescent="0.35">
      <c r="A45" s="42" t="s">
        <v>1</v>
      </c>
      <c r="B45" s="44">
        <f>COUNTIFS([2]!Table1[Sunshine],"No",[2]!Table1[CloudTomorrow],"Cloudy",[2]!Table1[Pressure],"Yes")</f>
        <v>3</v>
      </c>
      <c r="C45" s="43">
        <f>COUNTIFS([2]!Table1[Sunshine],"No",[2]!Table1[CloudTomorrow],"Not Cloudy",[2]!Table1[Pressure],"Yes")</f>
        <v>5</v>
      </c>
      <c r="D45" s="5">
        <f>B45/SUM(B45:C45)</f>
        <v>0.375</v>
      </c>
      <c r="E45" s="5">
        <f>IF(D45&lt;&gt;0,LOG(D45)/$F$1,0)</f>
        <v>-1.4150374992788439</v>
      </c>
      <c r="F45" s="5">
        <f>C45/SUM(B45:C45)</f>
        <v>0.625</v>
      </c>
      <c r="G45" s="5">
        <f>IF(F45&lt;&gt;0,LOG(F45)/$F$1,0)</f>
        <v>-0.67807190511263771</v>
      </c>
      <c r="H45" s="5">
        <f>-D45*E45-F45*G45</f>
        <v>0.95443400292496505</v>
      </c>
      <c r="M45" t="s">
        <v>1</v>
      </c>
      <c r="N45">
        <v>3</v>
      </c>
      <c r="O45">
        <v>5</v>
      </c>
    </row>
    <row r="46" spans="1:15" x14ac:dyDescent="0.35">
      <c r="A46" s="42" t="s">
        <v>2</v>
      </c>
      <c r="B46" s="43">
        <f>COUNTIFS([2]!Table1[Sunshine],"No",[2]!Table1[CloudTomorrow],"Cloudy",[2]!Table1[Pressure],"No")</f>
        <v>1</v>
      </c>
      <c r="C46" s="43">
        <f>COUNTIFS([2]!Table1[Sunshine],"No",[2]!Table1[CloudTomorrow],"Not Cloudy",[2]!Table1[Pressure],"No")</f>
        <v>3</v>
      </c>
      <c r="D46" s="5">
        <f t="shared" ref="D46" si="28">B46/SUM(B46:C46)</f>
        <v>0.25</v>
      </c>
      <c r="E46" s="5">
        <f t="shared" ref="E46" si="29">IF(D46&lt;&gt;0,LOG(D46)/$F$1,0)</f>
        <v>-2</v>
      </c>
      <c r="F46" s="5">
        <f t="shared" ref="F46" si="30">C46/SUM(B46:C46)</f>
        <v>0.75</v>
      </c>
      <c r="G46" s="5">
        <f t="shared" ref="G46" si="31">IF(F46&lt;&gt;0,LOG(F46)/$F$1,0)</f>
        <v>-0.41503749927884381</v>
      </c>
      <c r="H46" s="5">
        <f t="shared" ref="H46" si="32">-D46*E46-F46*G46</f>
        <v>0.81127812445913283</v>
      </c>
      <c r="M46" t="s">
        <v>2</v>
      </c>
      <c r="N46">
        <v>1</v>
      </c>
      <c r="O46">
        <v>4</v>
      </c>
    </row>
    <row r="47" spans="1:15" x14ac:dyDescent="0.35">
      <c r="A47" s="42" t="s">
        <v>14</v>
      </c>
      <c r="B47" s="4"/>
      <c r="C47" s="4"/>
      <c r="D47" s="4"/>
      <c r="E47" s="4"/>
      <c r="F47" s="4"/>
      <c r="G47" s="4"/>
      <c r="H47" s="5">
        <f>(H45*SUM(B45:C45)+H46*SUM(B46:C46))/SUM(B45:C46)</f>
        <v>0.90671537676968761</v>
      </c>
    </row>
    <row r="48" spans="1:15" x14ac:dyDescent="0.35">
      <c r="A48" s="42" t="s">
        <v>60</v>
      </c>
      <c r="B48" s="4"/>
      <c r="C48" s="4"/>
      <c r="D48" s="4"/>
      <c r="E48" s="4"/>
      <c r="F48" s="4"/>
      <c r="G48" s="4"/>
      <c r="H48" s="7">
        <f>$H$4-H47</f>
        <v>6.4235217684981083E-2</v>
      </c>
    </row>
    <row r="53" spans="1:13" x14ac:dyDescent="0.35">
      <c r="A53" s="1"/>
    </row>
    <row r="54" spans="1:13" x14ac:dyDescent="0.35">
      <c r="A54" s="42" t="s">
        <v>61</v>
      </c>
      <c r="B54" s="42" t="s">
        <v>1</v>
      </c>
      <c r="C54" s="42" t="s">
        <v>2</v>
      </c>
      <c r="D54" s="6" t="s">
        <v>3</v>
      </c>
      <c r="E54" s="6" t="s">
        <v>4</v>
      </c>
      <c r="F54" s="6" t="s">
        <v>5</v>
      </c>
      <c r="G54" s="6" t="s">
        <v>6</v>
      </c>
      <c r="H54" s="6" t="s">
        <v>7</v>
      </c>
    </row>
    <row r="55" spans="1:13" x14ac:dyDescent="0.35">
      <c r="A55" s="42" t="s">
        <v>1</v>
      </c>
      <c r="B55" s="44">
        <f>COUNTIFS([2]!Table1[Sunshine],"Yes",[2]!Table1[CloudTomorrow],"Cloudy",[2]!Table1[Windy],"Yes")</f>
        <v>0</v>
      </c>
      <c r="C55" s="43">
        <f>COUNTIFS([2]!Table1[Sunshine],"Yes",[2]!Table1[CloudTomorrow],"Not Cloudy",[2]!Table1[Windy],"Yes")</f>
        <v>2</v>
      </c>
      <c r="D55" s="5">
        <f>B55/SUM(B55:C55)</f>
        <v>0</v>
      </c>
      <c r="E55" s="5">
        <f>IF(D55&lt;&gt;0,LOG(D55)/$F$1,0)</f>
        <v>0</v>
      </c>
      <c r="F55" s="5">
        <f>C55/SUM(B55:C55)</f>
        <v>1</v>
      </c>
      <c r="G55" s="5">
        <f>IF(F55&lt;&gt;0,LOG(F55)/$F$1,0)</f>
        <v>0</v>
      </c>
      <c r="H55" s="5">
        <f>-D55*E55-F55*G55</f>
        <v>0</v>
      </c>
    </row>
    <row r="56" spans="1:13" x14ac:dyDescent="0.35">
      <c r="A56" s="42" t="s">
        <v>2</v>
      </c>
      <c r="B56" s="43">
        <f>COUNTIFS([2]!Table1[Sunshine],"Yes",[2]!Table1[CloudTomorrow],"Cloudy",[2]!Table1[Windy],"No")</f>
        <v>0</v>
      </c>
      <c r="C56" s="43">
        <f>COUNTIFS([2]!Table1[Sunshine],"Yes",[2]!Table1[CloudTomorrow],"Not Cloudy",[2]!Table1[Windy],"No")</f>
        <v>1</v>
      </c>
      <c r="D56" s="5">
        <f t="shared" ref="D56" si="33">B56/SUM(B56:C56)</f>
        <v>0</v>
      </c>
      <c r="E56" s="5">
        <f t="shared" ref="E56" si="34">IF(D56&lt;&gt;0,LOG(D56)/$F$1,0)</f>
        <v>0</v>
      </c>
      <c r="F56" s="5">
        <f t="shared" ref="F56" si="35">C56/SUM(B56:C56)</f>
        <v>1</v>
      </c>
      <c r="G56" s="5">
        <f t="shared" ref="G56" si="36">IF(F56&lt;&gt;0,LOG(F56)/$F$1,0)</f>
        <v>0</v>
      </c>
      <c r="H56" s="5">
        <f t="shared" ref="H56" si="37">-D56*E56-F56*G56</f>
        <v>0</v>
      </c>
    </row>
    <row r="57" spans="1:13" x14ac:dyDescent="0.35">
      <c r="A57" s="42" t="s">
        <v>14</v>
      </c>
      <c r="B57" s="4"/>
      <c r="C57" s="4"/>
      <c r="D57" s="4"/>
      <c r="E57" s="4"/>
      <c r="F57" s="4"/>
      <c r="G57" s="4"/>
      <c r="H57" s="5">
        <f>(H55*SUM(B55:C55)+H56*SUM(B56:C56))/SUM(B55:C56)</f>
        <v>0</v>
      </c>
    </row>
    <row r="58" spans="1:13" x14ac:dyDescent="0.35">
      <c r="A58" s="42" t="s">
        <v>20</v>
      </c>
      <c r="B58" s="4"/>
      <c r="C58" s="4"/>
      <c r="D58" s="4"/>
      <c r="E58" s="4"/>
      <c r="F58" s="4"/>
      <c r="G58" s="4"/>
      <c r="H58" s="7">
        <f>$H$4-H57</f>
        <v>0.97095059445466869</v>
      </c>
    </row>
    <row r="59" spans="1:13" x14ac:dyDescent="0.35">
      <c r="I59" s="34"/>
      <c r="J59" s="34"/>
      <c r="K59" s="34"/>
      <c r="L59" s="34"/>
      <c r="M59" s="34"/>
    </row>
    <row r="61" spans="1:13" x14ac:dyDescent="0.35">
      <c r="A61" s="42" t="s">
        <v>62</v>
      </c>
      <c r="B61" s="42" t="s">
        <v>1</v>
      </c>
      <c r="C61" s="42" t="s">
        <v>2</v>
      </c>
      <c r="D61" s="6" t="s">
        <v>3</v>
      </c>
      <c r="E61" s="6" t="s">
        <v>4</v>
      </c>
      <c r="F61" s="6" t="s">
        <v>5</v>
      </c>
      <c r="G61" s="6" t="s">
        <v>6</v>
      </c>
      <c r="H61" s="6" t="s">
        <v>7</v>
      </c>
    </row>
    <row r="62" spans="1:13" x14ac:dyDescent="0.35">
      <c r="A62" s="42" t="s">
        <v>1</v>
      </c>
      <c r="B62" s="44">
        <f>COUNTIFS([2]!Table1[Sunshine],"Yes",[2]!Table1[CloudTomorrow],"Cloudy",[2]!Table1[Cold],"Yes")</f>
        <v>0</v>
      </c>
      <c r="C62" s="43">
        <f>COUNTIFS([2]!Table1[Sunshine],"Yes",[2]!Table1[CloudTomorrow],"Not Cloudy",[2]!Table1[Cold],"Yes")</f>
        <v>1</v>
      </c>
      <c r="D62" s="5">
        <f>B62/SUM(B62:C62)</f>
        <v>0</v>
      </c>
      <c r="E62" s="5">
        <f>IF(D62&lt;&gt;0,LOG(D62)/$F$1,0)</f>
        <v>0</v>
      </c>
      <c r="F62" s="5">
        <f>C62/SUM(B62:C62)</f>
        <v>1</v>
      </c>
      <c r="G62" s="5">
        <f>IF(F62&lt;&gt;0,LOG(F62)/$F$1,0)</f>
        <v>0</v>
      </c>
      <c r="H62" s="5">
        <f>-D62*E62-F62*G62</f>
        <v>0</v>
      </c>
    </row>
    <row r="63" spans="1:13" x14ac:dyDescent="0.35">
      <c r="A63" s="42" t="s">
        <v>2</v>
      </c>
      <c r="B63" s="43">
        <f>COUNTIFS([2]!Table1[Sunshine],"Yes",[2]!Table1[CloudTomorrow],"Cloudy",[2]!Table1[Cold],"No")</f>
        <v>0</v>
      </c>
      <c r="C63" s="43">
        <f>COUNTIFS([2]!Table1[Sunshine],"Yes",[2]!Table1[CloudTomorrow],"Not Cloudy",[2]!Table1[Cold],"No")</f>
        <v>2</v>
      </c>
      <c r="D63" s="5">
        <f t="shared" ref="D63" si="38">B63/SUM(B63:C63)</f>
        <v>0</v>
      </c>
      <c r="E63" s="5">
        <f t="shared" ref="E63" si="39">IF(D63&lt;&gt;0,LOG(D63)/$F$1,0)</f>
        <v>0</v>
      </c>
      <c r="F63" s="5">
        <f t="shared" ref="F63" si="40">C63/SUM(B63:C63)</f>
        <v>1</v>
      </c>
      <c r="G63" s="5">
        <f t="shared" ref="G63" si="41">IF(F63&lt;&gt;0,LOG(F63)/$F$1,0)</f>
        <v>0</v>
      </c>
      <c r="H63" s="5">
        <f t="shared" ref="H63" si="42">-D63*E63-F63*G63</f>
        <v>0</v>
      </c>
    </row>
    <row r="64" spans="1:13" x14ac:dyDescent="0.35">
      <c r="A64" s="42" t="s">
        <v>14</v>
      </c>
      <c r="B64" s="4"/>
      <c r="C64" s="4"/>
      <c r="D64" s="4"/>
      <c r="E64" s="4"/>
      <c r="F64" s="4"/>
      <c r="G64" s="4"/>
      <c r="H64" s="5">
        <f>(H62*SUM(B62:C62)+H63*SUM(B63:C63))/SUM(B62:C63)</f>
        <v>0</v>
      </c>
    </row>
    <row r="65" spans="1:15" x14ac:dyDescent="0.35">
      <c r="A65" s="42" t="s">
        <v>63</v>
      </c>
      <c r="B65" s="4"/>
      <c r="C65" s="4"/>
      <c r="D65" s="4"/>
      <c r="E65" s="4"/>
      <c r="F65" s="4"/>
      <c r="G65" s="4"/>
      <c r="H65" s="7">
        <f>H4-H64</f>
        <v>0.97095059445466869</v>
      </c>
    </row>
    <row r="67" spans="1:15" x14ac:dyDescent="0.35">
      <c r="A67" s="42" t="s">
        <v>64</v>
      </c>
      <c r="B67" s="42" t="s">
        <v>1</v>
      </c>
      <c r="C67" s="42" t="s">
        <v>2</v>
      </c>
      <c r="D67" s="6" t="s">
        <v>3</v>
      </c>
      <c r="E67" s="6" t="s">
        <v>4</v>
      </c>
      <c r="F67" s="6" t="s">
        <v>5</v>
      </c>
      <c r="G67" s="6" t="s">
        <v>6</v>
      </c>
      <c r="H67" s="6" t="s">
        <v>7</v>
      </c>
    </row>
    <row r="68" spans="1:15" x14ac:dyDescent="0.35">
      <c r="A68" s="42" t="s">
        <v>1</v>
      </c>
      <c r="B68" s="44">
        <f>COUNTIFS([2]!Table1[Sunshine],"Yes",[2]!Table1[CloudTomorrow],"Cloudy",[2]!Table1[Pressure],"Yes")</f>
        <v>0</v>
      </c>
      <c r="C68" s="43">
        <f>COUNTIFS([2]!Table1[Sunshine],"Yes",[2]!Table1[CloudTomorrow],"Not Cloudy",[2]!Table1[Pressure],"Yes")</f>
        <v>2</v>
      </c>
      <c r="D68" s="5">
        <f>B68/SUM(B68:C68)</f>
        <v>0</v>
      </c>
      <c r="E68" s="5">
        <f>IF(D68&lt;&gt;0,LOG(D68)/$F$1,0)</f>
        <v>0</v>
      </c>
      <c r="F68" s="5">
        <f>C68/SUM(B68:C68)</f>
        <v>1</v>
      </c>
      <c r="G68" s="5">
        <f>IF(F68&lt;&gt;0,LOG(F68)/$F$1,0)</f>
        <v>0</v>
      </c>
      <c r="H68" s="5">
        <f>-D68*E68-F68*G68</f>
        <v>0</v>
      </c>
    </row>
    <row r="69" spans="1:15" x14ac:dyDescent="0.35">
      <c r="A69" s="42" t="s">
        <v>2</v>
      </c>
      <c r="B69" s="43">
        <f>COUNTIFS([2]!Table1[Sunshine],"Yes",[2]!Table1[CloudTomorrow],"Cloudy",[2]!Table1[Pressure],"No")</f>
        <v>0</v>
      </c>
      <c r="C69" s="43">
        <f>COUNTIFS([2]!Table1[Sunshine],"Yes",[2]!Table1[CloudTomorrow],"Not Cloudy",[2]!Table1[Pressure],"No")</f>
        <v>1</v>
      </c>
      <c r="D69" s="5">
        <f t="shared" ref="D69" si="43">B69/SUM(B69:C69)</f>
        <v>0</v>
      </c>
      <c r="E69" s="5">
        <f t="shared" ref="E69" si="44">IF(D69&lt;&gt;0,LOG(D69)/$F$1,0)</f>
        <v>0</v>
      </c>
      <c r="F69" s="5">
        <f t="shared" ref="F69" si="45">C69/SUM(B69:C69)</f>
        <v>1</v>
      </c>
      <c r="G69" s="5">
        <f t="shared" ref="G69" si="46">IF(F69&lt;&gt;0,LOG(F69)/$F$1,0)</f>
        <v>0</v>
      </c>
      <c r="H69" s="5">
        <f t="shared" ref="H69" si="47">-D69*E69-F69*G69</f>
        <v>0</v>
      </c>
    </row>
    <row r="70" spans="1:15" x14ac:dyDescent="0.35">
      <c r="A70" s="42" t="s">
        <v>14</v>
      </c>
      <c r="B70" s="4"/>
      <c r="C70" s="4"/>
      <c r="D70" s="4"/>
      <c r="E70" s="4"/>
      <c r="F70" s="4"/>
      <c r="G70" s="4"/>
      <c r="H70" s="5">
        <f>(H68*SUM(B68:C68)+H69*SUM(B69:C69))/SUM(B68:C69)</f>
        <v>0</v>
      </c>
    </row>
    <row r="71" spans="1:15" x14ac:dyDescent="0.35">
      <c r="A71" s="42" t="s">
        <v>65</v>
      </c>
      <c r="B71" s="4"/>
      <c r="C71" s="4"/>
      <c r="D71" s="4"/>
      <c r="E71" s="4"/>
      <c r="F71" s="4"/>
      <c r="G71" s="4"/>
      <c r="H71" s="7">
        <f>$H$4-H70</f>
        <v>0.97095059445466869</v>
      </c>
    </row>
    <row r="73" spans="1:15" x14ac:dyDescent="0.35">
      <c r="A73" s="46"/>
      <c r="B73" s="34"/>
      <c r="C73" s="34"/>
      <c r="D73" s="34" t="s">
        <v>66</v>
      </c>
      <c r="E73" s="34"/>
      <c r="F73" s="34"/>
      <c r="G73" s="34"/>
      <c r="H73" s="34"/>
      <c r="I73" s="34"/>
      <c r="J73" s="34"/>
      <c r="K73" s="34"/>
      <c r="L73" s="34"/>
      <c r="M73" s="34"/>
      <c r="N73" s="34"/>
      <c r="O73" s="34"/>
    </row>
    <row r="75" spans="1:15" x14ac:dyDescent="0.35">
      <c r="A75" s="1"/>
    </row>
    <row r="79" spans="1:15" x14ac:dyDescent="0.35">
      <c r="A79" s="42" t="s">
        <v>67</v>
      </c>
      <c r="B79" s="42" t="s">
        <v>1</v>
      </c>
      <c r="C79" s="42" t="s">
        <v>2</v>
      </c>
      <c r="D79" s="6" t="s">
        <v>3</v>
      </c>
      <c r="E79" s="6" t="s">
        <v>4</v>
      </c>
      <c r="F79" s="6" t="s">
        <v>5</v>
      </c>
      <c r="G79" s="6" t="s">
        <v>6</v>
      </c>
      <c r="H79" s="6" t="s">
        <v>7</v>
      </c>
    </row>
    <row r="80" spans="1:15" x14ac:dyDescent="0.35">
      <c r="A80" s="42" t="s">
        <v>1</v>
      </c>
      <c r="B80" s="44">
        <f>COUNTIFS([2]!Table1[Cold],"No",[2]!Table1[CloudTomorrow],"Cloudy",[2]!Table1[Pressure],"Yes")</f>
        <v>1</v>
      </c>
      <c r="C80" s="43">
        <f>COUNTIFS([2]!Table1[Cold],"No",[2]!Table1[CloudTomorrow],"Not Cloudy",[2]!Table1[Pressure],"Yes")</f>
        <v>5</v>
      </c>
      <c r="D80" s="5">
        <f>B80/SUM(B80:C80)</f>
        <v>0.16666666666666666</v>
      </c>
      <c r="E80" s="5">
        <f>IF(D80&lt;&gt;0,LOG(D80)/$F$1,0)</f>
        <v>-2.5849625007211561</v>
      </c>
      <c r="F80" s="5">
        <f>C80/SUM(B80:C80)</f>
        <v>0.83333333333333337</v>
      </c>
      <c r="G80" s="5">
        <f>IF(F80&lt;&gt;0,LOG(F80)/$F$1,0)</f>
        <v>-0.26303440583379373</v>
      </c>
      <c r="H80" s="5">
        <f>-D80*E80-F80*G80</f>
        <v>0.65002242164835411</v>
      </c>
    </row>
    <row r="81" spans="1:8" x14ac:dyDescent="0.35">
      <c r="A81" s="42" t="s">
        <v>2</v>
      </c>
      <c r="B81" s="43">
        <f>COUNTIFS([2]!Table1[Cold],"No",[2]!Table1[CloudTomorrow],"Cloudy",[2]!Table1[Pressure],"No")</f>
        <v>1</v>
      </c>
      <c r="C81" s="43">
        <f>COUNTIFS([2]!Table1[Cold],"No",[2]!Table1[CloudTomorrow],"Not Cloudy",[2]!Table1[Pressure],"No")</f>
        <v>3</v>
      </c>
      <c r="D81" s="5">
        <f t="shared" ref="D81" si="48">B81/SUM(B81:C81)</f>
        <v>0.25</v>
      </c>
      <c r="E81" s="5">
        <f t="shared" ref="E81" si="49">IF(D81&lt;&gt;0,LOG(D81)/$F$1,0)</f>
        <v>-2</v>
      </c>
      <c r="F81" s="5">
        <f t="shared" ref="F81" si="50">C81/SUM(B81:C81)</f>
        <v>0.75</v>
      </c>
      <c r="G81" s="5">
        <f t="shared" ref="G81" si="51">IF(F81&lt;&gt;0,LOG(F81)/$F$1,0)</f>
        <v>-0.41503749927884381</v>
      </c>
      <c r="H81" s="5">
        <f t="shared" ref="H81" si="52">-D81*E81-F81*G81</f>
        <v>0.81127812445913283</v>
      </c>
    </row>
    <row r="82" spans="1:8" x14ac:dyDescent="0.35">
      <c r="A82" s="42" t="s">
        <v>14</v>
      </c>
      <c r="B82" s="4"/>
      <c r="C82" s="4"/>
      <c r="D82" s="4"/>
      <c r="E82" s="4"/>
      <c r="F82" s="4"/>
      <c r="G82" s="4"/>
      <c r="H82" s="5">
        <f>(H80*SUM(B80:C80)+H81*SUM(B81:C81))/SUM(B80:C81)</f>
        <v>0.71452470277266555</v>
      </c>
    </row>
    <row r="83" spans="1:8" x14ac:dyDescent="0.35">
      <c r="A83" s="42" t="s">
        <v>25</v>
      </c>
      <c r="B83" s="4"/>
      <c r="C83" s="4"/>
      <c r="D83" s="4"/>
      <c r="E83" s="4"/>
      <c r="F83" s="4"/>
      <c r="G83" s="4"/>
      <c r="H83" s="7">
        <f>$H$4-H82</f>
        <v>0.25642589168200314</v>
      </c>
    </row>
    <row r="86" spans="1:8" x14ac:dyDescent="0.35">
      <c r="A86" s="42" t="s">
        <v>68</v>
      </c>
      <c r="B86" s="42" t="s">
        <v>1</v>
      </c>
      <c r="C86" s="42" t="s">
        <v>2</v>
      </c>
      <c r="D86" s="6" t="s">
        <v>3</v>
      </c>
      <c r="E86" s="6" t="s">
        <v>4</v>
      </c>
      <c r="F86" s="6" t="s">
        <v>5</v>
      </c>
      <c r="G86" s="6" t="s">
        <v>6</v>
      </c>
      <c r="H86" s="6" t="s">
        <v>7</v>
      </c>
    </row>
    <row r="87" spans="1:8" x14ac:dyDescent="0.35">
      <c r="A87" s="42" t="s">
        <v>1</v>
      </c>
      <c r="B87" s="44">
        <f>COUNTIFS([2]!Table1[Cold],"Yes",[2]!Table1[CloudTomorrow],"Cloudy",[2]!Table1[Pressure],"Yes")</f>
        <v>2</v>
      </c>
      <c r="C87" s="43">
        <f>COUNTIFS([2]!Table1[Cold],"Yes",[2]!Table1[CloudTomorrow],"Not Cloudy",[2]!Table1[Pressure],"Yes")</f>
        <v>2</v>
      </c>
      <c r="D87" s="5">
        <f>B87/SUM(B87:C87)</f>
        <v>0.5</v>
      </c>
      <c r="E87" s="5">
        <f>IF(D87&lt;&gt;0,LOG(D87)/$F$1,0)</f>
        <v>-1</v>
      </c>
      <c r="F87" s="5">
        <f>C87/SUM(B87:C87)</f>
        <v>0.5</v>
      </c>
      <c r="G87" s="5">
        <f>IF(F87&lt;&gt;0,LOG(F87)/$F$1,0)</f>
        <v>-1</v>
      </c>
      <c r="H87" s="5">
        <f>-D87*E87-F87*G87</f>
        <v>1</v>
      </c>
    </row>
    <row r="88" spans="1:8" x14ac:dyDescent="0.35">
      <c r="A88" s="42" t="s">
        <v>2</v>
      </c>
      <c r="B88" s="43">
        <f>COUNTIFS([2]!Table1[Cold],"Yes",[2]!Table1[CloudTomorrow],"Cloudy",[2]!Table1[Pressure],"No")</f>
        <v>0</v>
      </c>
      <c r="C88" s="43">
        <f>COUNTIFS([2]!Table1[Cold],"Yes",[2]!Table1[CloudTomorrow],"Not Cloudy",[2]!Table1[Pressure],"No")</f>
        <v>1</v>
      </c>
      <c r="D88" s="5">
        <f t="shared" ref="D88" si="53">B88/SUM(B88:C88)</f>
        <v>0</v>
      </c>
      <c r="E88" s="5">
        <f t="shared" ref="E88" si="54">IF(D88&lt;&gt;0,LOG(D88)/$F$1,0)</f>
        <v>0</v>
      </c>
      <c r="F88" s="5">
        <f t="shared" ref="F88" si="55">C88/SUM(B88:C88)</f>
        <v>1</v>
      </c>
      <c r="G88" s="5">
        <f t="shared" ref="G88" si="56">IF(F88&lt;&gt;0,LOG(F88)/$F$1,0)</f>
        <v>0</v>
      </c>
      <c r="H88" s="5">
        <f t="shared" ref="H88" si="57">-D88*E88-F88*G88</f>
        <v>0</v>
      </c>
    </row>
    <row r="89" spans="1:8" x14ac:dyDescent="0.35">
      <c r="A89" s="42" t="s">
        <v>14</v>
      </c>
      <c r="B89" s="4"/>
      <c r="C89" s="4"/>
      <c r="D89" s="4"/>
      <c r="E89" s="4"/>
      <c r="F89" s="4"/>
      <c r="G89" s="4"/>
      <c r="H89" s="5">
        <f>(H87*SUM(B87:C87)+H88*SUM(B88:C88))/SUM(B87:C88)</f>
        <v>0.8</v>
      </c>
    </row>
    <row r="90" spans="1:8" x14ac:dyDescent="0.35">
      <c r="A90" s="42" t="s">
        <v>25</v>
      </c>
      <c r="B90" s="4"/>
      <c r="C90" s="4"/>
      <c r="D90" s="4"/>
      <c r="E90" s="4"/>
      <c r="F90" s="4"/>
      <c r="G90" s="4"/>
      <c r="H90" s="7">
        <f>$H$4-H89</f>
        <v>0.17095059445466865</v>
      </c>
    </row>
    <row r="96" spans="1:8" x14ac:dyDescent="0.35">
      <c r="A96" s="46"/>
      <c r="B96" s="34"/>
      <c r="C96" s="34"/>
      <c r="D96" s="34" t="s">
        <v>69</v>
      </c>
      <c r="E96" s="34"/>
      <c r="F96" s="34"/>
      <c r="G96" s="34"/>
      <c r="H96" s="34"/>
    </row>
    <row r="99" spans="1:8" x14ac:dyDescent="0.35">
      <c r="A99" s="42" t="s">
        <v>48</v>
      </c>
      <c r="B99" s="42" t="s">
        <v>1</v>
      </c>
      <c r="C99" s="42" t="s">
        <v>2</v>
      </c>
      <c r="D99" s="6" t="s">
        <v>3</v>
      </c>
      <c r="E99" s="6" t="s">
        <v>4</v>
      </c>
      <c r="F99" s="6" t="s">
        <v>5</v>
      </c>
      <c r="G99" s="6" t="s">
        <v>6</v>
      </c>
      <c r="H99" s="6" t="s">
        <v>7</v>
      </c>
    </row>
    <row r="100" spans="1:8" x14ac:dyDescent="0.35">
      <c r="A100" s="42" t="s">
        <v>1</v>
      </c>
      <c r="B100" s="44">
        <f>COUNTIFS([2]!Table1[Windy],"No",[2]!Table1[CloudTomorrow],"Cloudy",[2]!Table1[Cold],"Yes",[2]!Table1[Sunshine],"No")</f>
        <v>0</v>
      </c>
      <c r="C100" s="44">
        <f>COUNTIFS([2]!Table1[Windy],"No",[2]!Table1[CloudTomorrow],"Not Cloudy",[2]!Table1[Cold],"Yes",[2]!Table1[Sunshine],"No")</f>
        <v>2</v>
      </c>
      <c r="D100" s="5">
        <f>B100/SUM(B100:C100)</f>
        <v>0</v>
      </c>
      <c r="E100" s="5">
        <f>IF(D100&lt;&gt;0,LOG(D100)/$F$1,0)</f>
        <v>0</v>
      </c>
      <c r="F100" s="5">
        <f>C100/SUM(B100:C100)</f>
        <v>1</v>
      </c>
      <c r="G100" s="5">
        <f>IF(F100&lt;&gt;0,LOG(F100)/$F$1,0)</f>
        <v>0</v>
      </c>
      <c r="H100" s="5">
        <f>-D100*E100-F100*G100</f>
        <v>0</v>
      </c>
    </row>
    <row r="101" spans="1:8" x14ac:dyDescent="0.35">
      <c r="A101" s="42" t="s">
        <v>2</v>
      </c>
      <c r="B101" s="44">
        <f>COUNTIFS([2]!Table1[Windy],"No",[2]!Table1[CloudTomorrow],"Cloudy",[2]!Table1[Cold],"No",[2]!Table1[Sunshine],"No")</f>
        <v>1</v>
      </c>
      <c r="C101" s="44">
        <f>COUNTIFS([2]!Table1[Windy],"No",[2]!Table1[CloudTomorrow],"Not Cloudy",[2]!Table1[Cold],"No",[2]!Table1[Sunshine],"No")</f>
        <v>4</v>
      </c>
      <c r="D101" s="5">
        <f t="shared" ref="D101" si="58">B101/SUM(B101:C101)</f>
        <v>0.2</v>
      </c>
      <c r="E101" s="5">
        <f t="shared" ref="E101" si="59">IF(D101&lt;&gt;0,LOG(D101)/$F$1,0)</f>
        <v>-2.3219280948873622</v>
      </c>
      <c r="F101" s="5">
        <f t="shared" ref="F101" si="60">C101/SUM(B101:C101)</f>
        <v>0.8</v>
      </c>
      <c r="G101" s="5">
        <f t="shared" ref="G101" si="61">IF(F101&lt;&gt;0,LOG(F101)/$F$1,0)</f>
        <v>-0.32192809488736229</v>
      </c>
      <c r="H101" s="5">
        <f t="shared" ref="H101" si="62">-D101*E101-F101*G101</f>
        <v>0.72192809488736231</v>
      </c>
    </row>
    <row r="102" spans="1:8" x14ac:dyDescent="0.35">
      <c r="A102" s="42" t="s">
        <v>14</v>
      </c>
      <c r="B102" s="4"/>
      <c r="C102" s="4"/>
      <c r="D102" s="4"/>
      <c r="E102" s="4"/>
      <c r="F102" s="4"/>
      <c r="G102" s="4"/>
      <c r="H102" s="5">
        <f>(H100*SUM(B100:C100)+H101*SUM(B101:C101))/SUM(B100:C101)</f>
        <v>0.51566292491954446</v>
      </c>
    </row>
    <row r="103" spans="1:8" x14ac:dyDescent="0.35">
      <c r="A103" s="42" t="s">
        <v>71</v>
      </c>
      <c r="B103" s="4"/>
      <c r="C103" s="4"/>
      <c r="D103" s="4"/>
      <c r="E103" s="4"/>
      <c r="F103" s="4"/>
      <c r="G103" s="4"/>
      <c r="H103" s="7">
        <f>$H$4-H102</f>
        <v>0.45528766953512423</v>
      </c>
    </row>
    <row r="106" spans="1:8" x14ac:dyDescent="0.35">
      <c r="A106" s="42" t="s">
        <v>70</v>
      </c>
      <c r="B106" s="42" t="s">
        <v>1</v>
      </c>
      <c r="C106" s="42" t="s">
        <v>2</v>
      </c>
      <c r="D106" s="6" t="s">
        <v>3</v>
      </c>
      <c r="E106" s="6" t="s">
        <v>4</v>
      </c>
      <c r="F106" s="6" t="s">
        <v>5</v>
      </c>
      <c r="G106" s="6" t="s">
        <v>6</v>
      </c>
      <c r="H106" s="6" t="s">
        <v>7</v>
      </c>
    </row>
    <row r="107" spans="1:8" x14ac:dyDescent="0.35">
      <c r="A107" s="42" t="s">
        <v>1</v>
      </c>
      <c r="B107" s="44">
        <f>COUNTIFS([2]!Table1[Windy],"Yes",[2]!Table1[CloudTomorrow],"Cloudy",[2]!Table1[Cold],"Yes",[2]!Table1[Sunshine],"No")</f>
        <v>2</v>
      </c>
      <c r="C107" s="44">
        <f>COUNTIFS([2]!Table1[Windy],"Yes",[2]!Table1[CloudTomorrow],"Not Cloudy",[2]!Table1[Cold],"Yes",[2]!Table1[Sunshine],"No")</f>
        <v>0</v>
      </c>
      <c r="D107" s="5">
        <f>B107/SUM(B107:C107)</f>
        <v>1</v>
      </c>
      <c r="E107" s="5">
        <f>IF(D107&lt;&gt;0,LOG(D107)/$F$1,0)</f>
        <v>0</v>
      </c>
      <c r="F107" s="5">
        <f>C107/SUM(B107:C107)</f>
        <v>0</v>
      </c>
      <c r="G107" s="5">
        <f>IF(F107&lt;&gt;0,LOG(F107)/$F$1,0)</f>
        <v>0</v>
      </c>
      <c r="H107" s="5">
        <f>-D107*E107-F107*G107</f>
        <v>0</v>
      </c>
    </row>
    <row r="108" spans="1:8" x14ac:dyDescent="0.35">
      <c r="A108" s="42" t="s">
        <v>2</v>
      </c>
      <c r="B108" s="44">
        <f>COUNTIFS([2]!Table1[Windy],"Yes",[2]!Table1[CloudTomorrow],"Cloudy",[2]!Table1[Cold],"No",[2]!Table1[Sunshine],"No")</f>
        <v>1</v>
      </c>
      <c r="C108" s="44">
        <f>COUNTIFS([2]!Table1[Windy],"Yes",[2]!Table1[CloudTomorrow],"Not Cloudy",[2]!Table1[Cold],"No",[2]!Table1[Sunshine],"No")</f>
        <v>2</v>
      </c>
      <c r="D108" s="5">
        <f t="shared" ref="D108" si="63">B108/SUM(B108:C108)</f>
        <v>0.33333333333333331</v>
      </c>
      <c r="E108" s="5">
        <f t="shared" ref="E108" si="64">IF(D108&lt;&gt;0,LOG(D108)/$F$1,0)</f>
        <v>-1.5849625007211561</v>
      </c>
      <c r="F108" s="5">
        <f t="shared" ref="F108" si="65">C108/SUM(B108:C108)</f>
        <v>0.66666666666666663</v>
      </c>
      <c r="G108" s="5">
        <f t="shared" ref="G108" si="66">IF(F108&lt;&gt;0,LOG(F108)/$F$1,0)</f>
        <v>-0.5849625007211563</v>
      </c>
      <c r="H108" s="5">
        <f t="shared" ref="H108" si="67">-D108*E108-F108*G108</f>
        <v>0.91829583405448945</v>
      </c>
    </row>
    <row r="109" spans="1:8" x14ac:dyDescent="0.35">
      <c r="A109" s="42" t="s">
        <v>14</v>
      </c>
      <c r="B109" s="4"/>
      <c r="C109" s="4"/>
      <c r="D109" s="4"/>
      <c r="E109" s="4"/>
      <c r="F109" s="4"/>
      <c r="G109" s="4"/>
      <c r="H109" s="5">
        <f>(H107*SUM(B107:C107)+H108*SUM(B108:C108))/SUM(B107:C108)</f>
        <v>0.55097750043269367</v>
      </c>
    </row>
    <row r="110" spans="1:8" x14ac:dyDescent="0.35">
      <c r="A110" s="42" t="s">
        <v>72</v>
      </c>
      <c r="B110" s="4"/>
      <c r="C110" s="4"/>
      <c r="D110" s="4"/>
      <c r="E110" s="4"/>
      <c r="F110" s="4"/>
      <c r="G110" s="4"/>
      <c r="H110" s="7">
        <f>$H$4-H109</f>
        <v>0.41997309402197502</v>
      </c>
    </row>
  </sheetData>
  <mergeCells count="1">
    <mergeCell ref="A30:H30"/>
  </mergeCells>
  <conditionalFormatting sqref="A19:A20">
    <cfRule type="uniqueValues" dxfId="21" priority="2"/>
  </conditionalFormatting>
  <conditionalFormatting sqref="A25:A26">
    <cfRule type="uniqueValues" dxfId="20" priority="1"/>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DE38B-B43D-462B-96FF-8FB6DBE23BC9}">
  <dimension ref="A1:E16"/>
  <sheetViews>
    <sheetView zoomScale="115" zoomScaleNormal="115" workbookViewId="0">
      <selection activeCell="E23" sqref="E23"/>
    </sheetView>
  </sheetViews>
  <sheetFormatPr defaultRowHeight="15.5" x14ac:dyDescent="0.35"/>
  <sheetData>
    <row r="1" spans="1:5" x14ac:dyDescent="0.35">
      <c r="A1" s="35" t="s">
        <v>36</v>
      </c>
      <c r="B1" s="35" t="s">
        <v>40</v>
      </c>
      <c r="C1" s="35" t="s">
        <v>50</v>
      </c>
      <c r="D1" s="35" t="s">
        <v>39</v>
      </c>
      <c r="E1" s="35" t="s">
        <v>38</v>
      </c>
    </row>
    <row r="2" spans="1:5" hidden="1" x14ac:dyDescent="0.35">
      <c r="A2" s="38" t="s">
        <v>2</v>
      </c>
      <c r="B2" s="39" t="s">
        <v>42</v>
      </c>
      <c r="C2" s="38" t="s">
        <v>1</v>
      </c>
      <c r="D2" s="39" t="s">
        <v>1</v>
      </c>
      <c r="E2" s="39" t="s">
        <v>1</v>
      </c>
    </row>
    <row r="3" spans="1:5" hidden="1" x14ac:dyDescent="0.35">
      <c r="A3" s="38" t="s">
        <v>2</v>
      </c>
      <c r="B3" s="39" t="s">
        <v>42</v>
      </c>
      <c r="C3" s="38" t="s">
        <v>1</v>
      </c>
      <c r="D3" s="39" t="s">
        <v>1</v>
      </c>
      <c r="E3" s="39" t="s">
        <v>1</v>
      </c>
    </row>
    <row r="4" spans="1:5" x14ac:dyDescent="0.35">
      <c r="A4" s="38" t="s">
        <v>1</v>
      </c>
      <c r="B4" s="38" t="s">
        <v>44</v>
      </c>
      <c r="C4" s="39" t="s">
        <v>2</v>
      </c>
      <c r="D4" s="38" t="s">
        <v>2</v>
      </c>
      <c r="E4" s="38" t="s">
        <v>1</v>
      </c>
    </row>
    <row r="5" spans="1:5" hidden="1" x14ac:dyDescent="0.35">
      <c r="A5" s="38" t="s">
        <v>2</v>
      </c>
      <c r="B5" s="38" t="s">
        <v>44</v>
      </c>
      <c r="C5" s="38" t="s">
        <v>1</v>
      </c>
      <c r="D5" s="38" t="s">
        <v>2</v>
      </c>
      <c r="E5" s="38" t="s">
        <v>1</v>
      </c>
    </row>
    <row r="6" spans="1:5" hidden="1" x14ac:dyDescent="0.35">
      <c r="A6" s="38" t="s">
        <v>2</v>
      </c>
      <c r="B6" s="39" t="s">
        <v>44</v>
      </c>
      <c r="C6" s="38" t="s">
        <v>1</v>
      </c>
      <c r="D6" s="39" t="s">
        <v>2</v>
      </c>
      <c r="E6" s="39" t="s">
        <v>1</v>
      </c>
    </row>
    <row r="7" spans="1:5" hidden="1" x14ac:dyDescent="0.35">
      <c r="A7" s="38" t="s">
        <v>2</v>
      </c>
      <c r="B7" s="38" t="s">
        <v>42</v>
      </c>
      <c r="C7" s="39" t="s">
        <v>2</v>
      </c>
      <c r="D7" s="38" t="s">
        <v>2</v>
      </c>
      <c r="E7" s="38" t="s">
        <v>2</v>
      </c>
    </row>
    <row r="8" spans="1:5" hidden="1" x14ac:dyDescent="0.35">
      <c r="A8" s="38" t="s">
        <v>2</v>
      </c>
      <c r="B8" s="38" t="s">
        <v>42</v>
      </c>
      <c r="C8" s="38" t="s">
        <v>1</v>
      </c>
      <c r="D8" s="38" t="s">
        <v>1</v>
      </c>
      <c r="E8" s="38" t="s">
        <v>2</v>
      </c>
    </row>
    <row r="9" spans="1:5" hidden="1" x14ac:dyDescent="0.35">
      <c r="A9" s="38" t="s">
        <v>2</v>
      </c>
      <c r="B9" s="39" t="s">
        <v>44</v>
      </c>
      <c r="C9" s="39" t="s">
        <v>2</v>
      </c>
      <c r="D9" s="39" t="s">
        <v>2</v>
      </c>
      <c r="E9" s="39" t="s">
        <v>2</v>
      </c>
    </row>
    <row r="10" spans="1:5" hidden="1" x14ac:dyDescent="0.35">
      <c r="A10" s="38" t="s">
        <v>2</v>
      </c>
      <c r="B10" s="38" t="s">
        <v>44</v>
      </c>
      <c r="C10" s="39" t="s">
        <v>2</v>
      </c>
      <c r="D10" s="38" t="s">
        <v>2</v>
      </c>
      <c r="E10" s="38" t="s">
        <v>2</v>
      </c>
    </row>
    <row r="11" spans="1:5" hidden="1" x14ac:dyDescent="0.35">
      <c r="A11" s="38" t="s">
        <v>2</v>
      </c>
      <c r="B11" s="39" t="s">
        <v>44</v>
      </c>
      <c r="C11" s="38" t="s">
        <v>1</v>
      </c>
      <c r="D11" s="39" t="s">
        <v>2</v>
      </c>
      <c r="E11" s="39" t="s">
        <v>2</v>
      </c>
    </row>
    <row r="12" spans="1:5" hidden="1" x14ac:dyDescent="0.35">
      <c r="A12" s="38" t="s">
        <v>2</v>
      </c>
      <c r="B12" s="39" t="s">
        <v>44</v>
      </c>
      <c r="C12" s="38" t="s">
        <v>1</v>
      </c>
      <c r="D12" s="39" t="s">
        <v>2</v>
      </c>
      <c r="E12" s="39" t="s">
        <v>2</v>
      </c>
    </row>
    <row r="13" spans="1:5" hidden="1" x14ac:dyDescent="0.35">
      <c r="A13" s="38" t="s">
        <v>1</v>
      </c>
      <c r="B13" s="38" t="s">
        <v>44</v>
      </c>
      <c r="C13" s="38" t="s">
        <v>1</v>
      </c>
      <c r="D13" s="38" t="s">
        <v>1</v>
      </c>
      <c r="E13" s="38" t="s">
        <v>2</v>
      </c>
    </row>
    <row r="14" spans="1:5" hidden="1" x14ac:dyDescent="0.35">
      <c r="A14" s="38" t="s">
        <v>1</v>
      </c>
      <c r="B14" s="38" t="s">
        <v>44</v>
      </c>
      <c r="C14" s="38" t="s">
        <v>1</v>
      </c>
      <c r="D14" s="38" t="s">
        <v>1</v>
      </c>
      <c r="E14" s="38" t="s">
        <v>2</v>
      </c>
    </row>
    <row r="15" spans="1:5" hidden="1" x14ac:dyDescent="0.35">
      <c r="A15" s="38" t="s">
        <v>2</v>
      </c>
      <c r="B15" s="38" t="s">
        <v>44</v>
      </c>
      <c r="C15" s="39" t="s">
        <v>2</v>
      </c>
      <c r="D15" s="38" t="s">
        <v>1</v>
      </c>
      <c r="E15" s="38" t="s">
        <v>2</v>
      </c>
    </row>
    <row r="16" spans="1:5" hidden="1" x14ac:dyDescent="0.35">
      <c r="A16" s="38" t="s">
        <v>2</v>
      </c>
      <c r="B16" s="37" t="s">
        <v>44</v>
      </c>
      <c r="C16" s="40" t="s">
        <v>1</v>
      </c>
      <c r="D16" s="37" t="s">
        <v>1</v>
      </c>
      <c r="E16" s="37" t="s">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342EC-7C27-404F-BBEC-C40E00DE1615}">
  <dimension ref="A1:Y47"/>
  <sheetViews>
    <sheetView zoomScale="91" workbookViewId="0">
      <selection activeCell="C25" sqref="C25"/>
    </sheetView>
  </sheetViews>
  <sheetFormatPr defaultRowHeight="15.5" x14ac:dyDescent="0.35"/>
  <cols>
    <col min="2" max="2" width="9.5" customWidth="1"/>
    <col min="3" max="3" width="15.08203125" customWidth="1"/>
    <col min="4" max="4" width="9.25" customWidth="1"/>
  </cols>
  <sheetData>
    <row r="1" spans="1:25" x14ac:dyDescent="0.35">
      <c r="B1" t="s">
        <v>36</v>
      </c>
      <c r="C1" t="s">
        <v>40</v>
      </c>
      <c r="D1" t="s">
        <v>37</v>
      </c>
      <c r="E1" t="s">
        <v>39</v>
      </c>
      <c r="F1" t="s">
        <v>38</v>
      </c>
    </row>
    <row r="2" spans="1:25" x14ac:dyDescent="0.35">
      <c r="A2">
        <v>1</v>
      </c>
      <c r="B2" t="s">
        <v>33</v>
      </c>
      <c r="C2" t="s">
        <v>44</v>
      </c>
      <c r="D2" t="s">
        <v>29</v>
      </c>
      <c r="E2" t="s">
        <v>1</v>
      </c>
      <c r="F2" t="s">
        <v>2</v>
      </c>
    </row>
    <row r="3" spans="1:25" x14ac:dyDescent="0.35">
      <c r="A3">
        <v>2</v>
      </c>
      <c r="B3" t="s">
        <v>41</v>
      </c>
      <c r="C3" t="s">
        <v>44</v>
      </c>
      <c r="D3" t="s">
        <v>29</v>
      </c>
      <c r="E3" t="s">
        <v>1</v>
      </c>
      <c r="F3" t="s">
        <v>2</v>
      </c>
    </row>
    <row r="4" spans="1:25" x14ac:dyDescent="0.35">
      <c r="A4">
        <v>3</v>
      </c>
      <c r="B4" t="s">
        <v>41</v>
      </c>
      <c r="C4" t="s">
        <v>44</v>
      </c>
      <c r="D4" t="s">
        <v>43</v>
      </c>
      <c r="E4" t="s">
        <v>1</v>
      </c>
      <c r="F4" t="s">
        <v>2</v>
      </c>
    </row>
    <row r="5" spans="1:25" x14ac:dyDescent="0.35">
      <c r="A5">
        <v>4</v>
      </c>
      <c r="B5" t="s">
        <v>41</v>
      </c>
      <c r="C5" t="s">
        <v>44</v>
      </c>
      <c r="D5" t="s">
        <v>29</v>
      </c>
      <c r="E5" t="s">
        <v>2</v>
      </c>
      <c r="F5" t="s">
        <v>2</v>
      </c>
    </row>
    <row r="6" spans="1:25" x14ac:dyDescent="0.35">
      <c r="A6">
        <v>5</v>
      </c>
      <c r="B6" t="s">
        <v>41</v>
      </c>
      <c r="C6" t="s">
        <v>44</v>
      </c>
      <c r="D6" t="s">
        <v>43</v>
      </c>
      <c r="E6" t="s">
        <v>2</v>
      </c>
      <c r="F6" t="s">
        <v>2</v>
      </c>
      <c r="I6" s="27" t="s">
        <v>35</v>
      </c>
      <c r="J6" s="28" t="s">
        <v>1</v>
      </c>
      <c r="K6" s="28" t="s">
        <v>2</v>
      </c>
      <c r="L6" s="28" t="s">
        <v>3</v>
      </c>
      <c r="M6" s="28" t="s">
        <v>4</v>
      </c>
      <c r="N6" s="28" t="s">
        <v>5</v>
      </c>
      <c r="O6" s="28" t="s">
        <v>6</v>
      </c>
      <c r="P6" s="28" t="s">
        <v>7</v>
      </c>
    </row>
    <row r="7" spans="1:25" x14ac:dyDescent="0.35">
      <c r="A7">
        <v>6</v>
      </c>
      <c r="B7" t="s">
        <v>41</v>
      </c>
      <c r="C7" t="s">
        <v>44</v>
      </c>
      <c r="D7" t="s">
        <v>29</v>
      </c>
      <c r="E7" t="s">
        <v>2</v>
      </c>
      <c r="F7" t="s">
        <v>2</v>
      </c>
      <c r="I7" s="29" t="s">
        <v>8</v>
      </c>
      <c r="J7" s="33">
        <f>COUNTIF(C2:C16,"Cloudy")</f>
        <v>4</v>
      </c>
      <c r="K7" s="33">
        <f>COUNTIF(C2:C16,"Not Cloudy")</f>
        <v>11</v>
      </c>
      <c r="L7" s="30">
        <v>0.6428571428571429</v>
      </c>
      <c r="M7" s="30">
        <v>-0.63742992061529158</v>
      </c>
      <c r="N7" s="30">
        <v>0.35714285714285715</v>
      </c>
      <c r="O7" s="30">
        <v>-1.4854268271702418</v>
      </c>
      <c r="P7" s="30">
        <v>0.94028595867063092</v>
      </c>
    </row>
    <row r="8" spans="1:25" x14ac:dyDescent="0.35">
      <c r="A8">
        <v>7</v>
      </c>
      <c r="B8" t="s">
        <v>41</v>
      </c>
      <c r="C8" t="s">
        <v>42</v>
      </c>
      <c r="D8" t="s">
        <v>29</v>
      </c>
      <c r="E8" t="s">
        <v>1</v>
      </c>
      <c r="F8" t="s">
        <v>2</v>
      </c>
    </row>
    <row r="9" spans="1:25" x14ac:dyDescent="0.35">
      <c r="A9">
        <v>8</v>
      </c>
      <c r="B9" t="s">
        <v>41</v>
      </c>
      <c r="C9" t="s">
        <v>44</v>
      </c>
      <c r="D9" t="s">
        <v>43</v>
      </c>
      <c r="E9" t="s">
        <v>2</v>
      </c>
      <c r="F9" t="s">
        <v>2</v>
      </c>
      <c r="J9" t="s">
        <v>1</v>
      </c>
      <c r="K9" t="s">
        <v>2</v>
      </c>
    </row>
    <row r="10" spans="1:25" x14ac:dyDescent="0.35">
      <c r="A10">
        <v>9</v>
      </c>
      <c r="B10" t="s">
        <v>41</v>
      </c>
      <c r="C10" t="s">
        <v>44</v>
      </c>
      <c r="D10" t="s">
        <v>29</v>
      </c>
      <c r="E10" t="s">
        <v>2</v>
      </c>
      <c r="F10" t="s">
        <v>2</v>
      </c>
      <c r="I10" t="s">
        <v>33</v>
      </c>
      <c r="J10">
        <f>COUNTIFS(Table1[CloudTomorrow], "Cloudy",Table1[Sunshine],"Sunny")</f>
        <v>0</v>
      </c>
      <c r="K10">
        <f>COUNTIFS(Table1[CloudTomorrow], "Not Cloudy",Table1[Sunshine],"Not Sunny")</f>
        <v>9</v>
      </c>
    </row>
    <row r="11" spans="1:25" x14ac:dyDescent="0.35">
      <c r="A11">
        <v>10</v>
      </c>
      <c r="B11" t="s">
        <v>41</v>
      </c>
      <c r="C11" t="s">
        <v>42</v>
      </c>
      <c r="D11" t="s">
        <v>29</v>
      </c>
      <c r="E11" t="s">
        <v>1</v>
      </c>
      <c r="F11" t="s">
        <v>1</v>
      </c>
      <c r="I11" t="s">
        <v>41</v>
      </c>
      <c r="J11">
        <f>COUNTIFS(Table1[CloudTomorrow], "Cloudy",Table1[Sunshine],"Not Sunny")</f>
        <v>4</v>
      </c>
      <c r="K11">
        <f>COUNTIFS(Table1[CloudTomorrow], "Not Cloudy",Table1[Sunshine],"Sunny")</f>
        <v>2</v>
      </c>
    </row>
    <row r="12" spans="1:25" x14ac:dyDescent="0.35">
      <c r="A12">
        <v>11</v>
      </c>
      <c r="B12" t="s">
        <v>41</v>
      </c>
      <c r="C12" t="s">
        <v>44</v>
      </c>
      <c r="D12" t="s">
        <v>43</v>
      </c>
      <c r="E12" t="s">
        <v>2</v>
      </c>
      <c r="F12" t="s">
        <v>2</v>
      </c>
    </row>
    <row r="13" spans="1:25" x14ac:dyDescent="0.35">
      <c r="A13">
        <v>12</v>
      </c>
      <c r="B13" t="s">
        <v>41</v>
      </c>
      <c r="C13" t="s">
        <v>44</v>
      </c>
      <c r="D13" t="s">
        <v>29</v>
      </c>
      <c r="E13" t="s">
        <v>2</v>
      </c>
      <c r="F13" t="s">
        <v>1</v>
      </c>
    </row>
    <row r="14" spans="1:25" x14ac:dyDescent="0.35">
      <c r="A14">
        <v>13</v>
      </c>
      <c r="B14" t="s">
        <v>33</v>
      </c>
      <c r="C14" t="s">
        <v>44</v>
      </c>
      <c r="D14" t="s">
        <v>29</v>
      </c>
      <c r="E14" t="s">
        <v>1</v>
      </c>
      <c r="F14" t="s">
        <v>2</v>
      </c>
    </row>
    <row r="15" spans="1:25" x14ac:dyDescent="0.35">
      <c r="A15">
        <v>14</v>
      </c>
      <c r="B15" t="s">
        <v>41</v>
      </c>
      <c r="C15" t="s">
        <v>42</v>
      </c>
      <c r="D15" t="s">
        <v>29</v>
      </c>
      <c r="E15" t="s">
        <v>1</v>
      </c>
      <c r="F15" t="s">
        <v>1</v>
      </c>
      <c r="N15" t="s">
        <v>33</v>
      </c>
      <c r="R15" t="s">
        <v>39</v>
      </c>
      <c r="U15" s="35" t="s">
        <v>36</v>
      </c>
      <c r="V15" s="35" t="s">
        <v>40</v>
      </c>
      <c r="W15" s="35" t="s">
        <v>37</v>
      </c>
      <c r="X15" s="35" t="s">
        <v>39</v>
      </c>
      <c r="Y15" s="35" t="s">
        <v>38</v>
      </c>
    </row>
    <row r="16" spans="1:25" x14ac:dyDescent="0.35">
      <c r="A16">
        <v>15</v>
      </c>
      <c r="B16" t="s">
        <v>41</v>
      </c>
      <c r="C16" t="s">
        <v>42</v>
      </c>
      <c r="D16" t="s">
        <v>43</v>
      </c>
      <c r="E16" t="s">
        <v>2</v>
      </c>
      <c r="F16" t="s">
        <v>2</v>
      </c>
      <c r="I16" t="s">
        <v>37</v>
      </c>
      <c r="J16" t="s">
        <v>1</v>
      </c>
      <c r="K16" t="s">
        <v>2</v>
      </c>
      <c r="M16" t="s">
        <v>37</v>
      </c>
      <c r="N16" t="s">
        <v>1</v>
      </c>
      <c r="O16" t="s">
        <v>2</v>
      </c>
      <c r="Q16" t="s">
        <v>37</v>
      </c>
      <c r="R16" t="s">
        <v>1</v>
      </c>
      <c r="S16" t="s">
        <v>2</v>
      </c>
      <c r="U16" s="31" t="s">
        <v>41</v>
      </c>
      <c r="V16" s="31" t="s">
        <v>42</v>
      </c>
      <c r="W16" s="31" t="s">
        <v>29</v>
      </c>
      <c r="X16" s="31" t="s">
        <v>1</v>
      </c>
      <c r="Y16" s="31" t="s">
        <v>2</v>
      </c>
    </row>
    <row r="17" spans="1:25" x14ac:dyDescent="0.35">
      <c r="A17">
        <v>16</v>
      </c>
      <c r="I17" t="s">
        <v>29</v>
      </c>
      <c r="J17">
        <f>COUNTIFS(Table1[CloudTomorrow], "Cloudy",Table1[Pressure],"High")</f>
        <v>3</v>
      </c>
      <c r="K17">
        <f>COUNTIFS(Table1[CloudTomorrow], "Not Cloudy",Table1[Pressure],"High")</f>
        <v>7</v>
      </c>
      <c r="M17" t="s">
        <v>29</v>
      </c>
      <c r="N17">
        <v>0</v>
      </c>
      <c r="O17">
        <v>2</v>
      </c>
      <c r="Q17" t="s">
        <v>29</v>
      </c>
      <c r="R17">
        <v>3</v>
      </c>
      <c r="S17">
        <v>3</v>
      </c>
      <c r="U17" s="32" t="s">
        <v>41</v>
      </c>
      <c r="V17" s="32" t="s">
        <v>42</v>
      </c>
      <c r="W17" s="32" t="s">
        <v>29</v>
      </c>
      <c r="X17" s="32" t="s">
        <v>1</v>
      </c>
      <c r="Y17" s="32" t="s">
        <v>1</v>
      </c>
    </row>
    <row r="18" spans="1:25" x14ac:dyDescent="0.35">
      <c r="A18">
        <v>17</v>
      </c>
      <c r="I18" t="s">
        <v>43</v>
      </c>
      <c r="J18">
        <f>COUNTIFS(Table1[CloudTomorrow], "Cloudy",Table1[Pressure],"Not High")</f>
        <v>1</v>
      </c>
      <c r="K18">
        <f>COUNTIFS(Table1[CloudTomorrow], "Not Cloudy",Table1[Pressure],"Not High")</f>
        <v>4</v>
      </c>
      <c r="M18" t="s">
        <v>43</v>
      </c>
      <c r="N18">
        <v>0</v>
      </c>
      <c r="O18">
        <v>0</v>
      </c>
      <c r="Q18" t="s">
        <v>43</v>
      </c>
      <c r="R18">
        <v>0</v>
      </c>
      <c r="S18">
        <v>1</v>
      </c>
      <c r="U18" s="32" t="s">
        <v>41</v>
      </c>
      <c r="V18" s="32" t="s">
        <v>42</v>
      </c>
      <c r="W18" s="32" t="s">
        <v>29</v>
      </c>
      <c r="X18" s="32" t="s">
        <v>1</v>
      </c>
      <c r="Y18" s="32" t="s">
        <v>1</v>
      </c>
    </row>
    <row r="19" spans="1:25" x14ac:dyDescent="0.35">
      <c r="A19">
        <v>18</v>
      </c>
      <c r="U19" s="31" t="s">
        <v>33</v>
      </c>
      <c r="V19" s="31" t="s">
        <v>44</v>
      </c>
      <c r="W19" s="31" t="s">
        <v>29</v>
      </c>
      <c r="X19" s="31" t="s">
        <v>1</v>
      </c>
      <c r="Y19" s="31" t="s">
        <v>2</v>
      </c>
    </row>
    <row r="20" spans="1:25" x14ac:dyDescent="0.35">
      <c r="A20">
        <v>19</v>
      </c>
      <c r="N20" t="s">
        <v>41</v>
      </c>
      <c r="R20" t="s">
        <v>47</v>
      </c>
      <c r="U20" s="31" t="s">
        <v>41</v>
      </c>
      <c r="V20" s="31" t="s">
        <v>42</v>
      </c>
      <c r="W20" s="31" t="s">
        <v>43</v>
      </c>
      <c r="X20" s="31" t="s">
        <v>2</v>
      </c>
      <c r="Y20" s="31" t="s">
        <v>2</v>
      </c>
    </row>
    <row r="21" spans="1:25" x14ac:dyDescent="0.35">
      <c r="A21">
        <v>20</v>
      </c>
      <c r="I21" t="s">
        <v>39</v>
      </c>
      <c r="J21" t="s">
        <v>1</v>
      </c>
      <c r="K21" t="s">
        <v>2</v>
      </c>
      <c r="M21" t="s">
        <v>37</v>
      </c>
      <c r="N21" t="s">
        <v>1</v>
      </c>
      <c r="O21" t="s">
        <v>2</v>
      </c>
      <c r="Q21" t="s">
        <v>37</v>
      </c>
      <c r="R21" t="s">
        <v>1</v>
      </c>
      <c r="S21" t="s">
        <v>2</v>
      </c>
      <c r="U21" s="32" t="s">
        <v>41</v>
      </c>
      <c r="V21" s="32" t="s">
        <v>44</v>
      </c>
      <c r="W21" s="32" t="s">
        <v>29</v>
      </c>
      <c r="X21" s="32" t="s">
        <v>1</v>
      </c>
      <c r="Y21" s="32" t="s">
        <v>2</v>
      </c>
    </row>
    <row r="22" spans="1:25" x14ac:dyDescent="0.35">
      <c r="I22" t="s">
        <v>1</v>
      </c>
      <c r="J22">
        <f>COUNTIFS(Table1[CloudTomorrow], "Cloudy",Table1[Cold],"Yes")</f>
        <v>2</v>
      </c>
      <c r="K22">
        <f>COUNTIFS(Table1[CloudTomorrow], "Not Cloudy",Table1[Cold],"Yes")</f>
        <v>1</v>
      </c>
      <c r="M22" t="s">
        <v>29</v>
      </c>
      <c r="N22">
        <v>3</v>
      </c>
      <c r="O22">
        <v>5</v>
      </c>
      <c r="Q22" t="s">
        <v>29</v>
      </c>
      <c r="R22">
        <v>0</v>
      </c>
      <c r="S22">
        <v>4</v>
      </c>
      <c r="U22" s="32" t="s">
        <v>41</v>
      </c>
      <c r="V22" s="32" t="s">
        <v>44</v>
      </c>
      <c r="W22" s="32" t="s">
        <v>29</v>
      </c>
      <c r="X22" s="32" t="s">
        <v>2</v>
      </c>
      <c r="Y22" s="32" t="s">
        <v>2</v>
      </c>
    </row>
    <row r="23" spans="1:25" x14ac:dyDescent="0.35">
      <c r="I23" t="s">
        <v>2</v>
      </c>
      <c r="J23">
        <f>COUNTIFS(Table1[CloudTomorrow], "Cloudy",Table1[Cold],"No")</f>
        <v>2</v>
      </c>
      <c r="K23">
        <f>COUNTIFS(Table1[CloudTomorrow], "Not Cloudy",Table1[Cold],"No")</f>
        <v>10</v>
      </c>
      <c r="M23" t="s">
        <v>43</v>
      </c>
      <c r="N23">
        <v>1</v>
      </c>
      <c r="O23">
        <v>4</v>
      </c>
      <c r="Q23" t="s">
        <v>43</v>
      </c>
      <c r="R23">
        <v>1</v>
      </c>
      <c r="S23">
        <v>3</v>
      </c>
      <c r="U23" s="32" t="s">
        <v>41</v>
      </c>
      <c r="V23" s="32" t="s">
        <v>44</v>
      </c>
      <c r="W23" s="32" t="s">
        <v>29</v>
      </c>
      <c r="X23" s="32" t="s">
        <v>2</v>
      </c>
      <c r="Y23" s="32" t="s">
        <v>2</v>
      </c>
    </row>
    <row r="24" spans="1:25" x14ac:dyDescent="0.35">
      <c r="U24" s="32" t="s">
        <v>41</v>
      </c>
      <c r="V24" s="32" t="s">
        <v>44</v>
      </c>
      <c r="W24" s="32" t="s">
        <v>29</v>
      </c>
      <c r="X24" s="32" t="s">
        <v>2</v>
      </c>
      <c r="Y24" s="32" t="s">
        <v>1</v>
      </c>
    </row>
    <row r="25" spans="1:25" x14ac:dyDescent="0.35">
      <c r="U25" s="31" t="s">
        <v>41</v>
      </c>
      <c r="V25" s="31" t="s">
        <v>44</v>
      </c>
      <c r="W25" s="31" t="s">
        <v>29</v>
      </c>
      <c r="X25" s="31" t="s">
        <v>2</v>
      </c>
      <c r="Y25" s="31" t="s">
        <v>2</v>
      </c>
    </row>
    <row r="26" spans="1:25" x14ac:dyDescent="0.35">
      <c r="I26" t="s">
        <v>38</v>
      </c>
      <c r="J26" t="s">
        <v>1</v>
      </c>
      <c r="K26" t="s">
        <v>2</v>
      </c>
      <c r="U26" s="31" t="s">
        <v>41</v>
      </c>
      <c r="V26" s="31" t="s">
        <v>44</v>
      </c>
      <c r="W26" s="31" t="s">
        <v>43</v>
      </c>
      <c r="X26" s="31" t="s">
        <v>1</v>
      </c>
      <c r="Y26" s="31" t="s">
        <v>2</v>
      </c>
    </row>
    <row r="27" spans="1:25" x14ac:dyDescent="0.35">
      <c r="I27" t="s">
        <v>1</v>
      </c>
      <c r="J27">
        <f>COUNTIFS(Table1[CloudTomorrow], "Cloudy",Table1[Windy],"Yes")</f>
        <v>3</v>
      </c>
      <c r="K27">
        <f>COUNTIFS(Table1[CloudTomorrow], "Not Cloudy",Table1[Windy],"Yes")</f>
        <v>4</v>
      </c>
      <c r="N27" t="s">
        <v>33</v>
      </c>
      <c r="R27" t="s">
        <v>39</v>
      </c>
      <c r="U27" s="31" t="s">
        <v>41</v>
      </c>
      <c r="V27" s="31" t="s">
        <v>44</v>
      </c>
      <c r="W27" s="31" t="s">
        <v>43</v>
      </c>
      <c r="X27" s="31" t="s">
        <v>2</v>
      </c>
      <c r="Y27" s="31" t="s">
        <v>2</v>
      </c>
    </row>
    <row r="28" spans="1:25" x14ac:dyDescent="0.35">
      <c r="I28" t="s">
        <v>2</v>
      </c>
      <c r="J28">
        <f>COUNTIFS(Table1[CloudTomorrow], "Cloudy",Table1[Windy],"No")</f>
        <v>1</v>
      </c>
      <c r="K28">
        <f>COUNTIFS(Table1[CloudTomorrow], "Not Cloudy",Table1[Windy],"No")</f>
        <v>7</v>
      </c>
      <c r="M28" t="s">
        <v>39</v>
      </c>
      <c r="N28" t="s">
        <v>1</v>
      </c>
      <c r="O28" t="s">
        <v>2</v>
      </c>
      <c r="Q28" t="s">
        <v>38</v>
      </c>
      <c r="R28" t="s">
        <v>1</v>
      </c>
      <c r="S28" t="s">
        <v>2</v>
      </c>
      <c r="U28" s="31" t="s">
        <v>33</v>
      </c>
      <c r="V28" s="31" t="s">
        <v>44</v>
      </c>
      <c r="W28" s="31" t="s">
        <v>29</v>
      </c>
      <c r="X28" s="31" t="s">
        <v>1</v>
      </c>
      <c r="Y28" s="31" t="s">
        <v>2</v>
      </c>
    </row>
    <row r="29" spans="1:25" x14ac:dyDescent="0.35">
      <c r="M29" t="s">
        <v>1</v>
      </c>
      <c r="N29">
        <v>0</v>
      </c>
      <c r="O29">
        <v>2</v>
      </c>
      <c r="Q29" t="s">
        <v>1</v>
      </c>
      <c r="R29">
        <v>2</v>
      </c>
      <c r="S29">
        <v>0</v>
      </c>
      <c r="U29" s="32" t="s">
        <v>41</v>
      </c>
      <c r="V29" s="32" t="s">
        <v>44</v>
      </c>
      <c r="W29" s="32" t="s">
        <v>43</v>
      </c>
      <c r="X29" s="32" t="s">
        <v>2</v>
      </c>
      <c r="Y29" s="32" t="s">
        <v>2</v>
      </c>
    </row>
    <row r="30" spans="1:25" x14ac:dyDescent="0.35">
      <c r="M30" t="s">
        <v>2</v>
      </c>
      <c r="N30">
        <v>0</v>
      </c>
      <c r="O30">
        <v>0</v>
      </c>
      <c r="Q30" t="s">
        <v>2</v>
      </c>
      <c r="R30">
        <v>1</v>
      </c>
      <c r="S30">
        <v>4</v>
      </c>
      <c r="U30" s="36" t="s">
        <v>41</v>
      </c>
      <c r="V30" s="36" t="s">
        <v>44</v>
      </c>
      <c r="W30" s="36" t="s">
        <v>43</v>
      </c>
      <c r="X30" s="36" t="s">
        <v>2</v>
      </c>
      <c r="Y30" s="36" t="s">
        <v>2</v>
      </c>
    </row>
    <row r="32" spans="1:25" x14ac:dyDescent="0.35">
      <c r="N32" t="s">
        <v>41</v>
      </c>
      <c r="R32" t="s">
        <v>47</v>
      </c>
    </row>
    <row r="33" spans="13:19" x14ac:dyDescent="0.35">
      <c r="M33" t="s">
        <v>39</v>
      </c>
      <c r="N33" t="s">
        <v>1</v>
      </c>
      <c r="O33" t="s">
        <v>2</v>
      </c>
      <c r="Q33" t="s">
        <v>38</v>
      </c>
      <c r="R33" t="s">
        <v>1</v>
      </c>
      <c r="S33" t="s">
        <v>2</v>
      </c>
    </row>
    <row r="34" spans="13:19" x14ac:dyDescent="0.35">
      <c r="M34" t="s">
        <v>1</v>
      </c>
      <c r="N34">
        <v>3</v>
      </c>
      <c r="O34">
        <v>2</v>
      </c>
      <c r="Q34" t="s">
        <v>1</v>
      </c>
      <c r="R34">
        <v>0</v>
      </c>
      <c r="S34">
        <v>1</v>
      </c>
    </row>
    <row r="35" spans="13:19" x14ac:dyDescent="0.35">
      <c r="M35" t="s">
        <v>2</v>
      </c>
      <c r="N35">
        <v>1</v>
      </c>
      <c r="O35">
        <v>7</v>
      </c>
      <c r="Q35" t="s">
        <v>2</v>
      </c>
      <c r="R35">
        <v>1</v>
      </c>
      <c r="S35">
        <v>6</v>
      </c>
    </row>
    <row r="39" spans="13:19" x14ac:dyDescent="0.35">
      <c r="N39" t="s">
        <v>33</v>
      </c>
    </row>
    <row r="40" spans="13:19" x14ac:dyDescent="0.35">
      <c r="M40" t="s">
        <v>38</v>
      </c>
      <c r="N40" t="s">
        <v>1</v>
      </c>
      <c r="O40" t="s">
        <v>2</v>
      </c>
    </row>
    <row r="41" spans="13:19" x14ac:dyDescent="0.35">
      <c r="M41" t="s">
        <v>1</v>
      </c>
      <c r="N41">
        <v>0</v>
      </c>
      <c r="O41">
        <v>0</v>
      </c>
    </row>
    <row r="42" spans="13:19" x14ac:dyDescent="0.35">
      <c r="M42" t="s">
        <v>2</v>
      </c>
      <c r="N42">
        <v>0</v>
      </c>
      <c r="O42">
        <v>2</v>
      </c>
    </row>
    <row r="44" spans="13:19" x14ac:dyDescent="0.35">
      <c r="N44" t="s">
        <v>41</v>
      </c>
    </row>
    <row r="45" spans="13:19" x14ac:dyDescent="0.35">
      <c r="M45" t="s">
        <v>38</v>
      </c>
      <c r="N45" t="s">
        <v>1</v>
      </c>
      <c r="O45" t="s">
        <v>2</v>
      </c>
    </row>
    <row r="46" spans="13:19" x14ac:dyDescent="0.35">
      <c r="M46" t="s">
        <v>1</v>
      </c>
      <c r="N46">
        <v>2</v>
      </c>
      <c r="O46">
        <v>1</v>
      </c>
    </row>
    <row r="47" spans="13:19" x14ac:dyDescent="0.35">
      <c r="M47" t="s">
        <v>2</v>
      </c>
      <c r="N47">
        <v>2</v>
      </c>
      <c r="O47">
        <v>8</v>
      </c>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DTree Calcs (2)</vt:lpstr>
      <vt:lpstr>DTree Calcs</vt:lpstr>
      <vt:lpstr>Sheet1</vt:lpstr>
      <vt:lpstr>Sheet2</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Betts</dc:creator>
  <cp:lastModifiedBy>Jason Siu</cp:lastModifiedBy>
  <dcterms:created xsi:type="dcterms:W3CDTF">2015-08-29T05:51:20Z</dcterms:created>
  <dcterms:modified xsi:type="dcterms:W3CDTF">2021-05-19T05:56:44Z</dcterms:modified>
</cp:coreProperties>
</file>