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C:\Users\sjsa3\Desktop\Shared_with_Mac\year2_sem1\FIT3152\Assignment 2\Q9\ID3\"/>
    </mc:Choice>
  </mc:AlternateContent>
  <xr:revisionPtr revIDLastSave="0" documentId="13_ncr:1_{24DAB2B4-44B4-4C6A-9E99-031CE1A650FA}" xr6:coauthVersionLast="46" xr6:coauthVersionMax="46" xr10:uidLastSave="{00000000-0000-0000-0000-000000000000}"/>
  <bookViews>
    <workbookView xWindow="-110" yWindow="-110" windowWidth="19420" windowHeight="11020" tabRatio="500" activeTab="4" xr2:uid="{00000000-000D-0000-FFFF-FFFF00000000}"/>
  </bookViews>
  <sheets>
    <sheet name="Cold" sheetId="1" r:id="rId1"/>
    <sheet name="Sunny" sheetId="5" r:id="rId2"/>
    <sheet name="Sheet2" sheetId="3" r:id="rId3"/>
    <sheet name="Sheet3" sheetId="4" r:id="rId4"/>
    <sheet name="Sheet4" sheetId="6" r:id="rId5"/>
  </sheets>
  <definedNames>
    <definedName name="Slicer_CloudTomorrow">#N/A</definedName>
    <definedName name="Slicer_CloudTomorrow1">#N/A</definedName>
    <definedName name="Slicer_Cold">#N/A</definedName>
    <definedName name="Slicer_Cold1">#N/A</definedName>
    <definedName name="Slicer_Pressure">#N/A</definedName>
    <definedName name="Slicer_Pressure1">#N/A</definedName>
    <definedName name="Slicer_Sunshine">#N/A</definedName>
    <definedName name="Slicer_Sunshine1">#N/A</definedName>
    <definedName name="Slicer_Windy">#N/A</definedName>
    <definedName name="Slicer_Windy1">#N/A</definedName>
  </definedNames>
  <calcPr calcId="191029"/>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4:slicerCache r:id="rId13"/>
        <x14:slicerCache r:id="rId14"/>
        <x14:slicerCache r:id="rId1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08" i="5" l="1"/>
  <c r="C107" i="5"/>
  <c r="B108" i="5"/>
  <c r="B107" i="5"/>
  <c r="C101" i="5"/>
  <c r="C100" i="5"/>
  <c r="B101" i="5"/>
  <c r="B100" i="5"/>
  <c r="C88" i="5"/>
  <c r="C87" i="5"/>
  <c r="B88" i="5"/>
  <c r="B87" i="5"/>
  <c r="C81" i="5"/>
  <c r="C80" i="5"/>
  <c r="B81" i="5"/>
  <c r="B80" i="5"/>
  <c r="C69" i="5"/>
  <c r="C68" i="5"/>
  <c r="C63" i="5"/>
  <c r="C62" i="5"/>
  <c r="C56" i="5"/>
  <c r="C55" i="5"/>
  <c r="B69" i="5"/>
  <c r="B68" i="5"/>
  <c r="B63" i="5"/>
  <c r="B62" i="5"/>
  <c r="B56" i="5"/>
  <c r="B55" i="5"/>
  <c r="C46" i="5"/>
  <c r="C45" i="5"/>
  <c r="B46" i="5"/>
  <c r="B45" i="5"/>
  <c r="C40" i="5"/>
  <c r="C39" i="5"/>
  <c r="B40" i="5"/>
  <c r="B39" i="5"/>
  <c r="C32" i="5"/>
  <c r="C33" i="5"/>
  <c r="B33" i="5"/>
  <c r="B32" i="5"/>
  <c r="C27" i="5"/>
  <c r="B27" i="5"/>
  <c r="C26" i="5"/>
  <c r="B26" i="5"/>
  <c r="C20" i="5"/>
  <c r="B20" i="5"/>
  <c r="C19" i="5"/>
  <c r="B19" i="5"/>
  <c r="C14" i="5"/>
  <c r="B14" i="5"/>
  <c r="C13" i="5"/>
  <c r="B13" i="5"/>
  <c r="C8" i="5"/>
  <c r="B8" i="5"/>
  <c r="C7" i="5"/>
  <c r="B7" i="5"/>
  <c r="F4" i="5"/>
  <c r="D4" i="5"/>
  <c r="F1" i="5"/>
  <c r="C29" i="1"/>
  <c r="C28" i="1"/>
  <c r="B29" i="1"/>
  <c r="B28" i="1"/>
  <c r="C20" i="1"/>
  <c r="B7" i="1"/>
  <c r="C7" i="1"/>
  <c r="C8" i="1"/>
  <c r="B8" i="1"/>
  <c r="C14" i="1"/>
  <c r="C21" i="1"/>
  <c r="B21" i="1"/>
  <c r="B20" i="1"/>
  <c r="C15" i="1"/>
  <c r="B15" i="1"/>
  <c r="B14" i="1"/>
  <c r="F102" i="1"/>
  <c r="D102" i="1"/>
  <c r="F101" i="1"/>
  <c r="D101" i="1"/>
  <c r="F96" i="1"/>
  <c r="D96" i="1"/>
  <c r="E96" i="1" s="1"/>
  <c r="F95" i="1"/>
  <c r="D95" i="1"/>
  <c r="E95" i="1" s="1"/>
  <c r="D108" i="5" l="1"/>
  <c r="E108" i="5" s="1"/>
  <c r="D107" i="5"/>
  <c r="E107" i="5" s="1"/>
  <c r="F108" i="5"/>
  <c r="G108" i="5" s="1"/>
  <c r="F107" i="5"/>
  <c r="G107" i="5" s="1"/>
  <c r="D101" i="5"/>
  <c r="E101" i="5" s="1"/>
  <c r="D100" i="5"/>
  <c r="E100" i="5" s="1"/>
  <c r="F101" i="5"/>
  <c r="G101" i="5" s="1"/>
  <c r="F100" i="5"/>
  <c r="G100" i="5" s="1"/>
  <c r="F87" i="5"/>
  <c r="G87" i="5" s="1"/>
  <c r="F81" i="5"/>
  <c r="G81" i="5" s="1"/>
  <c r="D88" i="5"/>
  <c r="E88" i="5" s="1"/>
  <c r="D80" i="5"/>
  <c r="E80" i="5" s="1"/>
  <c r="G4" i="5"/>
  <c r="E4" i="5"/>
  <c r="D87" i="5"/>
  <c r="E87" i="5" s="1"/>
  <c r="F8" i="5"/>
  <c r="G8" i="5" s="1"/>
  <c r="D14" i="5"/>
  <c r="E14" i="5" s="1"/>
  <c r="F26" i="5"/>
  <c r="G26" i="5" s="1"/>
  <c r="F80" i="5"/>
  <c r="G80" i="5" s="1"/>
  <c r="D81" i="5"/>
  <c r="E81" i="5" s="1"/>
  <c r="F27" i="5"/>
  <c r="G27" i="5" s="1"/>
  <c r="F7" i="5"/>
  <c r="G7" i="5" s="1"/>
  <c r="F13" i="5"/>
  <c r="G13" i="5" s="1"/>
  <c r="F88" i="5"/>
  <c r="G88" i="5" s="1"/>
  <c r="D27" i="5"/>
  <c r="E27" i="5" s="1"/>
  <c r="D7" i="5"/>
  <c r="E7" i="5" s="1"/>
  <c r="F20" i="5"/>
  <c r="G20" i="5" s="1"/>
  <c r="D13" i="5"/>
  <c r="E13" i="5" s="1"/>
  <c r="D19" i="5"/>
  <c r="E19" i="5" s="1"/>
  <c r="D26" i="5"/>
  <c r="E26" i="5" s="1"/>
  <c r="D8" i="5"/>
  <c r="E8" i="5" s="1"/>
  <c r="F14" i="5"/>
  <c r="G14" i="5" s="1"/>
  <c r="F19" i="5"/>
  <c r="G19" i="5" s="1"/>
  <c r="D20" i="5"/>
  <c r="E20" i="5" s="1"/>
  <c r="F69" i="5"/>
  <c r="G69" i="5" s="1"/>
  <c r="D68" i="5"/>
  <c r="E68" i="5" s="1"/>
  <c r="F63" i="5"/>
  <c r="G63" i="5" s="1"/>
  <c r="D62" i="5"/>
  <c r="E62" i="5" s="1"/>
  <c r="D56" i="5"/>
  <c r="E56" i="5" s="1"/>
  <c r="F68" i="5"/>
  <c r="G68" i="5" s="1"/>
  <c r="F62" i="5"/>
  <c r="G62" i="5" s="1"/>
  <c r="F56" i="5"/>
  <c r="G56" i="5" s="1"/>
  <c r="F55" i="5"/>
  <c r="G55" i="5" s="1"/>
  <c r="D69" i="5"/>
  <c r="E69" i="5" s="1"/>
  <c r="D63" i="5"/>
  <c r="E63" i="5" s="1"/>
  <c r="D46" i="5"/>
  <c r="E46" i="5" s="1"/>
  <c r="D45" i="5"/>
  <c r="E45" i="5" s="1"/>
  <c r="F46" i="5"/>
  <c r="G46" i="5" s="1"/>
  <c r="F45" i="5"/>
  <c r="G45" i="5" s="1"/>
  <c r="D40" i="5"/>
  <c r="E40" i="5" s="1"/>
  <c r="D39" i="5"/>
  <c r="E39" i="5" s="1"/>
  <c r="F40" i="5"/>
  <c r="G40" i="5" s="1"/>
  <c r="F39" i="5"/>
  <c r="G39" i="5" s="1"/>
  <c r="D33" i="5"/>
  <c r="E33" i="5" s="1"/>
  <c r="F33" i="5"/>
  <c r="G33" i="5" s="1"/>
  <c r="F32" i="5"/>
  <c r="G32" i="5" s="1"/>
  <c r="D32" i="5"/>
  <c r="E32" i="5" s="1"/>
  <c r="D55" i="5"/>
  <c r="F71" i="1"/>
  <c r="D71" i="1"/>
  <c r="F70" i="1"/>
  <c r="F65" i="1"/>
  <c r="F64" i="1"/>
  <c r="D64" i="1"/>
  <c r="B58" i="1"/>
  <c r="D58" i="1" s="1"/>
  <c r="C57" i="1"/>
  <c r="F57" i="1" s="1"/>
  <c r="G57" i="1" s="1"/>
  <c r="D57" i="1"/>
  <c r="F48" i="1"/>
  <c r="D48" i="1"/>
  <c r="D47" i="1"/>
  <c r="F87" i="1"/>
  <c r="D87" i="1"/>
  <c r="F86" i="1"/>
  <c r="D86" i="1"/>
  <c r="B35" i="1"/>
  <c r="K23" i="3"/>
  <c r="K22" i="3"/>
  <c r="J23" i="3"/>
  <c r="J22" i="3"/>
  <c r="K7" i="3"/>
  <c r="J7" i="3"/>
  <c r="H81" i="5" l="1"/>
  <c r="H8" i="5"/>
  <c r="H101" i="5"/>
  <c r="H108" i="5"/>
  <c r="H107" i="5"/>
  <c r="H100" i="5"/>
  <c r="H102" i="5" s="1"/>
  <c r="H87" i="5"/>
  <c r="H26" i="5"/>
  <c r="H7" i="5"/>
  <c r="H9" i="5" s="1"/>
  <c r="H10" i="5" s="1"/>
  <c r="H4" i="5"/>
  <c r="H80" i="5"/>
  <c r="H82" i="5" s="1"/>
  <c r="H83" i="5" s="1"/>
  <c r="H20" i="5"/>
  <c r="H13" i="5"/>
  <c r="H27" i="5"/>
  <c r="H28" i="5" s="1"/>
  <c r="H29" i="5" s="1"/>
  <c r="H88" i="5"/>
  <c r="H89" i="5" s="1"/>
  <c r="H90" i="5" s="1"/>
  <c r="H19" i="5"/>
  <c r="H21" i="5" s="1"/>
  <c r="H22" i="5" s="1"/>
  <c r="H40" i="5"/>
  <c r="H14" i="5"/>
  <c r="H45" i="5"/>
  <c r="H46" i="5"/>
  <c r="H69" i="5"/>
  <c r="H63" i="5"/>
  <c r="H68" i="5"/>
  <c r="H62" i="5"/>
  <c r="H56" i="5"/>
  <c r="H39" i="5"/>
  <c r="H33" i="5"/>
  <c r="H32" i="5"/>
  <c r="H34" i="5" s="1"/>
  <c r="H35" i="5" s="1"/>
  <c r="E55" i="5"/>
  <c r="H55" i="5" s="1"/>
  <c r="F58" i="1"/>
  <c r="D65" i="1"/>
  <c r="E58" i="1"/>
  <c r="D70" i="1"/>
  <c r="F47" i="1"/>
  <c r="E86" i="1"/>
  <c r="D80" i="1"/>
  <c r="D81" i="1"/>
  <c r="F81" i="1"/>
  <c r="F80" i="1"/>
  <c r="F42" i="1"/>
  <c r="D41" i="1"/>
  <c r="F41" i="1"/>
  <c r="D42" i="1"/>
  <c r="H103" i="5" l="1"/>
  <c r="H15" i="5"/>
  <c r="H16" i="5" s="1"/>
  <c r="H109" i="5"/>
  <c r="H110" i="5" s="1"/>
  <c r="H47" i="5"/>
  <c r="H48" i="5" s="1"/>
  <c r="H41" i="5"/>
  <c r="H42" i="5" s="1"/>
  <c r="H70" i="5"/>
  <c r="H71" i="5" s="1"/>
  <c r="H64" i="5"/>
  <c r="H65" i="5" s="1"/>
  <c r="H57" i="5"/>
  <c r="H58" i="5" s="1"/>
  <c r="F29" i="1"/>
  <c r="D4" i="1"/>
  <c r="F28" i="1" l="1"/>
  <c r="D28" i="1"/>
  <c r="K18" i="3"/>
  <c r="F14" i="1"/>
  <c r="J10" i="3"/>
  <c r="K28" i="3"/>
  <c r="J28" i="3"/>
  <c r="K27" i="3"/>
  <c r="J27" i="3"/>
  <c r="J18" i="3"/>
  <c r="K17" i="3"/>
  <c r="J17" i="3"/>
  <c r="K11" i="3"/>
  <c r="J11" i="3"/>
  <c r="K10" i="3"/>
  <c r="F4" i="1"/>
  <c r="F1" i="1"/>
  <c r="D34" i="1"/>
  <c r="F34" i="1"/>
  <c r="G34" i="1" s="1"/>
  <c r="D35" i="1"/>
  <c r="E35" i="1" s="1"/>
  <c r="F35" i="1"/>
  <c r="D29" i="1"/>
  <c r="G96" i="1" l="1"/>
  <c r="H96" i="1" s="1"/>
  <c r="G95" i="1"/>
  <c r="H95" i="1" s="1"/>
  <c r="H97" i="1" s="1"/>
  <c r="G102" i="1"/>
  <c r="G101" i="1"/>
  <c r="E102" i="1"/>
  <c r="E101" i="1"/>
  <c r="H101" i="1" s="1"/>
  <c r="G64" i="1"/>
  <c r="E57" i="1"/>
  <c r="H57" i="1" s="1"/>
  <c r="G41" i="1"/>
  <c r="G58" i="1"/>
  <c r="H58" i="1" s="1"/>
  <c r="G80" i="1"/>
  <c r="G14" i="1"/>
  <c r="E71" i="1"/>
  <c r="G71" i="1"/>
  <c r="G65" i="1"/>
  <c r="G70" i="1"/>
  <c r="E64" i="1"/>
  <c r="H64" i="1" s="1"/>
  <c r="E65" i="1"/>
  <c r="E70" i="1"/>
  <c r="G35" i="1"/>
  <c r="H35" i="1" s="1"/>
  <c r="D7" i="1"/>
  <c r="E7" i="1" s="1"/>
  <c r="D20" i="1"/>
  <c r="E20" i="1" s="1"/>
  <c r="F15" i="1"/>
  <c r="G15" i="1" s="1"/>
  <c r="F8" i="1"/>
  <c r="G8" i="1" s="1"/>
  <c r="G48" i="1"/>
  <c r="E47" i="1"/>
  <c r="E48" i="1"/>
  <c r="G47" i="1"/>
  <c r="D21" i="1"/>
  <c r="E21" i="1" s="1"/>
  <c r="D14" i="1"/>
  <c r="E14" i="1" s="1"/>
  <c r="H14" i="1" s="1"/>
  <c r="F20" i="1"/>
  <c r="G20" i="1" s="1"/>
  <c r="D15" i="1"/>
  <c r="E29" i="1"/>
  <c r="F7" i="1"/>
  <c r="G7" i="1" s="1"/>
  <c r="F21" i="1"/>
  <c r="G21" i="1" s="1"/>
  <c r="D8" i="1"/>
  <c r="E34" i="1"/>
  <c r="H34" i="1" s="1"/>
  <c r="G86" i="1"/>
  <c r="H86" i="1" s="1"/>
  <c r="G87" i="1"/>
  <c r="E87" i="1"/>
  <c r="H87" i="1" s="1"/>
  <c r="E80" i="1"/>
  <c r="H80" i="1" s="1"/>
  <c r="E81" i="1"/>
  <c r="E42" i="1"/>
  <c r="E4" i="1"/>
  <c r="E41" i="1"/>
  <c r="H41" i="1" s="1"/>
  <c r="G29" i="1"/>
  <c r="G81" i="1"/>
  <c r="G42" i="1"/>
  <c r="G4" i="1"/>
  <c r="E28" i="1"/>
  <c r="G28" i="1"/>
  <c r="H59" i="1" l="1"/>
  <c r="H103" i="1"/>
  <c r="H102" i="1"/>
  <c r="H7" i="1"/>
  <c r="H70" i="1"/>
  <c r="H36" i="1"/>
  <c r="H28" i="1"/>
  <c r="H65" i="1"/>
  <c r="H66" i="1" s="1"/>
  <c r="H42" i="1"/>
  <c r="H43" i="1" s="1"/>
  <c r="H44" i="1" s="1"/>
  <c r="H21" i="1"/>
  <c r="H71" i="1"/>
  <c r="H29" i="1"/>
  <c r="H20" i="1"/>
  <c r="H22" i="1" s="1"/>
  <c r="H88" i="1"/>
  <c r="H48" i="1"/>
  <c r="H4" i="1"/>
  <c r="H98" i="1" s="1"/>
  <c r="H47" i="1"/>
  <c r="H49" i="1" s="1"/>
  <c r="H81" i="1"/>
  <c r="H82" i="1" s="1"/>
  <c r="H83" i="1" s="1"/>
  <c r="E8" i="1"/>
  <c r="H8" i="1" s="1"/>
  <c r="H9" i="1" s="1"/>
  <c r="H10" i="1" s="1"/>
  <c r="E15" i="1"/>
  <c r="H15" i="1" s="1"/>
  <c r="H16" i="1" s="1"/>
  <c r="H17" i="1" s="1"/>
  <c r="H67" i="1" l="1"/>
  <c r="H104" i="1"/>
  <c r="H30" i="1"/>
  <c r="H31" i="1" s="1"/>
  <c r="H72" i="1"/>
  <c r="H73" i="1" s="1"/>
  <c r="H74" i="1" s="1"/>
  <c r="H89" i="1"/>
  <c r="H23" i="1"/>
  <c r="H60" i="1"/>
  <c r="H50" i="1"/>
  <c r="H37" i="1"/>
</calcChain>
</file>

<file path=xl/sharedStrings.xml><?xml version="1.0" encoding="utf-8"?>
<sst xmlns="http://schemas.openxmlformats.org/spreadsheetml/2006/main" count="849" uniqueCount="64">
  <si>
    <t>Log Base</t>
  </si>
  <si>
    <t>Yes</t>
  </si>
  <si>
    <t>No</t>
  </si>
  <si>
    <t>P(Yes)</t>
  </si>
  <si>
    <t>Log2(Yes)</t>
  </si>
  <si>
    <t>P(No)</t>
  </si>
  <si>
    <t>Log2(No)</t>
  </si>
  <si>
    <t>Entropy</t>
  </si>
  <si>
    <t>Entropy(S)</t>
  </si>
  <si>
    <t>EEntropy(Outlook)</t>
  </si>
  <si>
    <t>EEntropyWind)</t>
  </si>
  <si>
    <t>EEntropy(Temp)</t>
  </si>
  <si>
    <t>Gain(Rain, Wind)</t>
  </si>
  <si>
    <t>High</t>
  </si>
  <si>
    <t>Sunny</t>
  </si>
  <si>
    <t>Initial State</t>
  </si>
  <si>
    <t>Sunshine</t>
  </si>
  <si>
    <t>Pressure</t>
  </si>
  <si>
    <t>Cold</t>
  </si>
  <si>
    <t>Windy</t>
  </si>
  <si>
    <t>CloudTomorrow</t>
  </si>
  <si>
    <t>Not Sunny</t>
  </si>
  <si>
    <t>Cloudy</t>
  </si>
  <si>
    <t>Not High</t>
  </si>
  <si>
    <t>Not Cloudy</t>
  </si>
  <si>
    <t>Not Windy</t>
  </si>
  <si>
    <t>Not Windy, Pressure</t>
  </si>
  <si>
    <t>Windy, Pressure</t>
  </si>
  <si>
    <t>Not Sunny, Pressure</t>
  </si>
  <si>
    <t>Gain(S, Cold)</t>
  </si>
  <si>
    <t>Gain(S, Pressure)</t>
  </si>
  <si>
    <t>Gain(S, Sunshine)</t>
  </si>
  <si>
    <t>Gain(Sunny, Windy)</t>
  </si>
  <si>
    <t>Not Cold, Wind</t>
  </si>
  <si>
    <t>Not Cold, Pressure</t>
  </si>
  <si>
    <t>Not Cold, Sunny</t>
  </si>
  <si>
    <t>layer 1 : Cold</t>
  </si>
  <si>
    <t xml:space="preserve"> Cold, Wind</t>
  </si>
  <si>
    <t xml:space="preserve"> Cold, Sunny</t>
  </si>
  <si>
    <t xml:space="preserve"> Cold, Pressure</t>
  </si>
  <si>
    <t>Layer : 2</t>
  </si>
  <si>
    <t>Sunny, Pressure</t>
  </si>
  <si>
    <t>Not Sunny, Wind</t>
  </si>
  <si>
    <t xml:space="preserve"> Sunny, Wind</t>
  </si>
  <si>
    <t xml:space="preserve"> Sunny, Pressure</t>
  </si>
  <si>
    <t>Not Sunny, Cold</t>
  </si>
  <si>
    <t xml:space="preserve"> Sunny, Cold</t>
  </si>
  <si>
    <t>layer 1 : Sunny</t>
  </si>
  <si>
    <t xml:space="preserve">Layer sunny yes : 2 cold </t>
  </si>
  <si>
    <t>Layer sunny No : 2 cWindy</t>
  </si>
  <si>
    <t xml:space="preserve"> Windy, Pressure</t>
  </si>
  <si>
    <t>High Pressure</t>
  </si>
  <si>
    <t>Training dataset</t>
  </si>
  <si>
    <t>Testing dataset</t>
  </si>
  <si>
    <t>EEntropy(Cold)</t>
  </si>
  <si>
    <t>EEntropy(Sunshine)</t>
  </si>
  <si>
    <t>Gain(Not Sunny, Wind)</t>
  </si>
  <si>
    <t>Gain(Not Sunny, Cold)</t>
  </si>
  <si>
    <t>Gain(Sunny, Wind)</t>
  </si>
  <si>
    <t>Gain(Sunny, Cold)</t>
  </si>
  <si>
    <t>Gain(Sunny, Pressure)</t>
  </si>
  <si>
    <t>Gain(Not Sunny, Pressure)</t>
  </si>
  <si>
    <t>Predicted Result</t>
  </si>
  <si>
    <t>Predicted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</si>
</sst>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2"/>
      <name val="Calibri"/>
      <family val="2"/>
      <scheme val="minor"/>
    </font>
    <font>
      <sz val="12"/>
      <name val="Calibri"/>
      <family val="2"/>
      <scheme val="minor"/>
    </font>
    <font>
      <sz val="12"/>
      <color theme="0" tint="-0.249977111117893"/>
      <name val="Calibri"/>
      <family val="2"/>
      <scheme val="minor"/>
    </font>
    <font>
      <b/>
      <sz val="12"/>
      <color theme="0" tint="-0.249977111117893"/>
      <name val="Calibri"/>
      <family val="2"/>
      <scheme val="minor"/>
    </font>
    <font>
      <sz val="12"/>
      <color theme="1"/>
      <name val="Calibri"/>
      <family val="2"/>
      <scheme val="minor"/>
    </font>
    <font>
      <b/>
      <sz val="12"/>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s>
  <cellStyleXfs count="1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8" fillId="0" borderId="0"/>
  </cellStyleXfs>
  <cellXfs count="46">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quotePrefix="1" applyAlignment="1">
      <alignment horizontal="left"/>
    </xf>
    <xf numFmtId="0" fontId="0" fillId="0" borderId="1" xfId="0"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164" fontId="3" fillId="0" borderId="1" xfId="0" applyNumberFormat="1" applyFont="1" applyBorder="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xf numFmtId="0" fontId="3" fillId="0" borderId="1" xfId="0" applyFont="1" applyBorder="1" applyAlignment="1"/>
    <xf numFmtId="0" fontId="0" fillId="0" borderId="1" xfId="0" applyBorder="1" applyAlignment="1"/>
    <xf numFmtId="0" fontId="4" fillId="0" borderId="1" xfId="0" applyFont="1" applyBorder="1" applyAlignment="1"/>
    <xf numFmtId="0" fontId="4" fillId="0" borderId="1" xfId="0" applyFont="1" applyBorder="1" applyAlignment="1">
      <alignment horizontal="center"/>
    </xf>
    <xf numFmtId="0" fontId="5" fillId="0" borderId="0" xfId="0" applyFont="1" applyAlignment="1">
      <alignment horizontal="left"/>
    </xf>
    <xf numFmtId="0" fontId="5" fillId="0" borderId="1" xfId="0" applyFont="1" applyBorder="1" applyAlignment="1"/>
    <xf numFmtId="0" fontId="4" fillId="0" borderId="3" xfId="0" applyFont="1" applyBorder="1" applyAlignment="1">
      <alignment horizontal="center"/>
    </xf>
    <xf numFmtId="0" fontId="4" fillId="0" borderId="2" xfId="0" applyFont="1" applyBorder="1" applyAlignment="1">
      <alignment horizontal="center"/>
    </xf>
    <xf numFmtId="164" fontId="6" fillId="0" borderId="1" xfId="0" applyNumberFormat="1" applyFont="1" applyBorder="1" applyAlignment="1">
      <alignment horizontal="center"/>
    </xf>
    <xf numFmtId="0" fontId="6" fillId="0" borderId="0" xfId="0" applyFont="1" applyBorder="1" applyAlignment="1">
      <alignment horizontal="center"/>
    </xf>
    <xf numFmtId="164" fontId="7" fillId="0" borderId="1" xfId="0" applyNumberFormat="1" applyFont="1" applyBorder="1" applyAlignment="1">
      <alignment horizontal="center"/>
    </xf>
    <xf numFmtId="164" fontId="6" fillId="0" borderId="2" xfId="0" applyNumberFormat="1" applyFont="1" applyBorder="1" applyAlignment="1">
      <alignment horizontal="center"/>
    </xf>
    <xf numFmtId="0" fontId="3" fillId="0" borderId="1" xfId="131" applyFont="1" applyBorder="1"/>
    <xf numFmtId="0" fontId="3" fillId="0" borderId="1" xfId="131" applyFont="1" applyBorder="1" applyAlignment="1">
      <alignment horizontal="center"/>
    </xf>
    <xf numFmtId="0" fontId="8" fillId="0" borderId="1" xfId="131" applyBorder="1"/>
    <xf numFmtId="164" fontId="8" fillId="0" borderId="1" xfId="131" applyNumberFormat="1" applyBorder="1" applyAlignment="1">
      <alignment horizontal="center"/>
    </xf>
    <xf numFmtId="0" fontId="0" fillId="3" borderId="4" xfId="0" applyFont="1" applyFill="1" applyBorder="1"/>
    <xf numFmtId="0" fontId="0" fillId="0" borderId="4" xfId="0" applyFont="1" applyBorder="1"/>
    <xf numFmtId="0" fontId="0" fillId="0" borderId="1" xfId="131" applyFont="1" applyBorder="1" applyAlignment="1">
      <alignment horizontal="center"/>
    </xf>
    <xf numFmtId="0" fontId="0" fillId="4" borderId="0" xfId="0" applyFill="1" applyAlignment="1"/>
    <xf numFmtId="0" fontId="0" fillId="4" borderId="0" xfId="0" applyFill="1" applyAlignment="1">
      <alignment horizontal="left"/>
    </xf>
    <xf numFmtId="0" fontId="9" fillId="2" borderId="5" xfId="0" applyFont="1" applyFill="1" applyBorder="1"/>
    <xf numFmtId="0" fontId="0" fillId="3" borderId="6" xfId="0" applyFont="1" applyFill="1" applyBorder="1"/>
    <xf numFmtId="0" fontId="0" fillId="0" borderId="6" xfId="0" applyBorder="1"/>
    <xf numFmtId="0" fontId="0" fillId="3" borderId="4" xfId="0" applyFill="1" applyBorder="1"/>
    <xf numFmtId="0" fontId="0" fillId="0" borderId="4" xfId="0" applyBorder="1"/>
    <xf numFmtId="0" fontId="0" fillId="3" borderId="6" xfId="0" applyFill="1" applyBorder="1"/>
    <xf numFmtId="0" fontId="0" fillId="5" borderId="1" xfId="0" applyFill="1" applyBorder="1"/>
    <xf numFmtId="0" fontId="0" fillId="0" borderId="1" xfId="0" applyBorder="1"/>
    <xf numFmtId="0" fontId="0" fillId="3" borderId="1" xfId="0" applyFont="1" applyFill="1" applyBorder="1" applyAlignment="1">
      <alignment horizontal="center"/>
    </xf>
    <xf numFmtId="0" fontId="9" fillId="2" borderId="1" xfId="0" applyFont="1" applyFill="1" applyBorder="1" applyAlignment="1">
      <alignment horizontal="center"/>
    </xf>
    <xf numFmtId="0" fontId="0" fillId="4" borderId="7" xfId="0" applyFill="1" applyBorder="1" applyAlignment="1">
      <alignment horizont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9" fillId="2" borderId="1" xfId="0" applyFont="1" applyFill="1" applyBorder="1" applyAlignment="1">
      <alignment horizontal="center"/>
    </xf>
  </cellXfs>
  <cellStyles count="1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 name="Normal 2" xfId="131" xr:uid="{35558D8F-BB9B-4021-9204-B8C52D5DAF72}"/>
  </cellStyles>
  <dxfs count="2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worksheet" Target="worksheets/sheet5.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drawings/drawing1.xml><?xml version="1.0" encoding="utf-8"?>
<xdr:wsDr xmlns:xdr="http://schemas.openxmlformats.org/drawingml/2006/spreadsheetDrawing" xmlns:a="http://schemas.openxmlformats.org/drawingml/2006/main">
  <xdr:twoCellAnchor editAs="absolute">
    <xdr:from>
      <xdr:col>25</xdr:col>
      <xdr:colOff>158750</xdr:colOff>
      <xdr:row>10</xdr:row>
      <xdr:rowOff>184151</xdr:rowOff>
    </xdr:from>
    <xdr:to>
      <xdr:col>28</xdr:col>
      <xdr:colOff>6350</xdr:colOff>
      <xdr:row>16</xdr:row>
      <xdr:rowOff>95251</xdr:rowOff>
    </xdr:to>
    <mc:AlternateContent xmlns:mc="http://schemas.openxmlformats.org/markup-compatibility/2006" xmlns:sle15="http://schemas.microsoft.com/office/drawing/2012/slicer">
      <mc:Choice Requires="sle15">
        <xdr:graphicFrame macro="">
          <xdr:nvGraphicFramePr>
            <xdr:cNvPr id="7" name="Sunshine 1">
              <a:extLst>
                <a:ext uri="{FF2B5EF4-FFF2-40B4-BE49-F238E27FC236}">
                  <a16:creationId xmlns:a16="http://schemas.microsoft.com/office/drawing/2014/main" id="{B4858BA2-D683-4000-BA50-D9BF1E86C8C8}"/>
                </a:ext>
              </a:extLst>
            </xdr:cNvPr>
            <xdr:cNvGraphicFramePr/>
          </xdr:nvGraphicFramePr>
          <xdr:xfrm>
            <a:off x="0" y="0"/>
            <a:ext cx="0" cy="0"/>
          </xdr:xfrm>
          <a:graphic>
            <a:graphicData uri="http://schemas.microsoft.com/office/drawing/2010/slicer">
              <sle:slicer xmlns:sle="http://schemas.microsoft.com/office/drawing/2010/slicer" name="Sunshine 1"/>
            </a:graphicData>
          </a:graphic>
        </xdr:graphicFrame>
      </mc:Choice>
      <mc:Fallback xmlns="">
        <xdr:sp macro="" textlink="">
          <xdr:nvSpPr>
            <xdr:cNvPr id="0" name=""/>
            <xdr:cNvSpPr>
              <a:spLocks noTextEdit="1"/>
            </xdr:cNvSpPr>
          </xdr:nvSpPr>
          <xdr:spPr>
            <a:xfrm>
              <a:off x="17324684" y="2137997"/>
              <a:ext cx="1836336" cy="1083408"/>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273050</xdr:colOff>
      <xdr:row>17</xdr:row>
      <xdr:rowOff>50801</xdr:rowOff>
    </xdr:from>
    <xdr:to>
      <xdr:col>28</xdr:col>
      <xdr:colOff>120650</xdr:colOff>
      <xdr:row>22</xdr:row>
      <xdr:rowOff>57151</xdr:rowOff>
    </xdr:to>
    <mc:AlternateContent xmlns:mc="http://schemas.openxmlformats.org/markup-compatibility/2006" xmlns:sle15="http://schemas.microsoft.com/office/drawing/2012/slicer">
      <mc:Choice Requires="sle15">
        <xdr:graphicFrame macro="">
          <xdr:nvGraphicFramePr>
            <xdr:cNvPr id="8" name="CloudTomorrow 1">
              <a:extLst>
                <a:ext uri="{FF2B5EF4-FFF2-40B4-BE49-F238E27FC236}">
                  <a16:creationId xmlns:a16="http://schemas.microsoft.com/office/drawing/2014/main" id="{50E3E60C-6A68-4D20-8618-66ABD5767E26}"/>
                </a:ext>
              </a:extLst>
            </xdr:cNvPr>
            <xdr:cNvGraphicFramePr/>
          </xdr:nvGraphicFramePr>
          <xdr:xfrm>
            <a:off x="0" y="0"/>
            <a:ext cx="0" cy="0"/>
          </xdr:xfrm>
          <a:graphic>
            <a:graphicData uri="http://schemas.microsoft.com/office/drawing/2010/slicer">
              <sle:slicer xmlns:sle="http://schemas.microsoft.com/office/drawing/2010/slicer" name="CloudTomorrow 1"/>
            </a:graphicData>
          </a:graphic>
        </xdr:graphicFrame>
      </mc:Choice>
      <mc:Fallback xmlns="">
        <xdr:sp macro="" textlink="">
          <xdr:nvSpPr>
            <xdr:cNvPr id="0" name=""/>
            <xdr:cNvSpPr>
              <a:spLocks noTextEdit="1"/>
            </xdr:cNvSpPr>
          </xdr:nvSpPr>
          <xdr:spPr>
            <a:xfrm>
              <a:off x="17438984" y="3372339"/>
              <a:ext cx="1836336" cy="98327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234950</xdr:colOff>
      <xdr:row>11</xdr:row>
      <xdr:rowOff>44451</xdr:rowOff>
    </xdr:from>
    <xdr:to>
      <xdr:col>31</xdr:col>
      <xdr:colOff>82550</xdr:colOff>
      <xdr:row>16</xdr:row>
      <xdr:rowOff>25401</xdr:rowOff>
    </xdr:to>
    <mc:AlternateContent xmlns:mc="http://schemas.openxmlformats.org/markup-compatibility/2006" xmlns:sle15="http://schemas.microsoft.com/office/drawing/2012/slicer">
      <mc:Choice Requires="sle15">
        <xdr:graphicFrame macro="">
          <xdr:nvGraphicFramePr>
            <xdr:cNvPr id="9" name="Pressure 1">
              <a:extLst>
                <a:ext uri="{FF2B5EF4-FFF2-40B4-BE49-F238E27FC236}">
                  <a16:creationId xmlns:a16="http://schemas.microsoft.com/office/drawing/2014/main" id="{9AC480D9-DB83-41BD-A7B9-DAE90D808A07}"/>
                </a:ext>
              </a:extLst>
            </xdr:cNvPr>
            <xdr:cNvGraphicFramePr/>
          </xdr:nvGraphicFramePr>
          <xdr:xfrm>
            <a:off x="0" y="0"/>
            <a:ext cx="0" cy="0"/>
          </xdr:xfrm>
          <a:graphic>
            <a:graphicData uri="http://schemas.microsoft.com/office/drawing/2010/slicer">
              <sle:slicer xmlns:sle="http://schemas.microsoft.com/office/drawing/2010/slicer" name="Pressure 1"/>
            </a:graphicData>
          </a:graphic>
        </xdr:graphicFrame>
      </mc:Choice>
      <mc:Fallback xmlns="">
        <xdr:sp macro="" textlink="">
          <xdr:nvSpPr>
            <xdr:cNvPr id="0" name=""/>
            <xdr:cNvSpPr>
              <a:spLocks noTextEdit="1"/>
            </xdr:cNvSpPr>
          </xdr:nvSpPr>
          <xdr:spPr>
            <a:xfrm>
              <a:off x="19389620" y="2193682"/>
              <a:ext cx="1836337" cy="95787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457200</xdr:colOff>
      <xdr:row>17</xdr:row>
      <xdr:rowOff>0</xdr:rowOff>
    </xdr:from>
    <xdr:to>
      <xdr:col>31</xdr:col>
      <xdr:colOff>304800</xdr:colOff>
      <xdr:row>22</xdr:row>
      <xdr:rowOff>50801</xdr:rowOff>
    </xdr:to>
    <mc:AlternateContent xmlns:mc="http://schemas.openxmlformats.org/markup-compatibility/2006" xmlns:sle15="http://schemas.microsoft.com/office/drawing/2012/slicer">
      <mc:Choice Requires="sle15">
        <xdr:graphicFrame macro="">
          <xdr:nvGraphicFramePr>
            <xdr:cNvPr id="10" name="Windy 1">
              <a:extLst>
                <a:ext uri="{FF2B5EF4-FFF2-40B4-BE49-F238E27FC236}">
                  <a16:creationId xmlns:a16="http://schemas.microsoft.com/office/drawing/2014/main" id="{0574EC02-E8C0-4912-B5FF-E0889BCE9A78}"/>
                </a:ext>
              </a:extLst>
            </xdr:cNvPr>
            <xdr:cNvGraphicFramePr/>
          </xdr:nvGraphicFramePr>
          <xdr:xfrm>
            <a:off x="0" y="0"/>
            <a:ext cx="0" cy="0"/>
          </xdr:xfrm>
          <a:graphic>
            <a:graphicData uri="http://schemas.microsoft.com/office/drawing/2010/slicer">
              <sle:slicer xmlns:sle="http://schemas.microsoft.com/office/drawing/2010/slicer" name="Windy 1"/>
            </a:graphicData>
          </a:graphic>
        </xdr:graphicFrame>
      </mc:Choice>
      <mc:Fallback xmlns="">
        <xdr:sp macro="" textlink="">
          <xdr:nvSpPr>
            <xdr:cNvPr id="0" name=""/>
            <xdr:cNvSpPr>
              <a:spLocks noTextEdit="1"/>
            </xdr:cNvSpPr>
          </xdr:nvSpPr>
          <xdr:spPr>
            <a:xfrm>
              <a:off x="19611870" y="3321538"/>
              <a:ext cx="1836337" cy="102772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311150</xdr:colOff>
      <xdr:row>23</xdr:row>
      <xdr:rowOff>114301</xdr:rowOff>
    </xdr:from>
    <xdr:to>
      <xdr:col>28</xdr:col>
      <xdr:colOff>158750</xdr:colOff>
      <xdr:row>28</xdr:row>
      <xdr:rowOff>139701</xdr:rowOff>
    </xdr:to>
    <mc:AlternateContent xmlns:mc="http://schemas.openxmlformats.org/markup-compatibility/2006" xmlns:sle15="http://schemas.microsoft.com/office/drawing/2012/slicer">
      <mc:Choice Requires="sle15">
        <xdr:graphicFrame macro="">
          <xdr:nvGraphicFramePr>
            <xdr:cNvPr id="11" name="Cold 1">
              <a:extLst>
                <a:ext uri="{FF2B5EF4-FFF2-40B4-BE49-F238E27FC236}">
                  <a16:creationId xmlns:a16="http://schemas.microsoft.com/office/drawing/2014/main" id="{1C61D84A-071E-4324-AE13-5EAC08C1367E}"/>
                </a:ext>
              </a:extLst>
            </xdr:cNvPr>
            <xdr:cNvGraphicFramePr/>
          </xdr:nvGraphicFramePr>
          <xdr:xfrm>
            <a:off x="0" y="0"/>
            <a:ext cx="0" cy="0"/>
          </xdr:xfrm>
          <a:graphic>
            <a:graphicData uri="http://schemas.microsoft.com/office/drawing/2010/slicer">
              <sle:slicer xmlns:sle="http://schemas.microsoft.com/office/drawing/2010/slicer" name="Cold 1"/>
            </a:graphicData>
          </a:graphic>
        </xdr:graphicFrame>
      </mc:Choice>
      <mc:Fallback xmlns="">
        <xdr:sp macro="" textlink="">
          <xdr:nvSpPr>
            <xdr:cNvPr id="0" name=""/>
            <xdr:cNvSpPr>
              <a:spLocks noTextEdit="1"/>
            </xdr:cNvSpPr>
          </xdr:nvSpPr>
          <xdr:spPr>
            <a:xfrm>
              <a:off x="17477084" y="4608147"/>
              <a:ext cx="1836336" cy="1002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279400</xdr:colOff>
      <xdr:row>0</xdr:row>
      <xdr:rowOff>107951</xdr:rowOff>
    </xdr:from>
    <xdr:to>
      <xdr:col>9</xdr:col>
      <xdr:colOff>127000</xdr:colOff>
      <xdr:row>19</xdr:row>
      <xdr:rowOff>50801</xdr:rowOff>
    </xdr:to>
    <mc:AlternateContent xmlns:mc="http://schemas.openxmlformats.org/markup-compatibility/2006" xmlns:sle15="http://schemas.microsoft.com/office/drawing/2012/slicer">
      <mc:Choice Requires="sle15">
        <xdr:graphicFrame macro="">
          <xdr:nvGraphicFramePr>
            <xdr:cNvPr id="2" name="Sunshine">
              <a:extLst>
                <a:ext uri="{FF2B5EF4-FFF2-40B4-BE49-F238E27FC236}">
                  <a16:creationId xmlns:a16="http://schemas.microsoft.com/office/drawing/2014/main" id="{C9C7DB94-AA7E-4084-A4CB-6F21B9B080B4}"/>
                </a:ext>
              </a:extLst>
            </xdr:cNvPr>
            <xdr:cNvGraphicFramePr/>
          </xdr:nvGraphicFramePr>
          <xdr:xfrm>
            <a:off x="0" y="0"/>
            <a:ext cx="0" cy="0"/>
          </xdr:xfrm>
          <a:graphic>
            <a:graphicData uri="http://schemas.microsoft.com/office/drawing/2010/slicer">
              <sle:slicer xmlns:sle="http://schemas.microsoft.com/office/drawing/2010/slicer" name="Sunshine"/>
            </a:graphicData>
          </a:graphic>
        </xdr:graphicFrame>
      </mc:Choice>
      <mc:Fallback xmlns="">
        <xdr:sp macro="" textlink="">
          <xdr:nvSpPr>
            <xdr:cNvPr id="0" name=""/>
            <xdr:cNvSpPr>
              <a:spLocks noTextEdit="1"/>
            </xdr:cNvSpPr>
          </xdr:nvSpPr>
          <xdr:spPr>
            <a:xfrm>
              <a:off x="5035550" y="107951"/>
              <a:ext cx="1828800" cy="112395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317500</xdr:colOff>
      <xdr:row>0</xdr:row>
      <xdr:rowOff>82551</xdr:rowOff>
    </xdr:from>
    <xdr:to>
      <xdr:col>11</xdr:col>
      <xdr:colOff>107950</xdr:colOff>
      <xdr:row>19</xdr:row>
      <xdr:rowOff>25401</xdr:rowOff>
    </xdr:to>
    <mc:AlternateContent xmlns:mc="http://schemas.openxmlformats.org/markup-compatibility/2006" xmlns:sle15="http://schemas.microsoft.com/office/drawing/2012/slicer">
      <mc:Choice Requires="sle15">
        <xdr:graphicFrame macro="">
          <xdr:nvGraphicFramePr>
            <xdr:cNvPr id="3" name="CloudTomorrow">
              <a:extLst>
                <a:ext uri="{FF2B5EF4-FFF2-40B4-BE49-F238E27FC236}">
                  <a16:creationId xmlns:a16="http://schemas.microsoft.com/office/drawing/2014/main" id="{9BC2858B-28D6-48A3-9B03-3D3B0DE89072}"/>
                </a:ext>
              </a:extLst>
            </xdr:cNvPr>
            <xdr:cNvGraphicFramePr/>
          </xdr:nvGraphicFramePr>
          <xdr:xfrm>
            <a:off x="0" y="0"/>
            <a:ext cx="0" cy="0"/>
          </xdr:xfrm>
          <a:graphic>
            <a:graphicData uri="http://schemas.microsoft.com/office/drawing/2010/slicer">
              <sle:slicer xmlns:sle="http://schemas.microsoft.com/office/drawing/2010/slicer" name="CloudTomorrow"/>
            </a:graphicData>
          </a:graphic>
        </xdr:graphicFrame>
      </mc:Choice>
      <mc:Fallback xmlns="">
        <xdr:sp macro="" textlink="">
          <xdr:nvSpPr>
            <xdr:cNvPr id="0" name=""/>
            <xdr:cNvSpPr>
              <a:spLocks noTextEdit="1"/>
            </xdr:cNvSpPr>
          </xdr:nvSpPr>
          <xdr:spPr>
            <a:xfrm>
              <a:off x="7054850" y="82551"/>
              <a:ext cx="1828800" cy="112395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190500</xdr:colOff>
      <xdr:row>20</xdr:row>
      <xdr:rowOff>69851</xdr:rowOff>
    </xdr:from>
    <xdr:to>
      <xdr:col>9</xdr:col>
      <xdr:colOff>38100</xdr:colOff>
      <xdr:row>25</xdr:row>
      <xdr:rowOff>139701</xdr:rowOff>
    </xdr:to>
    <mc:AlternateContent xmlns:mc="http://schemas.openxmlformats.org/markup-compatibility/2006" xmlns:sle15="http://schemas.microsoft.com/office/drawing/2012/slicer">
      <mc:Choice Requires="sle15">
        <xdr:graphicFrame macro="">
          <xdr:nvGraphicFramePr>
            <xdr:cNvPr id="4" name="Pressure">
              <a:extLst>
                <a:ext uri="{FF2B5EF4-FFF2-40B4-BE49-F238E27FC236}">
                  <a16:creationId xmlns:a16="http://schemas.microsoft.com/office/drawing/2014/main" id="{20CC608F-4F6F-4AE6-9A4D-662AE5D1DC72}"/>
                </a:ext>
              </a:extLst>
            </xdr:cNvPr>
            <xdr:cNvGraphicFramePr/>
          </xdr:nvGraphicFramePr>
          <xdr:xfrm>
            <a:off x="0" y="0"/>
            <a:ext cx="0" cy="0"/>
          </xdr:xfrm>
          <a:graphic>
            <a:graphicData uri="http://schemas.microsoft.com/office/drawing/2010/slicer">
              <sle:slicer xmlns:sle="http://schemas.microsoft.com/office/drawing/2010/slicer" name="Pressure"/>
            </a:graphicData>
          </a:graphic>
        </xdr:graphicFrame>
      </mc:Choice>
      <mc:Fallback xmlns="">
        <xdr:sp macro="" textlink="">
          <xdr:nvSpPr>
            <xdr:cNvPr id="0" name=""/>
            <xdr:cNvSpPr>
              <a:spLocks noTextEdit="1"/>
            </xdr:cNvSpPr>
          </xdr:nvSpPr>
          <xdr:spPr>
            <a:xfrm>
              <a:off x="4946650" y="1447801"/>
              <a:ext cx="1828800" cy="10541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393700</xdr:colOff>
      <xdr:row>19</xdr:row>
      <xdr:rowOff>146051</xdr:rowOff>
    </xdr:from>
    <xdr:to>
      <xdr:col>11</xdr:col>
      <xdr:colOff>184150</xdr:colOff>
      <xdr:row>25</xdr:row>
      <xdr:rowOff>31751</xdr:rowOff>
    </xdr:to>
    <mc:AlternateContent xmlns:mc="http://schemas.openxmlformats.org/markup-compatibility/2006" xmlns:sle15="http://schemas.microsoft.com/office/drawing/2012/slicer">
      <mc:Choice Requires="sle15">
        <xdr:graphicFrame macro="">
          <xdr:nvGraphicFramePr>
            <xdr:cNvPr id="5" name="Windy">
              <a:extLst>
                <a:ext uri="{FF2B5EF4-FFF2-40B4-BE49-F238E27FC236}">
                  <a16:creationId xmlns:a16="http://schemas.microsoft.com/office/drawing/2014/main" id="{AA29809F-C7FD-4E0B-8FD4-5AD15EF33845}"/>
                </a:ext>
              </a:extLst>
            </xdr:cNvPr>
            <xdr:cNvGraphicFramePr/>
          </xdr:nvGraphicFramePr>
          <xdr:xfrm>
            <a:off x="0" y="0"/>
            <a:ext cx="0" cy="0"/>
          </xdr:xfrm>
          <a:graphic>
            <a:graphicData uri="http://schemas.microsoft.com/office/drawing/2010/slicer">
              <sle:slicer xmlns:sle="http://schemas.microsoft.com/office/drawing/2010/slicer" name="Windy"/>
            </a:graphicData>
          </a:graphic>
        </xdr:graphicFrame>
      </mc:Choice>
      <mc:Fallback xmlns="">
        <xdr:sp macro="" textlink="">
          <xdr:nvSpPr>
            <xdr:cNvPr id="0" name=""/>
            <xdr:cNvSpPr>
              <a:spLocks noTextEdit="1"/>
            </xdr:cNvSpPr>
          </xdr:nvSpPr>
          <xdr:spPr>
            <a:xfrm>
              <a:off x="7131050" y="1327151"/>
              <a:ext cx="1828800" cy="10668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266700</xdr:colOff>
      <xdr:row>12</xdr:row>
      <xdr:rowOff>127001</xdr:rowOff>
    </xdr:from>
    <xdr:to>
      <xdr:col>14</xdr:col>
      <xdr:colOff>114300</xdr:colOff>
      <xdr:row>20</xdr:row>
      <xdr:rowOff>107951</xdr:rowOff>
    </xdr:to>
    <mc:AlternateContent xmlns:mc="http://schemas.openxmlformats.org/markup-compatibility/2006" xmlns:sle15="http://schemas.microsoft.com/office/drawing/2012/slicer">
      <mc:Choice Requires="sle15">
        <xdr:graphicFrame macro="">
          <xdr:nvGraphicFramePr>
            <xdr:cNvPr id="6" name="Cold">
              <a:extLst>
                <a:ext uri="{FF2B5EF4-FFF2-40B4-BE49-F238E27FC236}">
                  <a16:creationId xmlns:a16="http://schemas.microsoft.com/office/drawing/2014/main" id="{10EB06A7-8B86-4748-A788-240B4A88E8C3}"/>
                </a:ext>
              </a:extLst>
            </xdr:cNvPr>
            <xdr:cNvGraphicFramePr/>
          </xdr:nvGraphicFramePr>
          <xdr:xfrm>
            <a:off x="0" y="0"/>
            <a:ext cx="0" cy="0"/>
          </xdr:xfrm>
          <a:graphic>
            <a:graphicData uri="http://schemas.microsoft.com/office/drawing/2010/slicer">
              <sle:slicer xmlns:sle="http://schemas.microsoft.com/office/drawing/2010/slicer" name="Cold"/>
            </a:graphicData>
          </a:graphic>
        </xdr:graphicFrame>
      </mc:Choice>
      <mc:Fallback xmlns="">
        <xdr:sp macro="" textlink="">
          <xdr:nvSpPr>
            <xdr:cNvPr id="0" name=""/>
            <xdr:cNvSpPr>
              <a:spLocks noTextEdit="1"/>
            </xdr:cNvSpPr>
          </xdr:nvSpPr>
          <xdr:spPr>
            <a:xfrm>
              <a:off x="9042400" y="520701"/>
              <a:ext cx="1828800" cy="9652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nshine" xr10:uid="{ACB4C23A-C3F9-48C7-88A8-C8EE4D8D34B3}" sourceName="Sunshine">
  <extLst>
    <x:ext xmlns:x15="http://schemas.microsoft.com/office/spreadsheetml/2010/11/main" uri="{2F2917AC-EB37-4324-AD4E-5DD8C200BD13}">
      <x15:tableSlicerCache tableId="4"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d1" xr10:uid="{F6E701D0-771D-4C5D-A246-C34EC0813D1E}" sourceName="Cold">
  <extLst>
    <x:ext xmlns:x15="http://schemas.microsoft.com/office/spreadsheetml/2010/11/main" uri="{2F2917AC-EB37-4324-AD4E-5DD8C200BD13}">
      <x15:tableSlicerCache tableId="5"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udTomorrow" xr10:uid="{899CECF1-A793-4AD5-9EBB-0F2B2562331C}" sourceName="CloudTomorrow">
  <extLst>
    <x:ext xmlns:x15="http://schemas.microsoft.com/office/spreadsheetml/2010/11/main" uri="{2F2917AC-EB37-4324-AD4E-5DD8C200BD13}">
      <x15:tableSlicerCache tableId="4"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sure" xr10:uid="{DC8FECEB-EBFC-4FAF-BC2E-95271A2A7B60}" sourceName="Pressure">
  <extLst>
    <x:ext xmlns:x15="http://schemas.microsoft.com/office/spreadsheetml/2010/11/main" uri="{2F2917AC-EB37-4324-AD4E-5DD8C200BD13}">
      <x15:tableSlicerCache tableId="4"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y" xr10:uid="{711EE9FB-9EF8-465F-B257-FA6AFC256271}" sourceName="Windy">
  <extLst>
    <x:ext xmlns:x15="http://schemas.microsoft.com/office/spreadsheetml/2010/11/main" uri="{2F2917AC-EB37-4324-AD4E-5DD8C200BD13}">
      <x15:tableSlicerCache tableId="4"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d" xr10:uid="{FE82EF49-852F-46BF-9352-0892342195B9}" sourceName="Cold">
  <extLst>
    <x:ext xmlns:x15="http://schemas.microsoft.com/office/spreadsheetml/2010/11/main" uri="{2F2917AC-EB37-4324-AD4E-5DD8C200BD13}">
      <x15:tableSlicerCache tableId="4"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nshine1" xr10:uid="{E1BC9B2F-8559-4864-B5F4-0C0F06C1A5ED}" sourceName="Sunshine">
  <extLst>
    <x:ext xmlns:x15="http://schemas.microsoft.com/office/spreadsheetml/2010/11/main" uri="{2F2917AC-EB37-4324-AD4E-5DD8C200BD13}">
      <x15:tableSlicerCache tableId="5"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udTomorrow1" xr10:uid="{E0C8854F-D7DD-4A8E-99BB-B6948AD688BD}" sourceName="CloudTomorrow">
  <extLst>
    <x:ext xmlns:x15="http://schemas.microsoft.com/office/spreadsheetml/2010/11/main" uri="{2F2917AC-EB37-4324-AD4E-5DD8C200BD13}">
      <x15:tableSlicerCache tableId="5"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sure1" xr10:uid="{59F42087-F4C1-4F67-AB54-83477443A4EA}" sourceName="Pressure">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y1" xr10:uid="{EFF8F65A-625B-41BD-9AFD-6DE3C394AFD9}" sourceName="Windy">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nshine 1" xr10:uid="{F0869ABC-AD87-4A9A-A93D-042450A35C97}" cache="Slicer_Sunshine1" caption="Sunshine" rowHeight="262466"/>
  <slicer name="CloudTomorrow 1" xr10:uid="{A81AAC77-36C8-433E-A195-8F86D21D56E0}" cache="Slicer_CloudTomorrow1" caption="CloudTomorrow" rowHeight="262466"/>
  <slicer name="Pressure 1" xr10:uid="{A054117E-0793-4BB1-A2A6-D4F9861AA7B0}" cache="Slicer_Pressure1" caption="Pressure" rowHeight="262466"/>
  <slicer name="Windy 1" xr10:uid="{BB127CC3-C17C-4B4B-AD8B-EAB411000B88}" cache="Slicer_Windy1" caption="Windy" rowHeight="262466"/>
  <slicer name="Cold 1" xr10:uid="{D0B38ED1-F82F-44E5-913B-3264FD5795ED}" cache="Slicer_Cold1" caption="Cold"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nshine" xr10:uid="{D5E238F3-6694-42FF-A2E9-132F12FABFBC}" cache="Slicer_Sunshine" caption="Sunshine" rowHeight="262466"/>
  <slicer name="CloudTomorrow" xr10:uid="{C72ECEFD-FBC1-4A0E-B100-D4802771C56F}" cache="Slicer_CloudTomorrow" caption="CloudTomorrow" rowHeight="262466"/>
  <slicer name="Pressure" xr10:uid="{B7467B05-A941-46D2-A4D1-ADDA3B44AA6F}" cache="Slicer_Pressure" caption="Pressure" rowHeight="262466"/>
  <slicer name="Windy" xr10:uid="{389F76D3-EF73-426D-8BAC-C28FF46E6C67}" cache="Slicer_Windy" caption="Windy" rowHeight="262466"/>
  <slicer name="Cold" xr10:uid="{755CDD64-703A-44E6-AC78-F69AC38AEC7B}" cache="Slicer_Cold" caption="Cold"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C8589-5AEB-4A86-915A-9D44E125E191}" name="Table1" displayName="Table1" ref="B1:F16" totalsRowShown="0" dataDxfId="27">
  <autoFilter ref="B1:F16" xr:uid="{3ABED4A8-530A-4402-9818-E601A6833D33}"/>
  <tableColumns count="5">
    <tableColumn id="1" xr3:uid="{049088A7-6A08-4414-BD2A-01A4117C2A63}" name="Sunshine" dataDxfId="26"/>
    <tableColumn id="2" xr3:uid="{49286007-478C-4CBA-BBA2-FF6868CE0FF5}" name="CloudTomorrow" dataDxfId="25"/>
    <tableColumn id="3" xr3:uid="{C17AAA1B-BF6B-40A4-9BEC-18FCE6E295B2}" name="Pressure" dataDxfId="24"/>
    <tableColumn id="4" xr3:uid="{33970B55-B118-408A-B443-2B73B36DE1C1}" name="Windy" dataDxfId="23"/>
    <tableColumn id="5" xr3:uid="{24181733-0C33-4799-B79C-ECD27165B7E4}" name="Cold"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EEA19A-8703-40A5-A08B-4DA109BC944A}" name="Table46" displayName="Table46" ref="U15:Y30" totalsRowShown="0" headerRowDxfId="21" dataDxfId="19" headerRowBorderDxfId="20" tableBorderDxfId="18" totalsRowBorderDxfId="17">
  <autoFilter ref="U15:Y30" xr:uid="{8FC5D413-8446-4343-B86F-7A045B02DC98}"/>
  <sortState xmlns:xlrd2="http://schemas.microsoft.com/office/spreadsheetml/2017/richdata2" ref="U16:Y28">
    <sortCondition ref="V15:V30"/>
  </sortState>
  <tableColumns count="5">
    <tableColumn id="1" xr3:uid="{698DACD8-5792-4A28-999A-3467B3A1EE67}" name="Sunshine" dataDxfId="16"/>
    <tableColumn id="2" xr3:uid="{407255B6-ACCA-460E-B5B1-08B11599F7DC}" name="CloudTomorrow" dataDxfId="15"/>
    <tableColumn id="3" xr3:uid="{2654984C-0B6E-4487-9FC7-9FADB684D1D4}" name="Pressure" dataDxfId="14"/>
    <tableColumn id="4" xr3:uid="{E4479F88-50BB-4F09-8FEC-028D69BC4971}" name="Windy" dataDxfId="13"/>
    <tableColumn id="5" xr3:uid="{6BD7F3EE-CAFA-4F31-9BF6-AC4654F15514}" name="Cold" dataDxfId="1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108DF9-D662-4F49-904B-F8BE4F8C87BB}" name="Table4" displayName="Table4" ref="B1:F16" totalsRowShown="0" headerRowDxfId="11" dataDxfId="9" headerRowBorderDxfId="10" tableBorderDxfId="8" totalsRowBorderDxfId="7">
  <autoFilter ref="B1:F16" xr:uid="{65A7CD7B-C540-476B-82E3-E0AE15CD4DFE}">
    <filterColumn colId="0">
      <filters>
        <filter val="No"/>
      </filters>
    </filterColumn>
    <filterColumn colId="3">
      <filters>
        <filter val="No"/>
      </filters>
    </filterColumn>
    <filterColumn colId="4">
      <filters>
        <filter val="Yes"/>
      </filters>
    </filterColumn>
  </autoFilter>
  <sortState xmlns:xlrd2="http://schemas.microsoft.com/office/spreadsheetml/2017/richdata2" ref="B2:F16">
    <sortCondition ref="B1:B16"/>
  </sortState>
  <tableColumns count="5">
    <tableColumn id="1" xr3:uid="{AB760EDA-3F8D-4C1D-A8EF-E360A81CB7DC}" name="Sunshine" dataDxfId="6"/>
    <tableColumn id="2" xr3:uid="{1EA4CD5C-778E-47A0-8F23-4C027D8C6EC1}" name="CloudTomorrow" dataDxfId="5"/>
    <tableColumn id="3" xr3:uid="{2AFD9FAE-04CA-4DA4-A6A9-FA781D597816}" name="Pressure" dataDxfId="4"/>
    <tableColumn id="4" xr3:uid="{9036E6AB-14CF-4012-89B9-AAC92DFD3AC1}" name="Windy" dataDxfId="3"/>
    <tableColumn id="5" xr3:uid="{5E8536A5-C974-4ABD-9453-369E5D569510}" name="Cold"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
  <sheetViews>
    <sheetView topLeftCell="A17" zoomScale="85" zoomScaleNormal="85" zoomScalePageLayoutView="160" workbookViewId="0">
      <selection activeCell="A32" sqref="A32:M32"/>
    </sheetView>
  </sheetViews>
  <sheetFormatPr defaultColWidth="10.83203125" defaultRowHeight="15.5" x14ac:dyDescent="0.35"/>
  <cols>
    <col min="1" max="1" width="20.83203125" style="10" customWidth="1"/>
    <col min="2" max="8" width="10.33203125" style="1" customWidth="1"/>
    <col min="9" max="16384" width="10.83203125" style="1"/>
  </cols>
  <sheetData>
    <row r="1" spans="1:8" x14ac:dyDescent="0.35">
      <c r="D1" s="1" t="s">
        <v>0</v>
      </c>
      <c r="E1" s="1">
        <v>2</v>
      </c>
      <c r="F1" s="2">
        <f>LOG(E1)</f>
        <v>0.3010299956639812</v>
      </c>
      <c r="G1" s="3"/>
    </row>
    <row r="3" spans="1:8" x14ac:dyDescent="0.35">
      <c r="A3" s="11" t="s">
        <v>15</v>
      </c>
      <c r="B3" s="6" t="s">
        <v>1</v>
      </c>
      <c r="C3" s="6" t="s">
        <v>2</v>
      </c>
      <c r="D3" s="6" t="s">
        <v>3</v>
      </c>
      <c r="E3" s="6" t="s">
        <v>4</v>
      </c>
      <c r="F3" s="6" t="s">
        <v>5</v>
      </c>
      <c r="G3" s="6" t="s">
        <v>6</v>
      </c>
      <c r="H3" s="6" t="s">
        <v>7</v>
      </c>
    </row>
    <row r="4" spans="1:8" x14ac:dyDescent="0.35">
      <c r="A4" s="12" t="s">
        <v>8</v>
      </c>
      <c r="B4" s="4">
        <v>8</v>
      </c>
      <c r="C4" s="4">
        <v>12</v>
      </c>
      <c r="D4" s="5">
        <f>B4/SUM(B4:C4)</f>
        <v>0.4</v>
      </c>
      <c r="E4" s="5">
        <f>IF(D4&lt;&gt;0,LOG(D4)/$F$1,0)</f>
        <v>-1.3219280948873624</v>
      </c>
      <c r="F4" s="5">
        <f>C4/SUM(B4:C4)</f>
        <v>0.6</v>
      </c>
      <c r="G4" s="5">
        <f>IF(F4&lt;&gt;0,LOG(F4)/$F$1,0)</f>
        <v>-0.73696559416620622</v>
      </c>
      <c r="H4" s="5">
        <f>-D4*E4-F4*G4</f>
        <v>0.97095059445466869</v>
      </c>
    </row>
    <row r="6" spans="1:8" x14ac:dyDescent="0.35">
      <c r="A6" s="11" t="s">
        <v>18</v>
      </c>
      <c r="B6" s="6" t="s">
        <v>1</v>
      </c>
      <c r="C6" s="6" t="s">
        <v>2</v>
      </c>
      <c r="D6" s="6" t="s">
        <v>3</v>
      </c>
      <c r="E6" s="6" t="s">
        <v>4</v>
      </c>
      <c r="F6" s="6" t="s">
        <v>5</v>
      </c>
      <c r="G6" s="6" t="s">
        <v>6</v>
      </c>
      <c r="H6" s="6" t="s">
        <v>7</v>
      </c>
    </row>
    <row r="7" spans="1:8" x14ac:dyDescent="0.35">
      <c r="A7" s="16" t="s">
        <v>1</v>
      </c>
      <c r="B7">
        <f>COUNTIFS(Table1[CloudTomorrow], "Cloudy",Table1[Cold],"Yes")</f>
        <v>2</v>
      </c>
      <c r="C7">
        <f>COUNTIFS(Table1[CloudTomorrow], "Not Cloudy",Table1[Cold],"Yes")</f>
        <v>3</v>
      </c>
      <c r="D7" s="5">
        <f>B7/SUM(B7:C7)</f>
        <v>0.4</v>
      </c>
      <c r="E7" s="5">
        <f>IF(D7&lt;&gt;0,LOG(D7)/$F$1,0)</f>
        <v>-1.3219280948873624</v>
      </c>
      <c r="F7" s="5">
        <f>C7/SUM(B7:C7)</f>
        <v>0.6</v>
      </c>
      <c r="G7" s="5">
        <f>IF(F7&lt;&gt;0,LOG(F7)/$F$1,0)</f>
        <v>-0.73696559416620622</v>
      </c>
      <c r="H7" s="5">
        <f>-D7*E7-F7*G7</f>
        <v>0.97095059445466869</v>
      </c>
    </row>
    <row r="8" spans="1:8" x14ac:dyDescent="0.35">
      <c r="A8" s="16" t="s">
        <v>2</v>
      </c>
      <c r="B8">
        <f>COUNTIFS(Table1[CloudTomorrow], "Cloudy",Table1[Cold],"No")</f>
        <v>2</v>
      </c>
      <c r="C8">
        <f>COUNTIFS(Table1[CloudTomorrow], "Not Cloudy",Table1[Cold],"No")</f>
        <v>8</v>
      </c>
      <c r="D8" s="5">
        <f t="shared" ref="D8" si="0">B8/SUM(B8:C8)</f>
        <v>0.2</v>
      </c>
      <c r="E8" s="5">
        <f t="shared" ref="E8" si="1">IF(D8&lt;&gt;0,LOG(D8)/$F$1,0)</f>
        <v>-2.3219280948873622</v>
      </c>
      <c r="F8" s="5">
        <f t="shared" ref="F8" si="2">C8/SUM(B8:C8)</f>
        <v>0.8</v>
      </c>
      <c r="G8" s="5">
        <f t="shared" ref="G8" si="3">IF(F8&lt;&gt;0,LOG(F8)/$F$1,0)</f>
        <v>-0.32192809488736229</v>
      </c>
      <c r="H8" s="5">
        <f t="shared" ref="H8" si="4">-D8*E8-F8*G8</f>
        <v>0.72192809488736231</v>
      </c>
    </row>
    <row r="9" spans="1:8" x14ac:dyDescent="0.35">
      <c r="A9" s="12" t="s">
        <v>11</v>
      </c>
      <c r="B9" s="4"/>
      <c r="C9" s="4"/>
      <c r="D9" s="4"/>
      <c r="E9" s="4"/>
      <c r="F9" s="4"/>
      <c r="G9" s="4"/>
      <c r="H9" s="5">
        <f>(    H7*SUM(B7:C7)+H8*SUM(B8:C8)    )/SUM(B7:C8)</f>
        <v>0.80493559474313114</v>
      </c>
    </row>
    <row r="10" spans="1:8" x14ac:dyDescent="0.35">
      <c r="A10" s="12" t="s">
        <v>29</v>
      </c>
      <c r="B10" s="4"/>
      <c r="C10" s="4"/>
      <c r="D10" s="4"/>
      <c r="E10" s="4"/>
      <c r="F10" s="4"/>
      <c r="G10" s="4"/>
      <c r="H10" s="7">
        <f>H4-H9</f>
        <v>0.16601499971153755</v>
      </c>
    </row>
    <row r="12" spans="1:8" x14ac:dyDescent="0.35">
      <c r="B12" s="9"/>
      <c r="C12" s="9"/>
      <c r="D12" s="9"/>
      <c r="E12" s="9"/>
      <c r="F12" s="9"/>
      <c r="G12" s="9"/>
      <c r="H12" s="9"/>
    </row>
    <row r="13" spans="1:8" s="8" customFormat="1" x14ac:dyDescent="0.35">
      <c r="A13" s="11" t="s">
        <v>17</v>
      </c>
      <c r="B13" s="6" t="s">
        <v>1</v>
      </c>
      <c r="C13" s="6" t="s">
        <v>2</v>
      </c>
      <c r="D13" s="6" t="s">
        <v>3</v>
      </c>
      <c r="E13" s="6" t="s">
        <v>4</v>
      </c>
      <c r="F13" s="6" t="s">
        <v>5</v>
      </c>
      <c r="G13" s="6" t="s">
        <v>6</v>
      </c>
      <c r="H13" s="6" t="s">
        <v>7</v>
      </c>
    </row>
    <row r="14" spans="1:8" x14ac:dyDescent="0.35">
      <c r="A14" s="16" t="s">
        <v>1</v>
      </c>
      <c r="B14">
        <f>COUNTIFS(Table1[CloudTomorrow], "Cloudy",Table1[Pressure],"Yes")</f>
        <v>3</v>
      </c>
      <c r="C14">
        <f>COUNTIFS(Table1[CloudTomorrow], "Not Cloudy",Table1[Pressure],"Yes")</f>
        <v>7</v>
      </c>
      <c r="D14" s="5">
        <f>B14/SUM(B14:C14)</f>
        <v>0.3</v>
      </c>
      <c r="E14" s="5">
        <f>IF(D14&lt;&gt;0,LOG(D14)/$F$1,0)</f>
        <v>-1.7369655941662063</v>
      </c>
      <c r="F14" s="5">
        <f>C14/SUM(B14:C14)</f>
        <v>0.7</v>
      </c>
      <c r="G14" s="5">
        <f>IF(F14&lt;&gt;0,LOG(F14)/$F$1,0)</f>
        <v>-0.51457317282975834</v>
      </c>
      <c r="H14" s="5">
        <f>-D14*E14-F14*G14</f>
        <v>0.8812908992306927</v>
      </c>
    </row>
    <row r="15" spans="1:8" x14ac:dyDescent="0.35">
      <c r="A15" s="16" t="s">
        <v>2</v>
      </c>
      <c r="B15">
        <f>COUNTIFS(Table1[CloudTomorrow], "Cloudy",Table1[Pressure],"No")</f>
        <v>1</v>
      </c>
      <c r="C15">
        <f>COUNTIFS(Table1[CloudTomorrow], "Not Cloudy",Table1[Pressure],"No")</f>
        <v>4</v>
      </c>
      <c r="D15" s="5">
        <f>B15/SUM(B15:C15)</f>
        <v>0.2</v>
      </c>
      <c r="E15" s="5">
        <f t="shared" ref="E15" si="5">IF(D15&lt;&gt;0,LOG(D15)/$F$1,0)</f>
        <v>-2.3219280948873622</v>
      </c>
      <c r="F15" s="5">
        <f>C15/SUM(B15:C15)</f>
        <v>0.8</v>
      </c>
      <c r="G15" s="5">
        <f t="shared" ref="G15" si="6">IF(F15&lt;&gt;0,LOG(F15)/$F$1,0)</f>
        <v>-0.32192809488736229</v>
      </c>
      <c r="H15" s="5">
        <f t="shared" ref="H15" si="7">-D15*E15-F15*G15</f>
        <v>0.72192809488736231</v>
      </c>
    </row>
    <row r="16" spans="1:8" x14ac:dyDescent="0.35">
      <c r="A16" s="12" t="s">
        <v>10</v>
      </c>
      <c r="B16" s="4"/>
      <c r="C16" s="4"/>
      <c r="D16" s="4"/>
      <c r="E16" s="4"/>
      <c r="F16" s="4"/>
      <c r="G16" s="4"/>
      <c r="H16" s="5">
        <f>(H14*SUM(B14:C14)+H15*SUM(B15:C15))/SUM(B14:C15)</f>
        <v>0.82816996444958257</v>
      </c>
    </row>
    <row r="17" spans="1:13" x14ac:dyDescent="0.35">
      <c r="A17" s="12" t="s">
        <v>30</v>
      </c>
      <c r="B17" s="4"/>
      <c r="C17" s="4"/>
      <c r="D17" s="4"/>
      <c r="E17" s="4"/>
      <c r="F17" s="4"/>
      <c r="G17" s="4"/>
      <c r="H17" s="7">
        <f>H4-H16</f>
        <v>0.14278063000508612</v>
      </c>
    </row>
    <row r="18" spans="1:13" x14ac:dyDescent="0.35">
      <c r="B18" s="9"/>
      <c r="C18" s="9"/>
      <c r="D18" s="9"/>
      <c r="E18" s="9"/>
      <c r="F18" s="9"/>
      <c r="G18" s="9"/>
      <c r="H18" s="9"/>
      <c r="L18" s="12"/>
    </row>
    <row r="19" spans="1:13" s="8" customFormat="1" x14ac:dyDescent="0.35">
      <c r="A19" s="11" t="s">
        <v>16</v>
      </c>
      <c r="B19" s="6" t="s">
        <v>1</v>
      </c>
      <c r="C19" s="6" t="s">
        <v>2</v>
      </c>
      <c r="D19" s="6" t="s">
        <v>3</v>
      </c>
      <c r="E19" s="6" t="s">
        <v>4</v>
      </c>
      <c r="F19" s="6" t="s">
        <v>5</v>
      </c>
      <c r="G19" s="6" t="s">
        <v>6</v>
      </c>
      <c r="H19" s="6" t="s">
        <v>7</v>
      </c>
      <c r="L19" s="12"/>
    </row>
    <row r="20" spans="1:13" x14ac:dyDescent="0.35">
      <c r="A20" s="16" t="s">
        <v>1</v>
      </c>
      <c r="B20">
        <f>COUNTIFS(Table1[CloudTomorrow], "Cloudy",Table1[Sunshine],"Yes")</f>
        <v>0</v>
      </c>
      <c r="C20">
        <f>COUNTIFS(Table1[CloudTomorrow], "Not Cloudy",Table1[Sunshine],"Yes")</f>
        <v>3</v>
      </c>
      <c r="D20" s="5">
        <f>B20/SUM(B20:C20)</f>
        <v>0</v>
      </c>
      <c r="E20" s="5">
        <f>IF(D20&lt;&gt;0,LOG(D20)/$F$1,0)</f>
        <v>0</v>
      </c>
      <c r="F20" s="5">
        <f>C20/SUM(B20:C20)</f>
        <v>1</v>
      </c>
      <c r="G20" s="5">
        <f>IF(F20&lt;&gt;0,LOG(F20)/$F$1,0)</f>
        <v>0</v>
      </c>
      <c r="H20" s="5">
        <f>-D20*E20-F20*G20</f>
        <v>0</v>
      </c>
      <c r="L20" s="12"/>
    </row>
    <row r="21" spans="1:13" x14ac:dyDescent="0.35">
      <c r="A21" s="16" t="s">
        <v>2</v>
      </c>
      <c r="B21">
        <f>COUNTIFS(Table1[CloudTomorrow], "Cloudy",Table1[Sunshine],"No")</f>
        <v>4</v>
      </c>
      <c r="C21">
        <f>COUNTIFS(Table1[CloudTomorrow], "Not Cloudy",Table1[Sunshine],"No")</f>
        <v>8</v>
      </c>
      <c r="D21" s="5">
        <f t="shared" ref="D21" si="8">B21/SUM(B21:C21)</f>
        <v>0.33333333333333331</v>
      </c>
      <c r="E21" s="5">
        <f t="shared" ref="E21" si="9">IF(D21&lt;&gt;0,LOG(D21)/$F$1,0)</f>
        <v>-1.5849625007211561</v>
      </c>
      <c r="F21" s="5">
        <f t="shared" ref="F21" si="10">C21/SUM(B21:C21)</f>
        <v>0.66666666666666663</v>
      </c>
      <c r="G21" s="5">
        <f t="shared" ref="G21" si="11">IF(F21&lt;&gt;0,LOG(F21)/$F$1,0)</f>
        <v>-0.5849625007211563</v>
      </c>
      <c r="H21" s="5">
        <f t="shared" ref="H21" si="12">-D21*E21-F21*G21</f>
        <v>0.91829583405448945</v>
      </c>
      <c r="L21" s="16"/>
    </row>
    <row r="22" spans="1:13" x14ac:dyDescent="0.35">
      <c r="A22" s="12" t="s">
        <v>9</v>
      </c>
      <c r="B22" s="4"/>
      <c r="C22" s="4"/>
      <c r="D22" s="4"/>
      <c r="E22" s="4"/>
      <c r="F22" s="4"/>
      <c r="G22" s="4"/>
      <c r="H22" s="5">
        <f>(H20*SUM(B20:C20)+H21*SUM(B21:C21))/SUM(B20:C21)</f>
        <v>0.73463666724359156</v>
      </c>
    </row>
    <row r="23" spans="1:13" x14ac:dyDescent="0.35">
      <c r="A23" s="12" t="s">
        <v>31</v>
      </c>
      <c r="B23" s="4"/>
      <c r="C23" s="4"/>
      <c r="D23" s="4"/>
      <c r="E23" s="4"/>
      <c r="F23" s="4"/>
      <c r="G23" s="4"/>
      <c r="H23" s="7">
        <f>H4-H22</f>
        <v>0.23631392721107713</v>
      </c>
    </row>
    <row r="27" spans="1:13" x14ac:dyDescent="0.35">
      <c r="A27" s="10" t="s">
        <v>19</v>
      </c>
      <c r="B27" s="6" t="s">
        <v>1</v>
      </c>
      <c r="C27" s="6" t="s">
        <v>2</v>
      </c>
      <c r="D27" s="6" t="s">
        <v>3</v>
      </c>
      <c r="E27" s="6" t="s">
        <v>4</v>
      </c>
      <c r="F27" s="6" t="s">
        <v>5</v>
      </c>
      <c r="G27" s="6" t="s">
        <v>6</v>
      </c>
      <c r="H27" s="6" t="s">
        <v>7</v>
      </c>
    </row>
    <row r="28" spans="1:13" x14ac:dyDescent="0.35">
      <c r="A28" s="16" t="s">
        <v>1</v>
      </c>
      <c r="B28">
        <f>COUNTIFS(Table1[CloudTomorrow], "Cloudy",Table1[Windy],"Yes")</f>
        <v>3</v>
      </c>
      <c r="C28">
        <f>COUNTIFS(Table1[CloudTomorrow], "Not Cloudy",Table1[Windy],"Yes")</f>
        <v>4</v>
      </c>
      <c r="D28" s="5">
        <f t="shared" ref="D28:D29" si="13">B28/SUM(B28:C28)</f>
        <v>0.42857142857142855</v>
      </c>
      <c r="E28" s="5">
        <f t="shared" ref="E28:E29" si="14">IF(D28&lt;&gt;0,LOG(D28)/$F$1,0)</f>
        <v>-1.2223924213364481</v>
      </c>
      <c r="F28" s="5">
        <f t="shared" ref="F28:F29" si="15">C28/SUM(B28:C28)</f>
        <v>0.5714285714285714</v>
      </c>
      <c r="G28" s="5">
        <f t="shared" ref="G28:G29" si="16">IF(F28&lt;&gt;0,LOG(F28)/$F$1,0)</f>
        <v>-0.80735492205760417</v>
      </c>
      <c r="H28" s="5">
        <f t="shared" ref="H28:H29" si="17">-D28*E28-F28*G28</f>
        <v>0.98522813603425152</v>
      </c>
    </row>
    <row r="29" spans="1:13" x14ac:dyDescent="0.35">
      <c r="A29" s="16" t="s">
        <v>2</v>
      </c>
      <c r="B29">
        <f>COUNTIFS(Table1[CloudTomorrow], "Cloudy",Table1[Windy],"No")</f>
        <v>1</v>
      </c>
      <c r="C29">
        <f>COUNTIFS(Table1[CloudTomorrow], "Not Cloudy",Table1[Windy],"No")</f>
        <v>7</v>
      </c>
      <c r="D29" s="5">
        <f t="shared" si="13"/>
        <v>0.125</v>
      </c>
      <c r="E29" s="5">
        <f t="shared" si="14"/>
        <v>-3</v>
      </c>
      <c r="F29" s="5">
        <f t="shared" si="15"/>
        <v>0.875</v>
      </c>
      <c r="G29" s="5">
        <f t="shared" si="16"/>
        <v>-0.19264507794239588</v>
      </c>
      <c r="H29" s="5">
        <f t="shared" si="17"/>
        <v>0.5435644431995964</v>
      </c>
    </row>
    <row r="30" spans="1:13" x14ac:dyDescent="0.35">
      <c r="A30" s="12" t="s">
        <v>11</v>
      </c>
      <c r="B30" s="4"/>
      <c r="C30" s="4"/>
      <c r="D30" s="4"/>
      <c r="E30" s="4"/>
      <c r="F30" s="4"/>
      <c r="G30" s="4"/>
      <c r="H30" s="5">
        <f>(H28*SUM(B28:C28) + H29*SUM(B29:C29) )/SUM(B28:C29)</f>
        <v>0.74967416652243546</v>
      </c>
    </row>
    <row r="31" spans="1:13" x14ac:dyDescent="0.35">
      <c r="A31" s="12" t="s">
        <v>32</v>
      </c>
      <c r="B31" s="4"/>
      <c r="C31" s="4"/>
      <c r="D31" s="4"/>
      <c r="E31" s="4"/>
      <c r="F31" s="4"/>
      <c r="G31" s="4"/>
      <c r="H31" s="7">
        <f>H4-H30</f>
        <v>0.22127642793223323</v>
      </c>
    </row>
    <row r="32" spans="1:13" x14ac:dyDescent="0.35">
      <c r="A32" s="42" t="s">
        <v>36</v>
      </c>
      <c r="B32" s="42"/>
      <c r="C32" s="42"/>
      <c r="D32" s="42"/>
      <c r="E32" s="42"/>
      <c r="F32" s="42"/>
      <c r="G32" s="42"/>
      <c r="H32" s="42"/>
      <c r="I32" s="31"/>
      <c r="J32" s="31"/>
      <c r="K32" s="31"/>
      <c r="L32" s="31"/>
      <c r="M32" s="31"/>
    </row>
    <row r="33" spans="1:15" s="15" customFormat="1" x14ac:dyDescent="0.35">
      <c r="A33" s="11" t="s">
        <v>33</v>
      </c>
      <c r="B33" s="17" t="s">
        <v>1</v>
      </c>
      <c r="C33" s="14" t="s">
        <v>2</v>
      </c>
      <c r="D33" s="14" t="s">
        <v>3</v>
      </c>
      <c r="E33" s="14" t="s">
        <v>4</v>
      </c>
      <c r="F33" s="14" t="s">
        <v>5</v>
      </c>
      <c r="G33" s="18" t="s">
        <v>6</v>
      </c>
      <c r="H33" s="14" t="s">
        <v>7</v>
      </c>
      <c r="M33"/>
      <c r="N33" t="s">
        <v>21</v>
      </c>
      <c r="O33"/>
    </row>
    <row r="34" spans="1:15" s="15" customFormat="1" x14ac:dyDescent="0.35">
      <c r="A34" s="16" t="s">
        <v>1</v>
      </c>
      <c r="B34">
        <v>1</v>
      </c>
      <c r="C34">
        <v>4</v>
      </c>
      <c r="D34" s="19">
        <f>B34/SUM(B34:C34)</f>
        <v>0.2</v>
      </c>
      <c r="E34" s="19">
        <f>IF(D34&lt;&gt;0,LOG(D34)/$F$1,0)</f>
        <v>-2.3219280948873622</v>
      </c>
      <c r="F34" s="19">
        <f>C34/SUM(B34:C34)</f>
        <v>0.8</v>
      </c>
      <c r="G34" s="22">
        <f>IF(F34&lt;&gt;0,LOG(F34)/$F$1,0)</f>
        <v>-0.32192809488736229</v>
      </c>
      <c r="H34" s="19">
        <f>-D34*E34-F34*G34</f>
        <v>0.72192809488736231</v>
      </c>
      <c r="M34" t="s">
        <v>19</v>
      </c>
      <c r="N34" t="s">
        <v>1</v>
      </c>
      <c r="O34" t="s">
        <v>2</v>
      </c>
    </row>
    <row r="35" spans="1:15" s="15" customFormat="1" x14ac:dyDescent="0.35">
      <c r="A35" s="16" t="s">
        <v>2</v>
      </c>
      <c r="B35">
        <f>N36</f>
        <v>1</v>
      </c>
      <c r="C35">
        <v>4</v>
      </c>
      <c r="D35" s="19">
        <f t="shared" ref="D35" si="18">B35/SUM(B35:C35)</f>
        <v>0.2</v>
      </c>
      <c r="E35" s="19">
        <f t="shared" ref="E35" si="19">IF(D35&lt;&gt;0,LOG(D35)/$F$1,0)</f>
        <v>-2.3219280948873622</v>
      </c>
      <c r="F35" s="19">
        <f t="shared" ref="F35" si="20">C35/SUM(B35:C35)</f>
        <v>0.8</v>
      </c>
      <c r="G35" s="22">
        <f t="shared" ref="G35" si="21">IF(F35&lt;&gt;0,LOG(F35)/$F$1,0)</f>
        <v>-0.32192809488736229</v>
      </c>
      <c r="H35" s="19">
        <f t="shared" ref="H35" si="22">-D35*E35-F35*G35</f>
        <v>0.72192809488736231</v>
      </c>
      <c r="M35" t="s">
        <v>1</v>
      </c>
      <c r="N35">
        <v>3</v>
      </c>
      <c r="O35">
        <v>2</v>
      </c>
    </row>
    <row r="36" spans="1:15" s="15" customFormat="1" x14ac:dyDescent="0.35">
      <c r="A36" s="16" t="s">
        <v>10</v>
      </c>
      <c r="B36" s="20"/>
      <c r="C36" s="20"/>
      <c r="D36" s="20"/>
      <c r="E36" s="20"/>
      <c r="F36" s="20"/>
      <c r="G36" s="20"/>
      <c r="H36" s="19">
        <f>(H34*SUM(B34:C34)+H35*SUM(B35:C35))/SUM(B34:C35)</f>
        <v>0.72192809488736231</v>
      </c>
      <c r="M36" t="s">
        <v>2</v>
      </c>
      <c r="N36">
        <v>1</v>
      </c>
      <c r="O36">
        <v>7</v>
      </c>
    </row>
    <row r="37" spans="1:15" s="15" customFormat="1" x14ac:dyDescent="0.35">
      <c r="A37" s="16" t="s">
        <v>12</v>
      </c>
      <c r="B37" s="20"/>
      <c r="C37" s="20"/>
      <c r="D37" s="20"/>
      <c r="E37" s="20"/>
      <c r="F37" s="20"/>
      <c r="G37" s="20"/>
      <c r="H37" s="21">
        <f>$H$4-H36</f>
        <v>0.24902249956730638</v>
      </c>
      <c r="M37"/>
      <c r="N37"/>
      <c r="O37"/>
    </row>
    <row r="38" spans="1:15" x14ac:dyDescent="0.35">
      <c r="M38"/>
      <c r="N38"/>
      <c r="O38"/>
    </row>
    <row r="39" spans="1:15" x14ac:dyDescent="0.35">
      <c r="M39"/>
      <c r="N39"/>
      <c r="O39"/>
    </row>
    <row r="40" spans="1:15" x14ac:dyDescent="0.35">
      <c r="A40" s="11" t="s">
        <v>35</v>
      </c>
      <c r="B40" s="17" t="s">
        <v>1</v>
      </c>
      <c r="C40" s="14" t="s">
        <v>2</v>
      </c>
      <c r="D40" s="14" t="s">
        <v>3</v>
      </c>
      <c r="E40" s="14" t="s">
        <v>4</v>
      </c>
      <c r="F40" s="14" t="s">
        <v>5</v>
      </c>
      <c r="G40" s="18" t="s">
        <v>6</v>
      </c>
      <c r="H40" s="14" t="s">
        <v>7</v>
      </c>
      <c r="M40"/>
      <c r="N40" t="s">
        <v>21</v>
      </c>
      <c r="O40"/>
    </row>
    <row r="41" spans="1:15" x14ac:dyDescent="0.35">
      <c r="A41" s="16" t="s">
        <v>1</v>
      </c>
      <c r="B41">
        <v>0</v>
      </c>
      <c r="C41">
        <v>2</v>
      </c>
      <c r="D41" s="19">
        <f>B41/SUM(B41:C41)</f>
        <v>0</v>
      </c>
      <c r="E41" s="19">
        <f>IF(D41&lt;&gt;0,LOG(D41)/$F$1,0)</f>
        <v>0</v>
      </c>
      <c r="F41" s="19">
        <f>C41/SUM(B41:C41)</f>
        <v>1</v>
      </c>
      <c r="G41" s="22">
        <f>IF(F41&lt;&gt;0,LOG(F41)/$F$1,0)</f>
        <v>0</v>
      </c>
      <c r="H41" s="19">
        <f>-D41*E41-F41*G41</f>
        <v>0</v>
      </c>
      <c r="M41" t="s">
        <v>18</v>
      </c>
      <c r="N41" t="s">
        <v>1</v>
      </c>
      <c r="O41" t="s">
        <v>2</v>
      </c>
    </row>
    <row r="42" spans="1:15" x14ac:dyDescent="0.35">
      <c r="A42" s="16" t="s">
        <v>2</v>
      </c>
      <c r="B42">
        <v>2</v>
      </c>
      <c r="C42">
        <v>6</v>
      </c>
      <c r="D42" s="19">
        <f t="shared" ref="D42" si="23">B42/SUM(B42:C42)</f>
        <v>0.25</v>
      </c>
      <c r="E42" s="19">
        <f t="shared" ref="E42" si="24">IF(D42&lt;&gt;0,LOG(D42)/$F$1,0)</f>
        <v>-2</v>
      </c>
      <c r="F42" s="19">
        <f t="shared" ref="F42" si="25">C42/SUM(B42:C42)</f>
        <v>0.75</v>
      </c>
      <c r="G42" s="22">
        <f t="shared" ref="G42" si="26">IF(F42&lt;&gt;0,LOG(F42)/$F$1,0)</f>
        <v>-0.41503749927884381</v>
      </c>
      <c r="H42" s="19">
        <f t="shared" ref="H42" si="27">-D42*E42-F42*G42</f>
        <v>0.81127812445913283</v>
      </c>
      <c r="M42" t="s">
        <v>1</v>
      </c>
      <c r="N42">
        <v>2</v>
      </c>
      <c r="O42">
        <v>1</v>
      </c>
    </row>
    <row r="43" spans="1:15" x14ac:dyDescent="0.35">
      <c r="A43" s="16" t="s">
        <v>10</v>
      </c>
      <c r="B43" s="20"/>
      <c r="C43" s="20"/>
      <c r="D43" s="20"/>
      <c r="E43" s="20"/>
      <c r="F43" s="20"/>
      <c r="G43" s="20"/>
      <c r="H43" s="19">
        <f>(H41*SUM(B41:C41)+H42*SUM(B42:C42))/SUM(B41:C42)</f>
        <v>0.64902249956730629</v>
      </c>
      <c r="M43" t="s">
        <v>2</v>
      </c>
      <c r="N43">
        <v>2</v>
      </c>
      <c r="O43">
        <v>10</v>
      </c>
    </row>
    <row r="44" spans="1:15" x14ac:dyDescent="0.35">
      <c r="A44" s="16" t="s">
        <v>12</v>
      </c>
      <c r="B44" s="20"/>
      <c r="C44" s="20"/>
      <c r="D44" s="20"/>
      <c r="E44" s="20"/>
      <c r="F44" s="20"/>
      <c r="G44" s="20"/>
      <c r="H44" s="21">
        <f>H4-H43</f>
        <v>0.3219280948873624</v>
      </c>
      <c r="M44"/>
      <c r="N44"/>
      <c r="O44"/>
    </row>
    <row r="45" spans="1:15" x14ac:dyDescent="0.35">
      <c r="M45"/>
      <c r="N45" t="s">
        <v>21</v>
      </c>
      <c r="O45"/>
    </row>
    <row r="46" spans="1:15" x14ac:dyDescent="0.35">
      <c r="A46" s="11" t="s">
        <v>34</v>
      </c>
      <c r="B46" s="17" t="s">
        <v>1</v>
      </c>
      <c r="C46" s="14" t="s">
        <v>2</v>
      </c>
      <c r="D46" s="14" t="s">
        <v>3</v>
      </c>
      <c r="E46" s="14" t="s">
        <v>4</v>
      </c>
      <c r="F46" s="14" t="s">
        <v>5</v>
      </c>
      <c r="G46" s="18" t="s">
        <v>6</v>
      </c>
      <c r="H46" s="14" t="s">
        <v>7</v>
      </c>
      <c r="M46" t="s">
        <v>17</v>
      </c>
      <c r="N46" t="s">
        <v>1</v>
      </c>
      <c r="O46" t="s">
        <v>2</v>
      </c>
    </row>
    <row r="47" spans="1:15" x14ac:dyDescent="0.35">
      <c r="A47" s="16" t="s">
        <v>1</v>
      </c>
      <c r="B47">
        <v>1</v>
      </c>
      <c r="C47">
        <v>5</v>
      </c>
      <c r="D47" s="19">
        <f>B47/SUM(B47:C47)</f>
        <v>0.16666666666666666</v>
      </c>
      <c r="E47" s="19">
        <f>IF(D47&lt;&gt;0,LOG(D47)/$F$1,0)</f>
        <v>-2.5849625007211561</v>
      </c>
      <c r="F47" s="19">
        <f>C47/SUM(B47:C47)</f>
        <v>0.83333333333333337</v>
      </c>
      <c r="G47" s="22">
        <f>IF(F47&lt;&gt;0,LOG(F47)/$F$1,0)</f>
        <v>-0.26303440583379373</v>
      </c>
      <c r="H47" s="19">
        <f>-D47*E47-F47*G47</f>
        <v>0.65002242164835411</v>
      </c>
      <c r="M47" t="s">
        <v>1</v>
      </c>
      <c r="N47">
        <v>3</v>
      </c>
      <c r="O47">
        <v>5</v>
      </c>
    </row>
    <row r="48" spans="1:15" x14ac:dyDescent="0.35">
      <c r="A48" s="16" t="s">
        <v>2</v>
      </c>
      <c r="B48">
        <v>1</v>
      </c>
      <c r="C48">
        <v>3</v>
      </c>
      <c r="D48" s="19">
        <f t="shared" ref="D48" si="28">B48/SUM(B48:C48)</f>
        <v>0.25</v>
      </c>
      <c r="E48" s="19">
        <f t="shared" ref="E48" si="29">IF(D48&lt;&gt;0,LOG(D48)/$F$1,0)</f>
        <v>-2</v>
      </c>
      <c r="F48" s="19">
        <f t="shared" ref="F48" si="30">C48/SUM(B48:C48)</f>
        <v>0.75</v>
      </c>
      <c r="G48" s="22">
        <f t="shared" ref="G48" si="31">IF(F48&lt;&gt;0,LOG(F48)/$F$1,0)</f>
        <v>-0.41503749927884381</v>
      </c>
      <c r="H48" s="19">
        <f t="shared" ref="H48" si="32">-D48*E48-F48*G48</f>
        <v>0.81127812445913283</v>
      </c>
      <c r="M48" t="s">
        <v>2</v>
      </c>
      <c r="N48">
        <v>1</v>
      </c>
      <c r="O48">
        <v>4</v>
      </c>
    </row>
    <row r="49" spans="1:13" x14ac:dyDescent="0.35">
      <c r="A49" s="16" t="s">
        <v>10</v>
      </c>
      <c r="B49" s="20"/>
      <c r="C49" s="20"/>
      <c r="D49" s="20"/>
      <c r="E49" s="20"/>
      <c r="F49" s="20"/>
      <c r="G49" s="20"/>
      <c r="H49" s="19">
        <f>(H47*SUM(B47:C47)+H48*SUM(B48:C48))/SUM(B47:C48)</f>
        <v>0.71452470277266555</v>
      </c>
    </row>
    <row r="50" spans="1:13" x14ac:dyDescent="0.35">
      <c r="A50" s="16" t="s">
        <v>12</v>
      </c>
      <c r="B50" s="20"/>
      <c r="C50" s="20"/>
      <c r="D50" s="20"/>
      <c r="E50" s="20"/>
      <c r="F50" s="20"/>
      <c r="G50" s="20"/>
      <c r="H50" s="21">
        <f>$H$4-H49</f>
        <v>0.25642589168200314</v>
      </c>
    </row>
    <row r="55" spans="1:13" x14ac:dyDescent="0.35">
      <c r="A55" s="1"/>
    </row>
    <row r="56" spans="1:13" x14ac:dyDescent="0.35">
      <c r="A56" s="11" t="s">
        <v>37</v>
      </c>
      <c r="B56" s="17" t="s">
        <v>1</v>
      </c>
      <c r="C56" s="14" t="s">
        <v>2</v>
      </c>
      <c r="D56" s="14" t="s">
        <v>3</v>
      </c>
      <c r="E56" s="14" t="s">
        <v>4</v>
      </c>
      <c r="F56" s="14" t="s">
        <v>5</v>
      </c>
      <c r="G56" s="18" t="s">
        <v>6</v>
      </c>
      <c r="H56" s="14" t="s">
        <v>7</v>
      </c>
    </row>
    <row r="57" spans="1:13" x14ac:dyDescent="0.35">
      <c r="A57" s="16" t="s">
        <v>1</v>
      </c>
      <c r="B57">
        <v>2</v>
      </c>
      <c r="C57">
        <f>O58</f>
        <v>0</v>
      </c>
      <c r="D57" s="19">
        <f>B57/SUM(B57:C57)</f>
        <v>1</v>
      </c>
      <c r="E57" s="19">
        <f>IF(D57&lt;&gt;0,LOG(D57)/$F$1,0)</f>
        <v>0</v>
      </c>
      <c r="F57" s="19">
        <f>C57/SUM(B57:C57)</f>
        <v>0</v>
      </c>
      <c r="G57" s="22">
        <f>IF(F57&lt;&gt;0,LOG(F57)/$F$1,0)</f>
        <v>0</v>
      </c>
      <c r="H57" s="19">
        <f>-D57*E57-F57*G57</f>
        <v>0</v>
      </c>
    </row>
    <row r="58" spans="1:13" x14ac:dyDescent="0.35">
      <c r="A58" s="16" t="s">
        <v>2</v>
      </c>
      <c r="B58">
        <f>N59</f>
        <v>0</v>
      </c>
      <c r="C58">
        <v>3</v>
      </c>
      <c r="D58" s="19">
        <f t="shared" ref="D58" si="33">B58/SUM(B58:C58)</f>
        <v>0</v>
      </c>
      <c r="E58" s="19">
        <f t="shared" ref="E58" si="34">IF(D58&lt;&gt;0,LOG(D58)/$F$1,0)</f>
        <v>0</v>
      </c>
      <c r="F58" s="19">
        <f t="shared" ref="F58" si="35">C58/SUM(B58:C58)</f>
        <v>1</v>
      </c>
      <c r="G58" s="22">
        <f t="shared" ref="G58" si="36">IF(F58&lt;&gt;0,LOG(F58)/$F$1,0)</f>
        <v>0</v>
      </c>
      <c r="H58" s="19">
        <f t="shared" ref="H58" si="37">-D58*E58-F58*G58</f>
        <v>0</v>
      </c>
    </row>
    <row r="59" spans="1:13" x14ac:dyDescent="0.35">
      <c r="A59" s="16" t="s">
        <v>10</v>
      </c>
      <c r="B59" s="20"/>
      <c r="C59" s="20"/>
      <c r="D59" s="20"/>
      <c r="E59" s="20"/>
      <c r="F59" s="20"/>
      <c r="G59" s="20"/>
      <c r="H59" s="19">
        <f>(H57*SUM(B57:C57)+H58*SUM(B58:C58))/SUM(B57:C58)</f>
        <v>0</v>
      </c>
    </row>
    <row r="60" spans="1:13" x14ac:dyDescent="0.35">
      <c r="A60" s="16" t="s">
        <v>12</v>
      </c>
      <c r="B60" s="20"/>
      <c r="C60" s="20"/>
      <c r="D60" s="20"/>
      <c r="E60" s="20"/>
      <c r="F60" s="20"/>
      <c r="G60" s="20"/>
      <c r="H60" s="21">
        <f>$H$4-H59</f>
        <v>0.97095059445466869</v>
      </c>
    </row>
    <row r="61" spans="1:13" x14ac:dyDescent="0.35">
      <c r="I61" s="31"/>
      <c r="J61" s="31"/>
      <c r="K61" s="31"/>
      <c r="L61" s="31"/>
      <c r="M61" s="31"/>
    </row>
    <row r="63" spans="1:13" x14ac:dyDescent="0.35">
      <c r="A63" s="11" t="s">
        <v>38</v>
      </c>
      <c r="B63" s="17" t="s">
        <v>1</v>
      </c>
      <c r="C63" s="14" t="s">
        <v>2</v>
      </c>
      <c r="D63" s="14" t="s">
        <v>3</v>
      </c>
      <c r="E63" s="14" t="s">
        <v>4</v>
      </c>
      <c r="F63" s="14" t="s">
        <v>5</v>
      </c>
      <c r="G63" s="18" t="s">
        <v>6</v>
      </c>
      <c r="H63" s="14" t="s">
        <v>7</v>
      </c>
    </row>
    <row r="64" spans="1:13" x14ac:dyDescent="0.35">
      <c r="A64" s="16" t="s">
        <v>1</v>
      </c>
      <c r="B64">
        <v>0</v>
      </c>
      <c r="C64">
        <v>1</v>
      </c>
      <c r="D64" s="19">
        <f>B64/SUM(B64:C64)</f>
        <v>0</v>
      </c>
      <c r="E64" s="19">
        <f>IF(D64&lt;&gt;0,LOG(D64)/$F$1,0)</f>
        <v>0</v>
      </c>
      <c r="F64" s="19">
        <f>C64/SUM(B64:C64)</f>
        <v>1</v>
      </c>
      <c r="G64" s="22">
        <f>IF(F64&lt;&gt;0,LOG(F64)/$F$1,0)</f>
        <v>0</v>
      </c>
      <c r="H64" s="19">
        <f>-D64*E64-F64*G64</f>
        <v>0</v>
      </c>
    </row>
    <row r="65" spans="1:15" x14ac:dyDescent="0.35">
      <c r="A65" s="16" t="s">
        <v>2</v>
      </c>
      <c r="B65">
        <v>2</v>
      </c>
      <c r="C65">
        <v>2</v>
      </c>
      <c r="D65" s="19">
        <f t="shared" ref="D65" si="38">B65/SUM(B65:C65)</f>
        <v>0.5</v>
      </c>
      <c r="E65" s="19">
        <f t="shared" ref="E65" si="39">IF(D65&lt;&gt;0,LOG(D65)/$F$1,0)</f>
        <v>-1</v>
      </c>
      <c r="F65" s="19">
        <f t="shared" ref="F65" si="40">C65/SUM(B65:C65)</f>
        <v>0.5</v>
      </c>
      <c r="G65" s="22">
        <f t="shared" ref="G65" si="41">IF(F65&lt;&gt;0,LOG(F65)/$F$1,0)</f>
        <v>-1</v>
      </c>
      <c r="H65" s="19">
        <f t="shared" ref="H65" si="42">-D65*E65-F65*G65</f>
        <v>1</v>
      </c>
    </row>
    <row r="66" spans="1:15" x14ac:dyDescent="0.35">
      <c r="A66" s="16" t="s">
        <v>10</v>
      </c>
      <c r="B66" s="20"/>
      <c r="C66" s="20"/>
      <c r="D66" s="20"/>
      <c r="E66" s="20"/>
      <c r="F66" s="20"/>
      <c r="G66" s="20"/>
      <c r="H66" s="19">
        <f>(H64*SUM(B64:C64)+H65*SUM(B65:C65))/SUM(B64:C65)</f>
        <v>0.8</v>
      </c>
    </row>
    <row r="67" spans="1:15" x14ac:dyDescent="0.35">
      <c r="A67" s="16" t="s">
        <v>12</v>
      </c>
      <c r="B67" s="20"/>
      <c r="C67" s="20"/>
      <c r="D67" s="20"/>
      <c r="E67" s="20"/>
      <c r="F67" s="20"/>
      <c r="G67" s="20"/>
      <c r="H67" s="21">
        <f>H4-H66</f>
        <v>0.17095059445466865</v>
      </c>
    </row>
    <row r="69" spans="1:15" x14ac:dyDescent="0.35">
      <c r="A69" s="11" t="s">
        <v>39</v>
      </c>
      <c r="B69" s="17" t="s">
        <v>1</v>
      </c>
      <c r="C69" s="14" t="s">
        <v>2</v>
      </c>
      <c r="D69" s="14" t="s">
        <v>3</v>
      </c>
      <c r="E69" s="14" t="s">
        <v>4</v>
      </c>
      <c r="F69" s="14" t="s">
        <v>5</v>
      </c>
      <c r="G69" s="18" t="s">
        <v>6</v>
      </c>
      <c r="H69" s="14" t="s">
        <v>7</v>
      </c>
    </row>
    <row r="70" spans="1:15" x14ac:dyDescent="0.35">
      <c r="A70" s="16" t="s">
        <v>1</v>
      </c>
      <c r="B70">
        <v>2</v>
      </c>
      <c r="C70">
        <v>2</v>
      </c>
      <c r="D70" s="19">
        <f>B70/SUM(B70:C70)</f>
        <v>0.5</v>
      </c>
      <c r="E70" s="19">
        <f>IF(D70&lt;&gt;0,LOG(D70)/$F$1,0)</f>
        <v>-1</v>
      </c>
      <c r="F70" s="19">
        <f>C70/SUM(B70:C70)</f>
        <v>0.5</v>
      </c>
      <c r="G70" s="22">
        <f>IF(F70&lt;&gt;0,LOG(F70)/$F$1,0)</f>
        <v>-1</v>
      </c>
      <c r="H70" s="19">
        <f>-D70*E70-F70*G70</f>
        <v>1</v>
      </c>
    </row>
    <row r="71" spans="1:15" x14ac:dyDescent="0.35">
      <c r="A71" s="16" t="s">
        <v>2</v>
      </c>
      <c r="B71">
        <v>0</v>
      </c>
      <c r="C71">
        <v>1</v>
      </c>
      <c r="D71" s="19">
        <f t="shared" ref="D71" si="43">B71/SUM(B71:C71)</f>
        <v>0</v>
      </c>
      <c r="E71" s="19">
        <f t="shared" ref="E71" si="44">IF(D71&lt;&gt;0,LOG(D71)/$F$1,0)</f>
        <v>0</v>
      </c>
      <c r="F71" s="19">
        <f t="shared" ref="F71" si="45">C71/SUM(B71:C71)</f>
        <v>1</v>
      </c>
      <c r="G71" s="22">
        <f t="shared" ref="G71" si="46">IF(F71&lt;&gt;0,LOG(F71)/$F$1,0)</f>
        <v>0</v>
      </c>
      <c r="H71" s="19">
        <f t="shared" ref="H71" si="47">-D71*E71-F71*G71</f>
        <v>0</v>
      </c>
    </row>
    <row r="72" spans="1:15" x14ac:dyDescent="0.35">
      <c r="A72" s="16" t="s">
        <v>10</v>
      </c>
      <c r="B72" s="20"/>
      <c r="C72" s="20"/>
      <c r="D72" s="20"/>
      <c r="E72" s="20"/>
      <c r="F72" s="20"/>
      <c r="G72" s="20"/>
      <c r="H72" s="19">
        <f>(H70*SUM(B70:C70)+H71*SUM(B71:C71))/SUM(B70:C71)</f>
        <v>0.8</v>
      </c>
    </row>
    <row r="73" spans="1:15" x14ac:dyDescent="0.35">
      <c r="A73" s="16" t="s">
        <v>12</v>
      </c>
      <c r="B73" s="20"/>
      <c r="C73" s="20"/>
      <c r="D73" s="20"/>
      <c r="E73" s="20"/>
      <c r="F73" s="20"/>
      <c r="G73" s="20"/>
      <c r="H73" s="21">
        <f>$H$4-H72</f>
        <v>0.17095059445466865</v>
      </c>
    </row>
    <row r="74" spans="1:15" x14ac:dyDescent="0.35">
      <c r="A74" s="16" t="s">
        <v>12</v>
      </c>
      <c r="B74" s="20"/>
      <c r="C74" s="20"/>
      <c r="D74" s="20"/>
      <c r="E74" s="20"/>
      <c r="F74" s="20"/>
      <c r="G74" s="20"/>
      <c r="H74" s="21">
        <f>$H$4-H73</f>
        <v>0.8</v>
      </c>
    </row>
    <row r="76" spans="1:15" x14ac:dyDescent="0.35">
      <c r="A76" s="30"/>
      <c r="B76" s="31"/>
      <c r="C76" s="31"/>
      <c r="D76" s="31" t="s">
        <v>40</v>
      </c>
      <c r="E76" s="31"/>
      <c r="F76" s="31"/>
      <c r="G76" s="31"/>
      <c r="H76" s="31"/>
      <c r="I76" s="31"/>
      <c r="J76" s="31"/>
      <c r="K76" s="31"/>
      <c r="L76" s="31"/>
      <c r="M76" s="31"/>
      <c r="N76" s="31"/>
      <c r="O76" s="31"/>
    </row>
    <row r="78" spans="1:15" x14ac:dyDescent="0.35">
      <c r="A78" s="1"/>
    </row>
    <row r="79" spans="1:15" x14ac:dyDescent="0.35">
      <c r="A79" s="13" t="s">
        <v>27</v>
      </c>
      <c r="B79" s="17" t="s">
        <v>1</v>
      </c>
      <c r="C79" s="14" t="s">
        <v>2</v>
      </c>
      <c r="D79" s="14" t="s">
        <v>3</v>
      </c>
      <c r="E79" s="14" t="s">
        <v>4</v>
      </c>
      <c r="F79" s="14" t="s">
        <v>5</v>
      </c>
      <c r="G79" s="18" t="s">
        <v>6</v>
      </c>
      <c r="H79" s="14" t="s">
        <v>7</v>
      </c>
    </row>
    <row r="80" spans="1:15" x14ac:dyDescent="0.35">
      <c r="A80" s="16" t="s">
        <v>1</v>
      </c>
      <c r="B80">
        <v>3</v>
      </c>
      <c r="C80">
        <v>3</v>
      </c>
      <c r="D80" s="19">
        <f>B80/SUM(B80:C80)</f>
        <v>0.5</v>
      </c>
      <c r="E80" s="19">
        <f>IF(D80&lt;&gt;0,LOG(D80)/$F$1,0)</f>
        <v>-1</v>
      </c>
      <c r="F80" s="19">
        <f>C80/SUM(B80:C80)</f>
        <v>0.5</v>
      </c>
      <c r="G80" s="22">
        <f>IF(F80&lt;&gt;0,LOG(F80)/$F$1,0)</f>
        <v>-1</v>
      </c>
      <c r="H80" s="19">
        <f>-D80*E80-F80*G80</f>
        <v>1</v>
      </c>
    </row>
    <row r="81" spans="1:8" x14ac:dyDescent="0.35">
      <c r="A81" s="16" t="s">
        <v>2</v>
      </c>
      <c r="B81">
        <v>0</v>
      </c>
      <c r="C81">
        <v>1</v>
      </c>
      <c r="D81" s="19">
        <f t="shared" ref="D81" si="48">B81/SUM(B81:C81)</f>
        <v>0</v>
      </c>
      <c r="E81" s="19">
        <f t="shared" ref="E81" si="49">IF(D81&lt;&gt;0,LOG(D81)/$F$1,0)</f>
        <v>0</v>
      </c>
      <c r="F81" s="19">
        <f t="shared" ref="F81" si="50">C81/SUM(B81:C81)</f>
        <v>1</v>
      </c>
      <c r="G81" s="22">
        <f t="shared" ref="G81" si="51">IF(F81&lt;&gt;0,LOG(F81)/$F$1,0)</f>
        <v>0</v>
      </c>
      <c r="H81" s="19">
        <f t="shared" ref="H81" si="52">-D81*E81-F81*G81</f>
        <v>0</v>
      </c>
    </row>
    <row r="82" spans="1:8" x14ac:dyDescent="0.35">
      <c r="A82" s="16" t="s">
        <v>10</v>
      </c>
      <c r="B82" s="20"/>
      <c r="C82" s="20"/>
      <c r="D82" s="20"/>
      <c r="E82" s="20"/>
      <c r="F82" s="20"/>
      <c r="G82" s="20"/>
      <c r="H82" s="19">
        <f>(H80*SUM(B80:C80)+H81*SUM(B81:C81))/SUM(B80:C81)</f>
        <v>0.8571428571428571</v>
      </c>
    </row>
    <row r="83" spans="1:8" x14ac:dyDescent="0.35">
      <c r="A83" s="16" t="s">
        <v>12</v>
      </c>
      <c r="B83" s="20"/>
      <c r="C83" s="20"/>
      <c r="D83" s="20"/>
      <c r="E83" s="20"/>
      <c r="F83" s="20"/>
      <c r="G83" s="20"/>
      <c r="H83" s="21">
        <f>$H$4-H82</f>
        <v>0.1138077373118116</v>
      </c>
    </row>
    <row r="85" spans="1:8" x14ac:dyDescent="0.35">
      <c r="A85" s="13" t="s">
        <v>26</v>
      </c>
      <c r="B85" s="17" t="s">
        <v>1</v>
      </c>
      <c r="C85" s="14" t="s">
        <v>2</v>
      </c>
      <c r="D85" s="14" t="s">
        <v>3</v>
      </c>
      <c r="E85" s="14" t="s">
        <v>4</v>
      </c>
      <c r="F85" s="14" t="s">
        <v>5</v>
      </c>
      <c r="G85" s="18" t="s">
        <v>6</v>
      </c>
      <c r="H85" s="14" t="s">
        <v>7</v>
      </c>
    </row>
    <row r="86" spans="1:8" x14ac:dyDescent="0.35">
      <c r="A86" s="16" t="s">
        <v>1</v>
      </c>
      <c r="B86">
        <v>0</v>
      </c>
      <c r="C86">
        <v>4</v>
      </c>
      <c r="D86" s="19">
        <f>B86/SUM(B86:C86)</f>
        <v>0</v>
      </c>
      <c r="E86" s="19">
        <f>IF(D86&lt;&gt;0,LOG(D86)/$F$1,0)</f>
        <v>0</v>
      </c>
      <c r="F86" s="19">
        <f>C86/SUM(B86:C86)</f>
        <v>1</v>
      </c>
      <c r="G86" s="22">
        <f>IF(F86&lt;&gt;0,LOG(F86)/$F$1,0)</f>
        <v>0</v>
      </c>
      <c r="H86" s="19">
        <f>-D86*E86-F86*G86</f>
        <v>0</v>
      </c>
    </row>
    <row r="87" spans="1:8" x14ac:dyDescent="0.35">
      <c r="A87" s="16" t="s">
        <v>2</v>
      </c>
      <c r="B87">
        <v>1</v>
      </c>
      <c r="C87">
        <v>3</v>
      </c>
      <c r="D87" s="19">
        <f t="shared" ref="D87" si="53">B87/SUM(B87:C87)</f>
        <v>0.25</v>
      </c>
      <c r="E87" s="19">
        <f t="shared" ref="E87" si="54">IF(D87&lt;&gt;0,LOG(D87)/$F$1,0)</f>
        <v>-2</v>
      </c>
      <c r="F87" s="19">
        <f t="shared" ref="F87" si="55">C87/SUM(B87:C87)</f>
        <v>0.75</v>
      </c>
      <c r="G87" s="22">
        <f t="shared" ref="G87" si="56">IF(F87&lt;&gt;0,LOG(F87)/$F$1,0)</f>
        <v>-0.41503749927884381</v>
      </c>
      <c r="H87" s="19">
        <f t="shared" ref="H87" si="57">-D87*E87-F87*G87</f>
        <v>0.81127812445913283</v>
      </c>
    </row>
    <row r="88" spans="1:8" x14ac:dyDescent="0.35">
      <c r="A88" s="16" t="s">
        <v>10</v>
      </c>
      <c r="B88" s="20"/>
      <c r="C88" s="20"/>
      <c r="D88" s="20"/>
      <c r="E88" s="20"/>
      <c r="F88" s="20"/>
      <c r="G88" s="20"/>
      <c r="H88" s="19">
        <f>(H86*SUM(B86:C86)+H87*SUM(B87:C87))/SUM(B86:C87)</f>
        <v>0.40563906222956642</v>
      </c>
    </row>
    <row r="89" spans="1:8" x14ac:dyDescent="0.35">
      <c r="A89" s="16" t="s">
        <v>12</v>
      </c>
      <c r="B89" s="20"/>
      <c r="C89" s="20"/>
      <c r="D89" s="20"/>
      <c r="E89" s="20"/>
      <c r="F89" s="20"/>
      <c r="G89" s="20"/>
      <c r="H89" s="21">
        <f>$H$4-H88</f>
        <v>0.56531153222510233</v>
      </c>
    </row>
    <row r="94" spans="1:8" x14ac:dyDescent="0.35">
      <c r="A94" s="13" t="s">
        <v>41</v>
      </c>
      <c r="B94" s="17" t="s">
        <v>1</v>
      </c>
      <c r="C94" s="14" t="s">
        <v>2</v>
      </c>
      <c r="D94" s="14" t="s">
        <v>3</v>
      </c>
      <c r="E94" s="14" t="s">
        <v>4</v>
      </c>
      <c r="F94" s="14" t="s">
        <v>5</v>
      </c>
      <c r="G94" s="18" t="s">
        <v>6</v>
      </c>
      <c r="H94" s="14" t="s">
        <v>7</v>
      </c>
    </row>
    <row r="95" spans="1:8" x14ac:dyDescent="0.35">
      <c r="A95" s="16" t="s">
        <v>1</v>
      </c>
      <c r="B95">
        <v>0</v>
      </c>
      <c r="C95">
        <v>2</v>
      </c>
      <c r="D95" s="19">
        <f>B95/SUM(B95:C95)</f>
        <v>0</v>
      </c>
      <c r="E95" s="19">
        <f>IF(D95&lt;&gt;0,LOG(D95)/$F$1,0)</f>
        <v>0</v>
      </c>
      <c r="F95" s="19">
        <f>C95/SUM(B95:C95)</f>
        <v>1</v>
      </c>
      <c r="G95" s="22">
        <f>IF(F95&lt;&gt;0,LOG(F95)/$F$1,0)</f>
        <v>0</v>
      </c>
      <c r="H95" s="19">
        <f>-D95*E95-F95*G95</f>
        <v>0</v>
      </c>
    </row>
    <row r="96" spans="1:8" x14ac:dyDescent="0.35">
      <c r="A96" s="16" t="s">
        <v>2</v>
      </c>
      <c r="B96">
        <v>0</v>
      </c>
      <c r="C96">
        <v>1</v>
      </c>
      <c r="D96" s="19">
        <f t="shared" ref="D96" si="58">B96/SUM(B96:C96)</f>
        <v>0</v>
      </c>
      <c r="E96" s="19">
        <f t="shared" ref="E96" si="59">IF(D96&lt;&gt;0,LOG(D96)/$F$1,0)</f>
        <v>0</v>
      </c>
      <c r="F96" s="19">
        <f t="shared" ref="F96" si="60">C96/SUM(B96:C96)</f>
        <v>1</v>
      </c>
      <c r="G96" s="22">
        <f t="shared" ref="G96" si="61">IF(F96&lt;&gt;0,LOG(F96)/$F$1,0)</f>
        <v>0</v>
      </c>
      <c r="H96" s="19">
        <f t="shared" ref="H96" si="62">-D96*E96-F96*G96</f>
        <v>0</v>
      </c>
    </row>
    <row r="97" spans="1:8" x14ac:dyDescent="0.35">
      <c r="A97" s="16" t="s">
        <v>10</v>
      </c>
      <c r="B97" s="20"/>
      <c r="C97" s="20"/>
      <c r="D97" s="20"/>
      <c r="E97" s="20"/>
      <c r="F97" s="20"/>
      <c r="G97" s="20"/>
      <c r="H97" s="19">
        <f>(H95*SUM(B95:C95)+H96*SUM(B96:C96))/SUM(B95:C96)</f>
        <v>0</v>
      </c>
    </row>
    <row r="98" spans="1:8" x14ac:dyDescent="0.35">
      <c r="A98" s="16" t="s">
        <v>12</v>
      </c>
      <c r="B98" s="20"/>
      <c r="C98" s="20"/>
      <c r="D98" s="20"/>
      <c r="E98" s="20"/>
      <c r="F98" s="20"/>
      <c r="G98" s="20"/>
      <c r="H98" s="21">
        <f>$H$4-H97</f>
        <v>0.97095059445466869</v>
      </c>
    </row>
    <row r="100" spans="1:8" x14ac:dyDescent="0.35">
      <c r="A100" s="13" t="s">
        <v>28</v>
      </c>
      <c r="B100" s="17" t="s">
        <v>1</v>
      </c>
      <c r="C100" s="14" t="s">
        <v>2</v>
      </c>
      <c r="D100" s="14" t="s">
        <v>3</v>
      </c>
      <c r="E100" s="14" t="s">
        <v>4</v>
      </c>
      <c r="F100" s="14" t="s">
        <v>5</v>
      </c>
      <c r="G100" s="18" t="s">
        <v>6</v>
      </c>
      <c r="H100" s="14" t="s">
        <v>7</v>
      </c>
    </row>
    <row r="101" spans="1:8" x14ac:dyDescent="0.35">
      <c r="A101" s="16" t="s">
        <v>1</v>
      </c>
      <c r="B101">
        <v>3</v>
      </c>
      <c r="C101">
        <v>5</v>
      </c>
      <c r="D101" s="19">
        <f>B101/SUM(B101:C101)</f>
        <v>0.375</v>
      </c>
      <c r="E101" s="19">
        <f>IF(D101&lt;&gt;0,LOG(D101)/$F$1,0)</f>
        <v>-1.4150374992788439</v>
      </c>
      <c r="F101" s="19">
        <f>C101/SUM(B101:C101)</f>
        <v>0.625</v>
      </c>
      <c r="G101" s="22">
        <f>IF(F101&lt;&gt;0,LOG(F101)/$F$1,0)</f>
        <v>-0.67807190511263771</v>
      </c>
      <c r="H101" s="19">
        <f>-D101*E101-F101*G101</f>
        <v>0.95443400292496505</v>
      </c>
    </row>
    <row r="102" spans="1:8" x14ac:dyDescent="0.35">
      <c r="A102" s="16" t="s">
        <v>2</v>
      </c>
      <c r="B102">
        <v>1</v>
      </c>
      <c r="C102">
        <v>3</v>
      </c>
      <c r="D102" s="19">
        <f t="shared" ref="D102" si="63">B102/SUM(B102:C102)</f>
        <v>0.25</v>
      </c>
      <c r="E102" s="19">
        <f t="shared" ref="E102" si="64">IF(D102&lt;&gt;0,LOG(D102)/$F$1,0)</f>
        <v>-2</v>
      </c>
      <c r="F102" s="19">
        <f t="shared" ref="F102" si="65">C102/SUM(B102:C102)</f>
        <v>0.75</v>
      </c>
      <c r="G102" s="22">
        <f t="shared" ref="G102" si="66">IF(F102&lt;&gt;0,LOG(F102)/$F$1,0)</f>
        <v>-0.41503749927884381</v>
      </c>
      <c r="H102" s="19">
        <f t="shared" ref="H102" si="67">-D102*E102-F102*G102</f>
        <v>0.81127812445913283</v>
      </c>
    </row>
    <row r="103" spans="1:8" x14ac:dyDescent="0.35">
      <c r="A103" s="16" t="s">
        <v>10</v>
      </c>
      <c r="B103" s="20"/>
      <c r="C103" s="20"/>
      <c r="D103" s="20"/>
      <c r="E103" s="20"/>
      <c r="F103" s="20"/>
      <c r="G103" s="20"/>
      <c r="H103" s="19">
        <f>(H101*SUM(B101:C101)+H102*SUM(B102:C102))/SUM(B101:C102)</f>
        <v>0.90671537676968761</v>
      </c>
    </row>
    <row r="104" spans="1:8" x14ac:dyDescent="0.35">
      <c r="A104" s="16" t="s">
        <v>12</v>
      </c>
      <c r="B104" s="20"/>
      <c r="C104" s="20"/>
      <c r="D104" s="20"/>
      <c r="E104" s="20"/>
      <c r="F104" s="20"/>
      <c r="G104" s="20"/>
      <c r="H104" s="21">
        <f>$H$4-H103</f>
        <v>6.4235217684981083E-2</v>
      </c>
    </row>
  </sheetData>
  <mergeCells count="1">
    <mergeCell ref="A32:H32"/>
  </mergeCells>
  <conditionalFormatting sqref="A14:A15">
    <cfRule type="uniqueValues" dxfId="1" priority="2"/>
  </conditionalFormatting>
  <conditionalFormatting sqref="A20:A21">
    <cfRule type="uniqueValues" dxfId="0" priority="1"/>
  </conditionalFormatting>
  <pageMargins left="0.75" right="0.75" top="1" bottom="1" header="0.5" footer="0.5"/>
  <pageSetup paperSize="9" orientation="portrait" horizontalDpi="4294967292" verticalDpi="4294967292"/>
  <ignoredErrors>
    <ignoredError sqref="F4:F8 F10:F11 F17 F12:F16 F18:F21 F34:F35 F28:F31 F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13D7-3E0D-4872-ADE5-D2BAC6609988}">
  <dimension ref="A1:O110"/>
  <sheetViews>
    <sheetView topLeftCell="A27" zoomScale="85" zoomScaleNormal="85" zoomScalePageLayoutView="160" workbookViewId="0">
      <selection activeCell="H48" sqref="A1:XFD1048576"/>
    </sheetView>
  </sheetViews>
  <sheetFormatPr defaultColWidth="10.83203125" defaultRowHeight="15.5" x14ac:dyDescent="0.35"/>
  <cols>
    <col min="1" max="1" width="20.83203125" style="10" customWidth="1"/>
    <col min="2" max="8" width="10.33203125" style="1" customWidth="1"/>
    <col min="9" max="16384" width="10.83203125" style="1"/>
  </cols>
  <sheetData>
    <row r="1" spans="1:8" x14ac:dyDescent="0.35">
      <c r="D1" s="1" t="s">
        <v>0</v>
      </c>
      <c r="E1" s="1">
        <v>2</v>
      </c>
      <c r="F1" s="2">
        <f>LOG(E1)</f>
        <v>0.3010299956639812</v>
      </c>
      <c r="G1" s="3"/>
    </row>
    <row r="3" spans="1:8" x14ac:dyDescent="0.35">
      <c r="A3" s="11" t="s">
        <v>15</v>
      </c>
      <c r="B3" s="6" t="s">
        <v>1</v>
      </c>
      <c r="C3" s="6" t="s">
        <v>2</v>
      </c>
      <c r="D3" s="6" t="s">
        <v>3</v>
      </c>
      <c r="E3" s="6" t="s">
        <v>4</v>
      </c>
      <c r="F3" s="6" t="s">
        <v>5</v>
      </c>
      <c r="G3" s="6" t="s">
        <v>6</v>
      </c>
      <c r="H3" s="6" t="s">
        <v>7</v>
      </c>
    </row>
    <row r="4" spans="1:8" x14ac:dyDescent="0.35">
      <c r="A4" s="12" t="s">
        <v>8</v>
      </c>
      <c r="B4" s="4">
        <v>8</v>
      </c>
      <c r="C4" s="4">
        <v>12</v>
      </c>
      <c r="D4" s="5">
        <f>B4/SUM(B4:C4)</f>
        <v>0.4</v>
      </c>
      <c r="E4" s="5">
        <f>IF(D4&lt;&gt;0,LOG(D4)/$F$1,0)</f>
        <v>-1.3219280948873624</v>
      </c>
      <c r="F4" s="5">
        <f>C4/SUM(B4:C4)</f>
        <v>0.6</v>
      </c>
      <c r="G4" s="5">
        <f>IF(F4&lt;&gt;0,LOG(F4)/$F$1,0)</f>
        <v>-0.73696559416620622</v>
      </c>
      <c r="H4" s="5">
        <f>-D4*E4-F4*G4</f>
        <v>0.97095059445466869</v>
      </c>
    </row>
    <row r="6" spans="1:8" x14ac:dyDescent="0.35">
      <c r="A6" s="11" t="s">
        <v>18</v>
      </c>
      <c r="B6" s="11" t="s">
        <v>1</v>
      </c>
      <c r="C6" s="11" t="s">
        <v>2</v>
      </c>
      <c r="D6" s="6" t="s">
        <v>3</v>
      </c>
      <c r="E6" s="6" t="s">
        <v>4</v>
      </c>
      <c r="F6" s="6" t="s">
        <v>5</v>
      </c>
      <c r="G6" s="6" t="s">
        <v>6</v>
      </c>
      <c r="H6" s="6" t="s">
        <v>7</v>
      </c>
    </row>
    <row r="7" spans="1:8" x14ac:dyDescent="0.35">
      <c r="A7" s="11" t="s">
        <v>1</v>
      </c>
      <c r="B7" s="38">
        <f>COUNTIFS(Table1[CloudTomorrow], "Cloudy",Table1[Cold],"Yes")</f>
        <v>2</v>
      </c>
      <c r="C7" s="39">
        <f>COUNTIFS(Table1[CloudTomorrow], "Not Cloudy",Table1[Cold],"Yes")</f>
        <v>3</v>
      </c>
      <c r="D7" s="5">
        <f>B7/SUM(B7:C7)</f>
        <v>0.4</v>
      </c>
      <c r="E7" s="5">
        <f>IF(D7&lt;&gt;0,LOG(D7)/$F$1,0)</f>
        <v>-1.3219280948873624</v>
      </c>
      <c r="F7" s="5">
        <f>C7/SUM(B7:C7)</f>
        <v>0.6</v>
      </c>
      <c r="G7" s="5">
        <f>IF(F7&lt;&gt;0,LOG(F7)/$F$1,0)</f>
        <v>-0.73696559416620622</v>
      </c>
      <c r="H7" s="5">
        <f>-D7*E7-F7*G7</f>
        <v>0.97095059445466869</v>
      </c>
    </row>
    <row r="8" spans="1:8" x14ac:dyDescent="0.35">
      <c r="A8" s="11" t="s">
        <v>2</v>
      </c>
      <c r="B8" s="39">
        <f>COUNTIFS(Table1[CloudTomorrow], "Cloudy",Table1[Cold],"No")</f>
        <v>2</v>
      </c>
      <c r="C8" s="39">
        <f>COUNTIFS(Table1[CloudTomorrow], "Not Cloudy",Table1[Cold],"No")</f>
        <v>8</v>
      </c>
      <c r="D8" s="5">
        <f t="shared" ref="D8" si="0">B8/SUM(B8:C8)</f>
        <v>0.2</v>
      </c>
      <c r="E8" s="5">
        <f t="shared" ref="E8" si="1">IF(D8&lt;&gt;0,LOG(D8)/$F$1,0)</f>
        <v>-2.3219280948873622</v>
      </c>
      <c r="F8" s="5">
        <f t="shared" ref="F8" si="2">C8/SUM(B8:C8)</f>
        <v>0.8</v>
      </c>
      <c r="G8" s="5">
        <f t="shared" ref="G8" si="3">IF(F8&lt;&gt;0,LOG(F8)/$F$1,0)</f>
        <v>-0.32192809488736229</v>
      </c>
      <c r="H8" s="5">
        <f t="shared" ref="H8" si="4">-D8*E8-F8*G8</f>
        <v>0.72192809488736231</v>
      </c>
    </row>
    <row r="9" spans="1:8" x14ac:dyDescent="0.35">
      <c r="A9" s="11" t="s">
        <v>54</v>
      </c>
      <c r="B9" s="4"/>
      <c r="C9" s="4"/>
      <c r="D9" s="4"/>
      <c r="E9" s="4"/>
      <c r="F9" s="4"/>
      <c r="G9" s="4"/>
      <c r="H9" s="5">
        <f>(    H7*SUM(B7:C7)+H8*SUM(B8:C8)    )/SUM(B7:C8)</f>
        <v>0.80493559474313114</v>
      </c>
    </row>
    <row r="10" spans="1:8" x14ac:dyDescent="0.35">
      <c r="A10" s="11" t="s">
        <v>29</v>
      </c>
      <c r="B10" s="4"/>
      <c r="C10" s="4"/>
      <c r="D10" s="4"/>
      <c r="E10" s="4"/>
      <c r="F10" s="4"/>
      <c r="G10" s="4"/>
      <c r="H10" s="7">
        <f>H4-H9</f>
        <v>0.16601499971153755</v>
      </c>
    </row>
    <row r="11" spans="1:8" x14ac:dyDescent="0.35">
      <c r="B11" s="9"/>
      <c r="C11" s="9"/>
      <c r="D11" s="9"/>
      <c r="E11" s="9"/>
      <c r="F11" s="9"/>
      <c r="G11" s="9"/>
      <c r="H11" s="9"/>
    </row>
    <row r="12" spans="1:8" s="8" customFormat="1" x14ac:dyDescent="0.35">
      <c r="A12" s="11" t="s">
        <v>17</v>
      </c>
      <c r="B12" s="11" t="s">
        <v>1</v>
      </c>
      <c r="C12" s="11" t="s">
        <v>2</v>
      </c>
      <c r="D12" s="6" t="s">
        <v>3</v>
      </c>
      <c r="E12" s="6" t="s">
        <v>4</v>
      </c>
      <c r="F12" s="6" t="s">
        <v>5</v>
      </c>
      <c r="G12" s="6" t="s">
        <v>6</v>
      </c>
      <c r="H12" s="6" t="s">
        <v>7</v>
      </c>
    </row>
    <row r="13" spans="1:8" x14ac:dyDescent="0.35">
      <c r="A13" s="11" t="s">
        <v>1</v>
      </c>
      <c r="B13" s="38">
        <f>COUNTIFS(Table1[CloudTomorrow], "Cloudy",Table1[Pressure],"Yes")</f>
        <v>3</v>
      </c>
      <c r="C13" s="39">
        <f>COUNTIFS(Table1[CloudTomorrow], "Not Cloudy",Table1[Pressure],"Yes")</f>
        <v>7</v>
      </c>
      <c r="D13" s="5">
        <f>B13/SUM(B13:C13)</f>
        <v>0.3</v>
      </c>
      <c r="E13" s="5">
        <f>IF(D13&lt;&gt;0,LOG(D13)/$F$1,0)</f>
        <v>-1.7369655941662063</v>
      </c>
      <c r="F13" s="5">
        <f>C13/SUM(B13:C13)</f>
        <v>0.7</v>
      </c>
      <c r="G13" s="5">
        <f>IF(F13&lt;&gt;0,LOG(F13)/$F$1,0)</f>
        <v>-0.51457317282975834</v>
      </c>
      <c r="H13" s="5">
        <f>-D13*E13-F13*G13</f>
        <v>0.8812908992306927</v>
      </c>
    </row>
    <row r="14" spans="1:8" x14ac:dyDescent="0.35">
      <c r="A14" s="11" t="s">
        <v>2</v>
      </c>
      <c r="B14" s="39">
        <f>COUNTIFS(Table1[CloudTomorrow], "Cloudy",Table1[Pressure],"No")</f>
        <v>1</v>
      </c>
      <c r="C14" s="39">
        <f>COUNTIFS(Table1[CloudTomorrow], "Not Cloudy",Table1[Pressure],"No")</f>
        <v>4</v>
      </c>
      <c r="D14" s="5">
        <f>B14/SUM(B14:C14)</f>
        <v>0.2</v>
      </c>
      <c r="E14" s="5">
        <f t="shared" ref="E14" si="5">IF(D14&lt;&gt;0,LOG(D14)/$F$1,0)</f>
        <v>-2.3219280948873622</v>
      </c>
      <c r="F14" s="5">
        <f>C14/SUM(B14:C14)</f>
        <v>0.8</v>
      </c>
      <c r="G14" s="5">
        <f t="shared" ref="G14" si="6">IF(F14&lt;&gt;0,LOG(F14)/$F$1,0)</f>
        <v>-0.32192809488736229</v>
      </c>
      <c r="H14" s="5">
        <f t="shared" ref="H14" si="7">-D14*E14-F14*G14</f>
        <v>0.72192809488736231</v>
      </c>
    </row>
    <row r="15" spans="1:8" x14ac:dyDescent="0.35">
      <c r="A15" s="11" t="s">
        <v>10</v>
      </c>
      <c r="B15" s="4"/>
      <c r="C15" s="4"/>
      <c r="D15" s="4"/>
      <c r="E15" s="4"/>
      <c r="F15" s="4"/>
      <c r="G15" s="4"/>
      <c r="H15" s="5">
        <f>(H13*SUM(B13:C13)+H14*SUM(B14:C14))/SUM(B13:C14)</f>
        <v>0.82816996444958257</v>
      </c>
    </row>
    <row r="16" spans="1:8" x14ac:dyDescent="0.35">
      <c r="A16" s="11" t="s">
        <v>30</v>
      </c>
      <c r="B16" s="4"/>
      <c r="C16" s="4"/>
      <c r="D16" s="4"/>
      <c r="E16" s="4"/>
      <c r="F16" s="4"/>
      <c r="G16" s="4"/>
      <c r="H16" s="7">
        <f>H4-H15</f>
        <v>0.14278063000508612</v>
      </c>
    </row>
    <row r="17" spans="1:15" x14ac:dyDescent="0.35">
      <c r="B17" s="9"/>
      <c r="C17" s="9"/>
      <c r="D17" s="9"/>
      <c r="E17" s="9"/>
      <c r="F17" s="9"/>
      <c r="G17" s="9"/>
      <c r="H17" s="9"/>
      <c r="L17" s="12"/>
    </row>
    <row r="18" spans="1:15" s="8" customFormat="1" x14ac:dyDescent="0.35">
      <c r="A18" s="11" t="s">
        <v>16</v>
      </c>
      <c r="B18" s="11" t="s">
        <v>1</v>
      </c>
      <c r="C18" s="11" t="s">
        <v>2</v>
      </c>
      <c r="D18" s="6" t="s">
        <v>3</v>
      </c>
      <c r="E18" s="6" t="s">
        <v>4</v>
      </c>
      <c r="F18" s="6" t="s">
        <v>5</v>
      </c>
      <c r="G18" s="6" t="s">
        <v>6</v>
      </c>
      <c r="H18" s="6" t="s">
        <v>7</v>
      </c>
      <c r="L18" s="12"/>
    </row>
    <row r="19" spans="1:15" x14ac:dyDescent="0.35">
      <c r="A19" s="11" t="s">
        <v>1</v>
      </c>
      <c r="B19" s="38">
        <f>COUNTIFS(Table1[CloudTomorrow], "Cloudy",Table1[Sunshine],"Yes")</f>
        <v>0</v>
      </c>
      <c r="C19" s="39">
        <f>COUNTIFS(Table1[CloudTomorrow], "Not Cloudy",Table1[Sunshine],"Yes")</f>
        <v>3</v>
      </c>
      <c r="D19" s="5">
        <f>B19/SUM(B19:C19)</f>
        <v>0</v>
      </c>
      <c r="E19" s="5">
        <f>IF(D19&lt;&gt;0,LOG(D19)/$F$1,0)</f>
        <v>0</v>
      </c>
      <c r="F19" s="5">
        <f>C19/SUM(B19:C19)</f>
        <v>1</v>
      </c>
      <c r="G19" s="5">
        <f>IF(F19&lt;&gt;0,LOG(F19)/$F$1,0)</f>
        <v>0</v>
      </c>
      <c r="H19" s="5">
        <f>-D19*E19-F19*G19</f>
        <v>0</v>
      </c>
      <c r="L19" s="12"/>
    </row>
    <row r="20" spans="1:15" x14ac:dyDescent="0.35">
      <c r="A20" s="11" t="s">
        <v>2</v>
      </c>
      <c r="B20" s="39">
        <f>COUNTIFS(Table1[CloudTomorrow], "Cloudy",Table1[Sunshine],"No")</f>
        <v>4</v>
      </c>
      <c r="C20" s="39">
        <f>COUNTIFS(Table1[CloudTomorrow], "Not Cloudy",Table1[Sunshine],"No")</f>
        <v>8</v>
      </c>
      <c r="D20" s="5">
        <f t="shared" ref="D20" si="8">B20/SUM(B20:C20)</f>
        <v>0.33333333333333331</v>
      </c>
      <c r="E20" s="5">
        <f t="shared" ref="E20" si="9">IF(D20&lt;&gt;0,LOG(D20)/$F$1,0)</f>
        <v>-1.5849625007211561</v>
      </c>
      <c r="F20" s="5">
        <f t="shared" ref="F20" si="10">C20/SUM(B20:C20)</f>
        <v>0.66666666666666663</v>
      </c>
      <c r="G20" s="5">
        <f t="shared" ref="G20" si="11">IF(F20&lt;&gt;0,LOG(F20)/$F$1,0)</f>
        <v>-0.5849625007211563</v>
      </c>
      <c r="H20" s="5">
        <f t="shared" ref="H20" si="12">-D20*E20-F20*G20</f>
        <v>0.91829583405448945</v>
      </c>
      <c r="L20" s="16"/>
    </row>
    <row r="21" spans="1:15" x14ac:dyDescent="0.35">
      <c r="A21" s="11" t="s">
        <v>55</v>
      </c>
      <c r="B21" s="4"/>
      <c r="C21" s="4"/>
      <c r="D21" s="4"/>
      <c r="E21" s="4"/>
      <c r="F21" s="4"/>
      <c r="G21" s="4"/>
      <c r="H21" s="5">
        <f>(H19*SUM(B19:C19)+H20*SUM(B20:C20))/SUM(B19:C20)</f>
        <v>0.73463666724359156</v>
      </c>
    </row>
    <row r="22" spans="1:15" x14ac:dyDescent="0.35">
      <c r="A22" s="11" t="s">
        <v>31</v>
      </c>
      <c r="B22" s="4"/>
      <c r="C22" s="4"/>
      <c r="D22" s="4"/>
      <c r="E22" s="4"/>
      <c r="F22" s="4"/>
      <c r="G22" s="4"/>
      <c r="H22" s="7">
        <f>H4-H21</f>
        <v>0.23631392721107713</v>
      </c>
    </row>
    <row r="25" spans="1:15" x14ac:dyDescent="0.35">
      <c r="A25" s="11" t="s">
        <v>19</v>
      </c>
      <c r="B25" s="11" t="s">
        <v>1</v>
      </c>
      <c r="C25" s="11" t="s">
        <v>2</v>
      </c>
      <c r="D25" s="6" t="s">
        <v>3</v>
      </c>
      <c r="E25" s="6" t="s">
        <v>4</v>
      </c>
      <c r="F25" s="6" t="s">
        <v>5</v>
      </c>
      <c r="G25" s="6" t="s">
        <v>6</v>
      </c>
      <c r="H25" s="6" t="s">
        <v>7</v>
      </c>
    </row>
    <row r="26" spans="1:15" x14ac:dyDescent="0.35">
      <c r="A26" s="11" t="s">
        <v>1</v>
      </c>
      <c r="B26" s="38">
        <f>COUNTIFS(Table1[CloudTomorrow], "Cloudy",Table1[Windy],"Yes")</f>
        <v>3</v>
      </c>
      <c r="C26" s="39">
        <f>COUNTIFS(Table1[CloudTomorrow], "Not Cloudy",Table1[Windy],"Yes")</f>
        <v>4</v>
      </c>
      <c r="D26" s="5">
        <f t="shared" ref="D26:D27" si="13">B26/SUM(B26:C26)</f>
        <v>0.42857142857142855</v>
      </c>
      <c r="E26" s="5">
        <f t="shared" ref="E26:E27" si="14">IF(D26&lt;&gt;0,LOG(D26)/$F$1,0)</f>
        <v>-1.2223924213364481</v>
      </c>
      <c r="F26" s="5">
        <f t="shared" ref="F26:F27" si="15">C26/SUM(B26:C26)</f>
        <v>0.5714285714285714</v>
      </c>
      <c r="G26" s="5">
        <f t="shared" ref="G26:G27" si="16">IF(F26&lt;&gt;0,LOG(F26)/$F$1,0)</f>
        <v>-0.80735492205760417</v>
      </c>
      <c r="H26" s="5">
        <f t="shared" ref="H26:H27" si="17">-D26*E26-F26*G26</f>
        <v>0.98522813603425152</v>
      </c>
    </row>
    <row r="27" spans="1:15" x14ac:dyDescent="0.35">
      <c r="A27" s="11" t="s">
        <v>2</v>
      </c>
      <c r="B27" s="39">
        <f>COUNTIFS(Table1[CloudTomorrow], "Cloudy",Table1[Windy],"No")</f>
        <v>1</v>
      </c>
      <c r="C27" s="39">
        <f>COUNTIFS(Table1[CloudTomorrow], "Not Cloudy",Table1[Windy],"No")</f>
        <v>7</v>
      </c>
      <c r="D27" s="5">
        <f t="shared" si="13"/>
        <v>0.125</v>
      </c>
      <c r="E27" s="5">
        <f t="shared" si="14"/>
        <v>-3</v>
      </c>
      <c r="F27" s="5">
        <f t="shared" si="15"/>
        <v>0.875</v>
      </c>
      <c r="G27" s="5">
        <f t="shared" si="16"/>
        <v>-0.19264507794239588</v>
      </c>
      <c r="H27" s="5">
        <f t="shared" si="17"/>
        <v>0.5435644431995964</v>
      </c>
    </row>
    <row r="28" spans="1:15" x14ac:dyDescent="0.35">
      <c r="A28" s="11" t="s">
        <v>11</v>
      </c>
      <c r="B28" s="4"/>
      <c r="C28" s="4"/>
      <c r="D28" s="4"/>
      <c r="E28" s="4"/>
      <c r="F28" s="4"/>
      <c r="G28" s="4"/>
      <c r="H28" s="5">
        <f>(H26*SUM(B26:C26) + H27*SUM(B27:C27) )/SUM(B26:C27)</f>
        <v>0.74967416652243546</v>
      </c>
    </row>
    <row r="29" spans="1:15" x14ac:dyDescent="0.35">
      <c r="A29" s="11" t="s">
        <v>32</v>
      </c>
      <c r="B29" s="4"/>
      <c r="C29" s="4"/>
      <c r="D29" s="4"/>
      <c r="E29" s="4"/>
      <c r="F29" s="4"/>
      <c r="G29" s="4"/>
      <c r="H29" s="7">
        <f>H4-H28</f>
        <v>0.22127642793223323</v>
      </c>
    </row>
    <row r="30" spans="1:15" x14ac:dyDescent="0.35">
      <c r="A30" s="42" t="s">
        <v>47</v>
      </c>
      <c r="B30" s="42"/>
      <c r="C30" s="42"/>
      <c r="D30" s="42"/>
      <c r="E30" s="42"/>
      <c r="F30" s="42"/>
      <c r="G30" s="42"/>
      <c r="H30" s="42"/>
      <c r="I30" s="31"/>
      <c r="J30" s="31"/>
      <c r="K30" s="31"/>
      <c r="L30" s="31"/>
      <c r="M30" s="31"/>
    </row>
    <row r="31" spans="1:15" s="15" customFormat="1" x14ac:dyDescent="0.35">
      <c r="A31" s="11" t="s">
        <v>42</v>
      </c>
      <c r="B31" s="11" t="s">
        <v>1</v>
      </c>
      <c r="C31" s="11" t="s">
        <v>2</v>
      </c>
      <c r="D31" s="6" t="s">
        <v>3</v>
      </c>
      <c r="E31" s="6" t="s">
        <v>4</v>
      </c>
      <c r="F31" s="6" t="s">
        <v>5</v>
      </c>
      <c r="G31" s="6" t="s">
        <v>6</v>
      </c>
      <c r="H31" s="6" t="s">
        <v>7</v>
      </c>
      <c r="M31"/>
      <c r="N31" t="s">
        <v>21</v>
      </c>
      <c r="O31"/>
    </row>
    <row r="32" spans="1:15" s="15" customFormat="1" x14ac:dyDescent="0.35">
      <c r="A32" s="11" t="s">
        <v>1</v>
      </c>
      <c r="B32" s="38">
        <f>COUNTIFS(Table1[Sunshine],"No",Table1[CloudTomorrow],"Cloudy",Table1[Windy],"Yes")</f>
        <v>3</v>
      </c>
      <c r="C32" s="39">
        <f>COUNTIFS(Table1[Sunshine],"No",Table1[CloudTomorrow],"Not Cloudy",Table1[Windy],"Yes")</f>
        <v>2</v>
      </c>
      <c r="D32" s="5">
        <f>B32/SUM(B32:C32)</f>
        <v>0.6</v>
      </c>
      <c r="E32" s="5">
        <f>IF(D32&lt;&gt;0,LOG(D32)/$F$1,0)</f>
        <v>-0.73696559416620622</v>
      </c>
      <c r="F32" s="5">
        <f>C32/SUM(B32:C32)</f>
        <v>0.4</v>
      </c>
      <c r="G32" s="5">
        <f>IF(F32&lt;&gt;0,LOG(F32)/$F$1,0)</f>
        <v>-1.3219280948873624</v>
      </c>
      <c r="H32" s="5">
        <f>-D32*E32-F32*G32</f>
        <v>0.97095059445466869</v>
      </c>
      <c r="M32" t="s">
        <v>19</v>
      </c>
      <c r="N32" t="s">
        <v>1</v>
      </c>
      <c r="O32" t="s">
        <v>2</v>
      </c>
    </row>
    <row r="33" spans="1:15" s="15" customFormat="1" x14ac:dyDescent="0.35">
      <c r="A33" s="11" t="s">
        <v>2</v>
      </c>
      <c r="B33" s="39">
        <f>COUNTIFS(Table1[Sunshine],"No",Table1[CloudTomorrow],"Cloudy",Table1[Windy],"No")</f>
        <v>1</v>
      </c>
      <c r="C33" s="39">
        <f>COUNTIFS(Table1[Sunshine],"No",Table1[CloudTomorrow],"Not Cloudy",Table1[Windy],"No")</f>
        <v>6</v>
      </c>
      <c r="D33" s="5">
        <f t="shared" ref="D33" si="18">B33/SUM(B33:C33)</f>
        <v>0.14285714285714285</v>
      </c>
      <c r="E33" s="5">
        <f t="shared" ref="E33" si="19">IF(D33&lt;&gt;0,LOG(D33)/$F$1,0)</f>
        <v>-2.8073549220576042</v>
      </c>
      <c r="F33" s="5">
        <f t="shared" ref="F33" si="20">C33/SUM(B33:C33)</f>
        <v>0.8571428571428571</v>
      </c>
      <c r="G33" s="5">
        <f t="shared" ref="G33" si="21">IF(F33&lt;&gt;0,LOG(F33)/$F$1,0)</f>
        <v>-0.22239242133644799</v>
      </c>
      <c r="H33" s="5">
        <f t="shared" ref="H33" si="22">-D33*E33-F33*G33</f>
        <v>0.59167277858232736</v>
      </c>
      <c r="M33" t="s">
        <v>1</v>
      </c>
      <c r="N33">
        <v>3</v>
      </c>
      <c r="O33">
        <v>2</v>
      </c>
    </row>
    <row r="34" spans="1:15" s="15" customFormat="1" x14ac:dyDescent="0.35">
      <c r="A34" s="11" t="s">
        <v>10</v>
      </c>
      <c r="B34" s="4"/>
      <c r="C34" s="4"/>
      <c r="D34" s="4"/>
      <c r="E34" s="4"/>
      <c r="F34" s="4"/>
      <c r="G34" s="4"/>
      <c r="H34" s="5">
        <f>(H32*SUM(B32:C32)+H33*SUM(B33:C33))/SUM(B32:C33)</f>
        <v>0.74970520186246947</v>
      </c>
      <c r="M34" t="s">
        <v>2</v>
      </c>
      <c r="N34">
        <v>1</v>
      </c>
      <c r="O34">
        <v>7</v>
      </c>
    </row>
    <row r="35" spans="1:15" s="15" customFormat="1" x14ac:dyDescent="0.35">
      <c r="A35" s="11" t="s">
        <v>56</v>
      </c>
      <c r="B35" s="4"/>
      <c r="C35" s="4"/>
      <c r="D35" s="4"/>
      <c r="E35" s="4"/>
      <c r="F35" s="4"/>
      <c r="G35" s="4"/>
      <c r="H35" s="7">
        <f>$H$4-H34</f>
        <v>0.22124539259219922</v>
      </c>
      <c r="M35"/>
      <c r="N35"/>
      <c r="O35"/>
    </row>
    <row r="36" spans="1:15" x14ac:dyDescent="0.35">
      <c r="M36"/>
      <c r="N36"/>
      <c r="O36"/>
    </row>
    <row r="37" spans="1:15" x14ac:dyDescent="0.35">
      <c r="M37"/>
      <c r="N37"/>
      <c r="O37"/>
    </row>
    <row r="38" spans="1:15" x14ac:dyDescent="0.35">
      <c r="A38" s="11" t="s">
        <v>45</v>
      </c>
      <c r="B38" s="11" t="s">
        <v>1</v>
      </c>
      <c r="C38" s="11" t="s">
        <v>2</v>
      </c>
      <c r="D38" s="6" t="s">
        <v>3</v>
      </c>
      <c r="E38" s="6" t="s">
        <v>4</v>
      </c>
      <c r="F38" s="6" t="s">
        <v>5</v>
      </c>
      <c r="G38" s="6" t="s">
        <v>6</v>
      </c>
      <c r="H38" s="6" t="s">
        <v>7</v>
      </c>
      <c r="M38"/>
      <c r="N38" t="s">
        <v>21</v>
      </c>
      <c r="O38"/>
    </row>
    <row r="39" spans="1:15" x14ac:dyDescent="0.35">
      <c r="A39" s="11" t="s">
        <v>1</v>
      </c>
      <c r="B39" s="38">
        <f>COUNTIFS(Table1[Sunshine],"No",Table1[CloudTomorrow],"Cloudy",Table1[Cold],"Yes")</f>
        <v>2</v>
      </c>
      <c r="C39" s="39">
        <f>COUNTIFS(Table1[Sunshine],"No",Table1[CloudTomorrow],"Not Cloudy",Table1[Cold],"Yes")</f>
        <v>2</v>
      </c>
      <c r="D39" s="5">
        <f>B39/SUM(B39:C39)</f>
        <v>0.5</v>
      </c>
      <c r="E39" s="5">
        <f>IF(D39&lt;&gt;0,LOG(D39)/$F$1,0)</f>
        <v>-1</v>
      </c>
      <c r="F39" s="5">
        <f>C39/SUM(B39:C39)</f>
        <v>0.5</v>
      </c>
      <c r="G39" s="5">
        <f>IF(F39&lt;&gt;0,LOG(F39)/$F$1,0)</f>
        <v>-1</v>
      </c>
      <c r="H39" s="5">
        <f>-D39*E39-F39*G39</f>
        <v>1</v>
      </c>
      <c r="M39" t="s">
        <v>18</v>
      </c>
      <c r="N39" t="s">
        <v>1</v>
      </c>
      <c r="O39" t="s">
        <v>2</v>
      </c>
    </row>
    <row r="40" spans="1:15" x14ac:dyDescent="0.35">
      <c r="A40" s="11" t="s">
        <v>2</v>
      </c>
      <c r="B40" s="39">
        <f>COUNTIFS(Table1[Sunshine],"No",Table1[CloudTomorrow],"Cloudy",Table1[Cold],"No")</f>
        <v>2</v>
      </c>
      <c r="C40" s="39">
        <f>COUNTIFS(Table1[Sunshine],"No",Table1[CloudTomorrow],"Not Cloudy",Table1[Cold],"No")</f>
        <v>6</v>
      </c>
      <c r="D40" s="5">
        <f t="shared" ref="D40" si="23">B40/SUM(B40:C40)</f>
        <v>0.25</v>
      </c>
      <c r="E40" s="5">
        <f t="shared" ref="E40" si="24">IF(D40&lt;&gt;0,LOG(D40)/$F$1,0)</f>
        <v>-2</v>
      </c>
      <c r="F40" s="5">
        <f t="shared" ref="F40" si="25">C40/SUM(B40:C40)</f>
        <v>0.75</v>
      </c>
      <c r="G40" s="5">
        <f t="shared" ref="G40" si="26">IF(F40&lt;&gt;0,LOG(F40)/$F$1,0)</f>
        <v>-0.41503749927884381</v>
      </c>
      <c r="H40" s="5">
        <f t="shared" ref="H40" si="27">-D40*E40-F40*G40</f>
        <v>0.81127812445913283</v>
      </c>
      <c r="M40" t="s">
        <v>1</v>
      </c>
      <c r="N40">
        <v>2</v>
      </c>
      <c r="O40">
        <v>1</v>
      </c>
    </row>
    <row r="41" spans="1:15" x14ac:dyDescent="0.35">
      <c r="A41" s="11" t="s">
        <v>10</v>
      </c>
      <c r="B41" s="4"/>
      <c r="C41" s="4"/>
      <c r="D41" s="4"/>
      <c r="E41" s="4"/>
      <c r="F41" s="4"/>
      <c r="G41" s="4"/>
      <c r="H41" s="5">
        <f>(H39*SUM(B39:C39)+H40*SUM(B40:C40))/SUM(B39:C40)</f>
        <v>0.87418541630608859</v>
      </c>
      <c r="M41" t="s">
        <v>2</v>
      </c>
      <c r="N41">
        <v>2</v>
      </c>
      <c r="O41">
        <v>10</v>
      </c>
    </row>
    <row r="42" spans="1:15" x14ac:dyDescent="0.35">
      <c r="A42" s="11" t="s">
        <v>57</v>
      </c>
      <c r="B42" s="4"/>
      <c r="C42" s="4"/>
      <c r="D42" s="4"/>
      <c r="E42" s="4"/>
      <c r="F42" s="4"/>
      <c r="G42" s="4"/>
      <c r="H42" s="7">
        <f>H4-H41</f>
        <v>9.67651781485801E-2</v>
      </c>
      <c r="M42"/>
      <c r="N42"/>
      <c r="O42"/>
    </row>
    <row r="43" spans="1:15" x14ac:dyDescent="0.35">
      <c r="M43"/>
      <c r="N43" t="s">
        <v>21</v>
      </c>
      <c r="O43"/>
    </row>
    <row r="44" spans="1:15" x14ac:dyDescent="0.35">
      <c r="A44" s="11" t="s">
        <v>28</v>
      </c>
      <c r="B44" s="11" t="s">
        <v>1</v>
      </c>
      <c r="C44" s="11" t="s">
        <v>2</v>
      </c>
      <c r="D44" s="6" t="s">
        <v>3</v>
      </c>
      <c r="E44" s="6" t="s">
        <v>4</v>
      </c>
      <c r="F44" s="6" t="s">
        <v>5</v>
      </c>
      <c r="G44" s="6" t="s">
        <v>6</v>
      </c>
      <c r="H44" s="6" t="s">
        <v>7</v>
      </c>
      <c r="M44" t="s">
        <v>17</v>
      </c>
      <c r="N44" t="s">
        <v>1</v>
      </c>
      <c r="O44" t="s">
        <v>2</v>
      </c>
    </row>
    <row r="45" spans="1:15" x14ac:dyDescent="0.35">
      <c r="A45" s="11" t="s">
        <v>1</v>
      </c>
      <c r="B45" s="38">
        <f>COUNTIFS(Table1[Sunshine],"No",Table1[CloudTomorrow],"Cloudy",Table1[Pressure],"Yes")</f>
        <v>3</v>
      </c>
      <c r="C45" s="39">
        <f>COUNTIFS(Table1[Sunshine],"No",Table1[CloudTomorrow],"Not Cloudy",Table1[Pressure],"Yes")</f>
        <v>5</v>
      </c>
      <c r="D45" s="5">
        <f>B45/SUM(B45:C45)</f>
        <v>0.375</v>
      </c>
      <c r="E45" s="5">
        <f>IF(D45&lt;&gt;0,LOG(D45)/$F$1,0)</f>
        <v>-1.4150374992788439</v>
      </c>
      <c r="F45" s="5">
        <f>C45/SUM(B45:C45)</f>
        <v>0.625</v>
      </c>
      <c r="G45" s="5">
        <f>IF(F45&lt;&gt;0,LOG(F45)/$F$1,0)</f>
        <v>-0.67807190511263771</v>
      </c>
      <c r="H45" s="5">
        <f>-D45*E45-F45*G45</f>
        <v>0.95443400292496505</v>
      </c>
      <c r="M45" t="s">
        <v>1</v>
      </c>
      <c r="N45">
        <v>3</v>
      </c>
      <c r="O45">
        <v>5</v>
      </c>
    </row>
    <row r="46" spans="1:15" x14ac:dyDescent="0.35">
      <c r="A46" s="11" t="s">
        <v>2</v>
      </c>
      <c r="B46" s="39">
        <f>COUNTIFS(Table1[Sunshine],"No",Table1[CloudTomorrow],"Cloudy",Table1[Pressure],"No")</f>
        <v>1</v>
      </c>
      <c r="C46" s="39">
        <f>COUNTIFS(Table1[Sunshine],"No",Table1[CloudTomorrow],"Not Cloudy",Table1[Pressure],"No")</f>
        <v>3</v>
      </c>
      <c r="D46" s="5">
        <f t="shared" ref="D46" si="28">B46/SUM(B46:C46)</f>
        <v>0.25</v>
      </c>
      <c r="E46" s="5">
        <f t="shared" ref="E46" si="29">IF(D46&lt;&gt;0,LOG(D46)/$F$1,0)</f>
        <v>-2</v>
      </c>
      <c r="F46" s="5">
        <f t="shared" ref="F46" si="30">C46/SUM(B46:C46)</f>
        <v>0.75</v>
      </c>
      <c r="G46" s="5">
        <f t="shared" ref="G46" si="31">IF(F46&lt;&gt;0,LOG(F46)/$F$1,0)</f>
        <v>-0.41503749927884381</v>
      </c>
      <c r="H46" s="5">
        <f t="shared" ref="H46" si="32">-D46*E46-F46*G46</f>
        <v>0.81127812445913283</v>
      </c>
      <c r="M46" t="s">
        <v>2</v>
      </c>
      <c r="N46">
        <v>1</v>
      </c>
      <c r="O46">
        <v>4</v>
      </c>
    </row>
    <row r="47" spans="1:15" x14ac:dyDescent="0.35">
      <c r="A47" s="11" t="s">
        <v>10</v>
      </c>
      <c r="B47" s="4"/>
      <c r="C47" s="4"/>
      <c r="D47" s="4"/>
      <c r="E47" s="4"/>
      <c r="F47" s="4"/>
      <c r="G47" s="4"/>
      <c r="H47" s="5">
        <f>(H45*SUM(B45:C45)+H46*SUM(B46:C46))/SUM(B45:C46)</f>
        <v>0.90671537676968761</v>
      </c>
    </row>
    <row r="48" spans="1:15" x14ac:dyDescent="0.35">
      <c r="A48" s="11" t="s">
        <v>61</v>
      </c>
      <c r="B48" s="4"/>
      <c r="C48" s="4"/>
      <c r="D48" s="4"/>
      <c r="E48" s="4"/>
      <c r="F48" s="4"/>
      <c r="G48" s="4"/>
      <c r="H48" s="7">
        <f>$H$4-H47</f>
        <v>6.4235217684981083E-2</v>
      </c>
    </row>
    <row r="53" spans="1:13" x14ac:dyDescent="0.35">
      <c r="A53" s="1"/>
    </row>
    <row r="54" spans="1:13" x14ac:dyDescent="0.35">
      <c r="A54" s="11" t="s">
        <v>43</v>
      </c>
      <c r="B54" s="11" t="s">
        <v>1</v>
      </c>
      <c r="C54" s="11" t="s">
        <v>2</v>
      </c>
      <c r="D54" s="6" t="s">
        <v>3</v>
      </c>
      <c r="E54" s="6" t="s">
        <v>4</v>
      </c>
      <c r="F54" s="6" t="s">
        <v>5</v>
      </c>
      <c r="G54" s="6" t="s">
        <v>6</v>
      </c>
      <c r="H54" s="6" t="s">
        <v>7</v>
      </c>
    </row>
    <row r="55" spans="1:13" x14ac:dyDescent="0.35">
      <c r="A55" s="11" t="s">
        <v>1</v>
      </c>
      <c r="B55" s="38">
        <f>COUNTIFS(Table1[Sunshine],"Yes",Table1[CloudTomorrow],"Cloudy",Table1[Windy],"Yes")</f>
        <v>0</v>
      </c>
      <c r="C55" s="39">
        <f>COUNTIFS(Table1[Sunshine],"Yes",Table1[CloudTomorrow],"Not Cloudy",Table1[Windy],"Yes")</f>
        <v>2</v>
      </c>
      <c r="D55" s="5">
        <f>B55/SUM(B55:C55)</f>
        <v>0</v>
      </c>
      <c r="E55" s="5">
        <f>IF(D55&lt;&gt;0,LOG(D55)/$F$1,0)</f>
        <v>0</v>
      </c>
      <c r="F55" s="5">
        <f>C55/SUM(B55:C55)</f>
        <v>1</v>
      </c>
      <c r="G55" s="5">
        <f>IF(F55&lt;&gt;0,LOG(F55)/$F$1,0)</f>
        <v>0</v>
      </c>
      <c r="H55" s="5">
        <f>-D55*E55-F55*G55</f>
        <v>0</v>
      </c>
    </row>
    <row r="56" spans="1:13" x14ac:dyDescent="0.35">
      <c r="A56" s="11" t="s">
        <v>2</v>
      </c>
      <c r="B56" s="39">
        <f>COUNTIFS(Table1[Sunshine],"Yes",Table1[CloudTomorrow],"Cloudy",Table1[Windy],"No")</f>
        <v>0</v>
      </c>
      <c r="C56" s="39">
        <f>COUNTIFS(Table1[Sunshine],"Yes",Table1[CloudTomorrow],"Not Cloudy",Table1[Windy],"No")</f>
        <v>1</v>
      </c>
      <c r="D56" s="5">
        <f t="shared" ref="D56" si="33">B56/SUM(B56:C56)</f>
        <v>0</v>
      </c>
      <c r="E56" s="5">
        <f t="shared" ref="E56" si="34">IF(D56&lt;&gt;0,LOG(D56)/$F$1,0)</f>
        <v>0</v>
      </c>
      <c r="F56" s="5">
        <f t="shared" ref="F56" si="35">C56/SUM(B56:C56)</f>
        <v>1</v>
      </c>
      <c r="G56" s="5">
        <f t="shared" ref="G56" si="36">IF(F56&lt;&gt;0,LOG(F56)/$F$1,0)</f>
        <v>0</v>
      </c>
      <c r="H56" s="5">
        <f t="shared" ref="H56" si="37">-D56*E56-F56*G56</f>
        <v>0</v>
      </c>
    </row>
    <row r="57" spans="1:13" x14ac:dyDescent="0.35">
      <c r="A57" s="11" t="s">
        <v>10</v>
      </c>
      <c r="B57" s="4"/>
      <c r="C57" s="4"/>
      <c r="D57" s="4"/>
      <c r="E57" s="4"/>
      <c r="F57" s="4"/>
      <c r="G57" s="4"/>
      <c r="H57" s="5">
        <f>(H55*SUM(B55:C55)+H56*SUM(B56:C56))/SUM(B55:C56)</f>
        <v>0</v>
      </c>
    </row>
    <row r="58" spans="1:13" x14ac:dyDescent="0.35">
      <c r="A58" s="11" t="s">
        <v>58</v>
      </c>
      <c r="B58" s="4"/>
      <c r="C58" s="4"/>
      <c r="D58" s="4"/>
      <c r="E58" s="4"/>
      <c r="F58" s="4"/>
      <c r="G58" s="4"/>
      <c r="H58" s="7">
        <f>$H$4-H57</f>
        <v>0.97095059445466869</v>
      </c>
    </row>
    <row r="59" spans="1:13" x14ac:dyDescent="0.35">
      <c r="I59" s="31"/>
      <c r="J59" s="31"/>
      <c r="K59" s="31"/>
      <c r="L59" s="31"/>
      <c r="M59" s="31"/>
    </row>
    <row r="61" spans="1:13" x14ac:dyDescent="0.35">
      <c r="A61" s="11" t="s">
        <v>46</v>
      </c>
      <c r="B61" s="11" t="s">
        <v>1</v>
      </c>
      <c r="C61" s="11" t="s">
        <v>2</v>
      </c>
      <c r="D61" s="6" t="s">
        <v>3</v>
      </c>
      <c r="E61" s="6" t="s">
        <v>4</v>
      </c>
      <c r="F61" s="6" t="s">
        <v>5</v>
      </c>
      <c r="G61" s="6" t="s">
        <v>6</v>
      </c>
      <c r="H61" s="6" t="s">
        <v>7</v>
      </c>
    </row>
    <row r="62" spans="1:13" x14ac:dyDescent="0.35">
      <c r="A62" s="11" t="s">
        <v>1</v>
      </c>
      <c r="B62" s="38">
        <f>COUNTIFS(Table1[Sunshine],"Yes",Table1[CloudTomorrow],"Cloudy",Table1[Cold],"Yes")</f>
        <v>0</v>
      </c>
      <c r="C62" s="39">
        <f>COUNTIFS(Table1[Sunshine],"Yes",Table1[CloudTomorrow],"Not Cloudy",Table1[Cold],"Yes")</f>
        <v>1</v>
      </c>
      <c r="D62" s="5">
        <f>B62/SUM(B62:C62)</f>
        <v>0</v>
      </c>
      <c r="E62" s="5">
        <f>IF(D62&lt;&gt;0,LOG(D62)/$F$1,0)</f>
        <v>0</v>
      </c>
      <c r="F62" s="5">
        <f>C62/SUM(B62:C62)</f>
        <v>1</v>
      </c>
      <c r="G62" s="5">
        <f>IF(F62&lt;&gt;0,LOG(F62)/$F$1,0)</f>
        <v>0</v>
      </c>
      <c r="H62" s="5">
        <f>-D62*E62-F62*G62</f>
        <v>0</v>
      </c>
    </row>
    <row r="63" spans="1:13" x14ac:dyDescent="0.35">
      <c r="A63" s="11" t="s">
        <v>2</v>
      </c>
      <c r="B63" s="39">
        <f>COUNTIFS(Table1[Sunshine],"Yes",Table1[CloudTomorrow],"Cloudy",Table1[Cold],"No")</f>
        <v>0</v>
      </c>
      <c r="C63" s="39">
        <f>COUNTIFS(Table1[Sunshine],"Yes",Table1[CloudTomorrow],"Not Cloudy",Table1[Cold],"No")</f>
        <v>2</v>
      </c>
      <c r="D63" s="5">
        <f t="shared" ref="D63" si="38">B63/SUM(B63:C63)</f>
        <v>0</v>
      </c>
      <c r="E63" s="5">
        <f t="shared" ref="E63" si="39">IF(D63&lt;&gt;0,LOG(D63)/$F$1,0)</f>
        <v>0</v>
      </c>
      <c r="F63" s="5">
        <f t="shared" ref="F63" si="40">C63/SUM(B63:C63)</f>
        <v>1</v>
      </c>
      <c r="G63" s="5">
        <f t="shared" ref="G63" si="41">IF(F63&lt;&gt;0,LOG(F63)/$F$1,0)</f>
        <v>0</v>
      </c>
      <c r="H63" s="5">
        <f t="shared" ref="H63" si="42">-D63*E63-F63*G63</f>
        <v>0</v>
      </c>
    </row>
    <row r="64" spans="1:13" x14ac:dyDescent="0.35">
      <c r="A64" s="11" t="s">
        <v>10</v>
      </c>
      <c r="B64" s="4"/>
      <c r="C64" s="4"/>
      <c r="D64" s="4"/>
      <c r="E64" s="4"/>
      <c r="F64" s="4"/>
      <c r="G64" s="4"/>
      <c r="H64" s="5">
        <f>(H62*SUM(B62:C62)+H63*SUM(B63:C63))/SUM(B62:C63)</f>
        <v>0</v>
      </c>
    </row>
    <row r="65" spans="1:15" x14ac:dyDescent="0.35">
      <c r="A65" s="11" t="s">
        <v>59</v>
      </c>
      <c r="B65" s="4"/>
      <c r="C65" s="4"/>
      <c r="D65" s="4"/>
      <c r="E65" s="4"/>
      <c r="F65" s="4"/>
      <c r="G65" s="4"/>
      <c r="H65" s="7">
        <f>H4-H64</f>
        <v>0.97095059445466869</v>
      </c>
    </row>
    <row r="67" spans="1:15" x14ac:dyDescent="0.35">
      <c r="A67" s="11" t="s">
        <v>44</v>
      </c>
      <c r="B67" s="11" t="s">
        <v>1</v>
      </c>
      <c r="C67" s="11" t="s">
        <v>2</v>
      </c>
      <c r="D67" s="6" t="s">
        <v>3</v>
      </c>
      <c r="E67" s="6" t="s">
        <v>4</v>
      </c>
      <c r="F67" s="6" t="s">
        <v>5</v>
      </c>
      <c r="G67" s="6" t="s">
        <v>6</v>
      </c>
      <c r="H67" s="6" t="s">
        <v>7</v>
      </c>
    </row>
    <row r="68" spans="1:15" x14ac:dyDescent="0.35">
      <c r="A68" s="11" t="s">
        <v>1</v>
      </c>
      <c r="B68" s="38">
        <f>COUNTIFS(Table1[Sunshine],"Yes",Table1[CloudTomorrow],"Cloudy",Table1[Pressure],"Yes")</f>
        <v>0</v>
      </c>
      <c r="C68" s="39">
        <f>COUNTIFS(Table1[Sunshine],"Yes",Table1[CloudTomorrow],"Not Cloudy",Table1[Pressure],"Yes")</f>
        <v>2</v>
      </c>
      <c r="D68" s="5">
        <f>B68/SUM(B68:C68)</f>
        <v>0</v>
      </c>
      <c r="E68" s="5">
        <f>IF(D68&lt;&gt;0,LOG(D68)/$F$1,0)</f>
        <v>0</v>
      </c>
      <c r="F68" s="5">
        <f>C68/SUM(B68:C68)</f>
        <v>1</v>
      </c>
      <c r="G68" s="5">
        <f>IF(F68&lt;&gt;0,LOG(F68)/$F$1,0)</f>
        <v>0</v>
      </c>
      <c r="H68" s="5">
        <f>-D68*E68-F68*G68</f>
        <v>0</v>
      </c>
    </row>
    <row r="69" spans="1:15" x14ac:dyDescent="0.35">
      <c r="A69" s="11" t="s">
        <v>2</v>
      </c>
      <c r="B69" s="39">
        <f>COUNTIFS(Table1[Sunshine],"Yes",Table1[CloudTomorrow],"Cloudy",Table1[Pressure],"No")</f>
        <v>0</v>
      </c>
      <c r="C69" s="39">
        <f>COUNTIFS(Table1[Sunshine],"Yes",Table1[CloudTomorrow],"Not Cloudy",Table1[Pressure],"No")</f>
        <v>1</v>
      </c>
      <c r="D69" s="5">
        <f t="shared" ref="D69" si="43">B69/SUM(B69:C69)</f>
        <v>0</v>
      </c>
      <c r="E69" s="5">
        <f t="shared" ref="E69" si="44">IF(D69&lt;&gt;0,LOG(D69)/$F$1,0)</f>
        <v>0</v>
      </c>
      <c r="F69" s="5">
        <f t="shared" ref="F69" si="45">C69/SUM(B69:C69)</f>
        <v>1</v>
      </c>
      <c r="G69" s="5">
        <f t="shared" ref="G69" si="46">IF(F69&lt;&gt;0,LOG(F69)/$F$1,0)</f>
        <v>0</v>
      </c>
      <c r="H69" s="5">
        <f t="shared" ref="H69" si="47">-D69*E69-F69*G69</f>
        <v>0</v>
      </c>
    </row>
    <row r="70" spans="1:15" x14ac:dyDescent="0.35">
      <c r="A70" s="11" t="s">
        <v>10</v>
      </c>
      <c r="B70" s="4"/>
      <c r="C70" s="4"/>
      <c r="D70" s="4"/>
      <c r="E70" s="4"/>
      <c r="F70" s="4"/>
      <c r="G70" s="4"/>
      <c r="H70" s="5">
        <f>(H68*SUM(B68:C68)+H69*SUM(B69:C69))/SUM(B68:C69)</f>
        <v>0</v>
      </c>
    </row>
    <row r="71" spans="1:15" x14ac:dyDescent="0.35">
      <c r="A71" s="11" t="s">
        <v>60</v>
      </c>
      <c r="B71" s="4"/>
      <c r="C71" s="4"/>
      <c r="D71" s="4"/>
      <c r="E71" s="4"/>
      <c r="F71" s="4"/>
      <c r="G71" s="4"/>
      <c r="H71" s="7">
        <f>$H$4-H70</f>
        <v>0.97095059445466869</v>
      </c>
    </row>
    <row r="73" spans="1:15" x14ac:dyDescent="0.35">
      <c r="A73" s="30"/>
      <c r="B73" s="31"/>
      <c r="C73" s="31"/>
      <c r="D73" s="31" t="s">
        <v>48</v>
      </c>
      <c r="E73" s="31"/>
      <c r="F73" s="31"/>
      <c r="G73" s="31"/>
      <c r="H73" s="31"/>
      <c r="I73" s="31"/>
      <c r="J73" s="31"/>
      <c r="K73" s="31"/>
      <c r="L73" s="31"/>
      <c r="M73" s="31"/>
      <c r="N73" s="31"/>
      <c r="O73" s="31"/>
    </row>
    <row r="75" spans="1:15" x14ac:dyDescent="0.35">
      <c r="A75" s="1"/>
    </row>
    <row r="79" spans="1:15" x14ac:dyDescent="0.35">
      <c r="A79" s="11" t="s">
        <v>34</v>
      </c>
      <c r="B79" s="11" t="s">
        <v>1</v>
      </c>
      <c r="C79" s="11" t="s">
        <v>2</v>
      </c>
      <c r="D79" s="6" t="s">
        <v>3</v>
      </c>
      <c r="E79" s="6" t="s">
        <v>4</v>
      </c>
      <c r="F79" s="6" t="s">
        <v>5</v>
      </c>
      <c r="G79" s="6" t="s">
        <v>6</v>
      </c>
      <c r="H79" s="6" t="s">
        <v>7</v>
      </c>
    </row>
    <row r="80" spans="1:15" x14ac:dyDescent="0.35">
      <c r="A80" s="11" t="s">
        <v>1</v>
      </c>
      <c r="B80" s="38">
        <f>COUNTIFS(Table1[Cold],"No",Table1[CloudTomorrow],"Cloudy",Table1[Pressure],"Yes")</f>
        <v>1</v>
      </c>
      <c r="C80" s="39">
        <f>COUNTIFS(Table1[Cold],"No",Table1[CloudTomorrow],"Not Cloudy",Table1[Pressure],"Yes")</f>
        <v>5</v>
      </c>
      <c r="D80" s="5">
        <f>B80/SUM(B80:C80)</f>
        <v>0.16666666666666666</v>
      </c>
      <c r="E80" s="5">
        <f>IF(D80&lt;&gt;0,LOG(D80)/$F$1,0)</f>
        <v>-2.5849625007211561</v>
      </c>
      <c r="F80" s="5">
        <f>C80/SUM(B80:C80)</f>
        <v>0.83333333333333337</v>
      </c>
      <c r="G80" s="5">
        <f>IF(F80&lt;&gt;0,LOG(F80)/$F$1,0)</f>
        <v>-0.26303440583379373</v>
      </c>
      <c r="H80" s="5">
        <f>-D80*E80-F80*G80</f>
        <v>0.65002242164835411</v>
      </c>
    </row>
    <row r="81" spans="1:8" x14ac:dyDescent="0.35">
      <c r="A81" s="11" t="s">
        <v>2</v>
      </c>
      <c r="B81" s="39">
        <f>COUNTIFS(Table1[Cold],"No",Table1[CloudTomorrow],"Cloudy",Table1[Pressure],"No")</f>
        <v>1</v>
      </c>
      <c r="C81" s="39">
        <f>COUNTIFS(Table1[Cold],"No",Table1[CloudTomorrow],"Not Cloudy",Table1[Pressure],"No")</f>
        <v>3</v>
      </c>
      <c r="D81" s="5">
        <f t="shared" ref="D81" si="48">B81/SUM(B81:C81)</f>
        <v>0.25</v>
      </c>
      <c r="E81" s="5">
        <f t="shared" ref="E81" si="49">IF(D81&lt;&gt;0,LOG(D81)/$F$1,0)</f>
        <v>-2</v>
      </c>
      <c r="F81" s="5">
        <f t="shared" ref="F81" si="50">C81/SUM(B81:C81)</f>
        <v>0.75</v>
      </c>
      <c r="G81" s="5">
        <f t="shared" ref="G81" si="51">IF(F81&lt;&gt;0,LOG(F81)/$F$1,0)</f>
        <v>-0.41503749927884381</v>
      </c>
      <c r="H81" s="5">
        <f t="shared" ref="H81" si="52">-D81*E81-F81*G81</f>
        <v>0.81127812445913283</v>
      </c>
    </row>
    <row r="82" spans="1:8" x14ac:dyDescent="0.35">
      <c r="A82" s="11" t="s">
        <v>10</v>
      </c>
      <c r="B82" s="4"/>
      <c r="C82" s="4"/>
      <c r="D82" s="4"/>
      <c r="E82" s="4"/>
      <c r="F82" s="4"/>
      <c r="G82" s="4"/>
      <c r="H82" s="5">
        <f>(H80*SUM(B80:C80)+H81*SUM(B81:C81))/SUM(B80:C81)</f>
        <v>0.71452470277266555</v>
      </c>
    </row>
    <row r="83" spans="1:8" x14ac:dyDescent="0.35">
      <c r="A83" s="11" t="s">
        <v>12</v>
      </c>
      <c r="B83" s="4"/>
      <c r="C83" s="4"/>
      <c r="D83" s="4"/>
      <c r="E83" s="4"/>
      <c r="F83" s="4"/>
      <c r="G83" s="4"/>
      <c r="H83" s="7">
        <f>$H$4-H82</f>
        <v>0.25642589168200314</v>
      </c>
    </row>
    <row r="86" spans="1:8" x14ac:dyDescent="0.35">
      <c r="A86" s="11" t="s">
        <v>39</v>
      </c>
      <c r="B86" s="11" t="s">
        <v>1</v>
      </c>
      <c r="C86" s="11" t="s">
        <v>2</v>
      </c>
      <c r="D86" s="6" t="s">
        <v>3</v>
      </c>
      <c r="E86" s="6" t="s">
        <v>4</v>
      </c>
      <c r="F86" s="6" t="s">
        <v>5</v>
      </c>
      <c r="G86" s="6" t="s">
        <v>6</v>
      </c>
      <c r="H86" s="6" t="s">
        <v>7</v>
      </c>
    </row>
    <row r="87" spans="1:8" x14ac:dyDescent="0.35">
      <c r="A87" s="11" t="s">
        <v>1</v>
      </c>
      <c r="B87" s="38">
        <f>COUNTIFS(Table1[Cold],"Yes",Table1[CloudTomorrow],"Cloudy",Table1[Pressure],"Yes")</f>
        <v>2</v>
      </c>
      <c r="C87" s="39">
        <f>COUNTIFS(Table1[Cold],"Yes",Table1[CloudTomorrow],"Not Cloudy",Table1[Pressure],"Yes")</f>
        <v>2</v>
      </c>
      <c r="D87" s="5">
        <f>B87/SUM(B87:C87)</f>
        <v>0.5</v>
      </c>
      <c r="E87" s="5">
        <f>IF(D87&lt;&gt;0,LOG(D87)/$F$1,0)</f>
        <v>-1</v>
      </c>
      <c r="F87" s="5">
        <f>C87/SUM(B87:C87)</f>
        <v>0.5</v>
      </c>
      <c r="G87" s="5">
        <f>IF(F87&lt;&gt;0,LOG(F87)/$F$1,0)</f>
        <v>-1</v>
      </c>
      <c r="H87" s="5">
        <f>-D87*E87-F87*G87</f>
        <v>1</v>
      </c>
    </row>
    <row r="88" spans="1:8" x14ac:dyDescent="0.35">
      <c r="A88" s="11" t="s">
        <v>2</v>
      </c>
      <c r="B88" s="39">
        <f>COUNTIFS(Table1[Cold],"Yes",Table1[CloudTomorrow],"Cloudy",Table1[Pressure],"No")</f>
        <v>0</v>
      </c>
      <c r="C88" s="39">
        <f>COUNTIFS(Table1[Cold],"Yes",Table1[CloudTomorrow],"Not Cloudy",Table1[Pressure],"No")</f>
        <v>1</v>
      </c>
      <c r="D88" s="5">
        <f t="shared" ref="D88" si="53">B88/SUM(B88:C88)</f>
        <v>0</v>
      </c>
      <c r="E88" s="5">
        <f t="shared" ref="E88" si="54">IF(D88&lt;&gt;0,LOG(D88)/$F$1,0)</f>
        <v>0</v>
      </c>
      <c r="F88" s="5">
        <f t="shared" ref="F88" si="55">C88/SUM(B88:C88)</f>
        <v>1</v>
      </c>
      <c r="G88" s="5">
        <f t="shared" ref="G88" si="56">IF(F88&lt;&gt;0,LOG(F88)/$F$1,0)</f>
        <v>0</v>
      </c>
      <c r="H88" s="5">
        <f t="shared" ref="H88" si="57">-D88*E88-F88*G88</f>
        <v>0</v>
      </c>
    </row>
    <row r="89" spans="1:8" x14ac:dyDescent="0.35">
      <c r="A89" s="11" t="s">
        <v>10</v>
      </c>
      <c r="B89" s="4"/>
      <c r="C89" s="4"/>
      <c r="D89" s="4"/>
      <c r="E89" s="4"/>
      <c r="F89" s="4"/>
      <c r="G89" s="4"/>
      <c r="H89" s="5">
        <f>(H87*SUM(B87:C87)+H88*SUM(B88:C88))/SUM(B87:C88)</f>
        <v>0.8</v>
      </c>
    </row>
    <row r="90" spans="1:8" x14ac:dyDescent="0.35">
      <c r="A90" s="11" t="s">
        <v>12</v>
      </c>
      <c r="B90" s="4"/>
      <c r="C90" s="4"/>
      <c r="D90" s="4"/>
      <c r="E90" s="4"/>
      <c r="F90" s="4"/>
      <c r="G90" s="4"/>
      <c r="H90" s="7">
        <f>$H$4-H89</f>
        <v>0.17095059445466865</v>
      </c>
    </row>
    <row r="96" spans="1:8" x14ac:dyDescent="0.35">
      <c r="A96" s="30"/>
      <c r="B96" s="31"/>
      <c r="C96" s="31"/>
      <c r="D96" s="31" t="s">
        <v>49</v>
      </c>
      <c r="E96" s="31"/>
      <c r="F96" s="31"/>
      <c r="G96" s="31"/>
      <c r="H96" s="31"/>
    </row>
    <row r="99" spans="1:8" x14ac:dyDescent="0.35">
      <c r="A99" s="11" t="s">
        <v>26</v>
      </c>
      <c r="B99" s="11" t="s">
        <v>1</v>
      </c>
      <c r="C99" s="11" t="s">
        <v>2</v>
      </c>
      <c r="D99" s="6" t="s">
        <v>3</v>
      </c>
      <c r="E99" s="6" t="s">
        <v>4</v>
      </c>
      <c r="F99" s="6" t="s">
        <v>5</v>
      </c>
      <c r="G99" s="6" t="s">
        <v>6</v>
      </c>
      <c r="H99" s="6" t="s">
        <v>7</v>
      </c>
    </row>
    <row r="100" spans="1:8" x14ac:dyDescent="0.35">
      <c r="A100" s="11" t="s">
        <v>1</v>
      </c>
      <c r="B100" s="38">
        <f>COUNTIFS(Table1[Windy],"No",Table1[CloudTomorrow],"Cloudy",Table1[Pressure],"Yes")</f>
        <v>0</v>
      </c>
      <c r="C100" s="39">
        <f>COUNTIFS(Table1[Windy],"No",Table1[CloudTomorrow],"Not Cloudy",Table1[Pressure],"Yes")</f>
        <v>4</v>
      </c>
      <c r="D100" s="5">
        <f>B100/SUM(B100:C100)</f>
        <v>0</v>
      </c>
      <c r="E100" s="5">
        <f>IF(D100&lt;&gt;0,LOG(D100)/$F$1,0)</f>
        <v>0</v>
      </c>
      <c r="F100" s="5">
        <f>C100/SUM(B100:C100)</f>
        <v>1</v>
      </c>
      <c r="G100" s="5">
        <f>IF(F100&lt;&gt;0,LOG(F100)/$F$1,0)</f>
        <v>0</v>
      </c>
      <c r="H100" s="5">
        <f>-D100*E100-F100*G100</f>
        <v>0</v>
      </c>
    </row>
    <row r="101" spans="1:8" x14ac:dyDescent="0.35">
      <c r="A101" s="11" t="s">
        <v>2</v>
      </c>
      <c r="B101" s="39">
        <f>COUNTIFS(Table1[Windy],"No",Table1[CloudTomorrow],"Cloudy",Table1[Pressure],"No")</f>
        <v>1</v>
      </c>
      <c r="C101" s="39">
        <f>COUNTIFS(Table1[Windy],"No",Table1[CloudTomorrow],"Not Cloudy",Table1[Pressure],"No")</f>
        <v>3</v>
      </c>
      <c r="D101" s="5">
        <f t="shared" ref="D101" si="58">B101/SUM(B101:C101)</f>
        <v>0.25</v>
      </c>
      <c r="E101" s="5">
        <f t="shared" ref="E101" si="59">IF(D101&lt;&gt;0,LOG(D101)/$F$1,0)</f>
        <v>-2</v>
      </c>
      <c r="F101" s="5">
        <f t="shared" ref="F101" si="60">C101/SUM(B101:C101)</f>
        <v>0.75</v>
      </c>
      <c r="G101" s="5">
        <f t="shared" ref="G101" si="61">IF(F101&lt;&gt;0,LOG(F101)/$F$1,0)</f>
        <v>-0.41503749927884381</v>
      </c>
      <c r="H101" s="5">
        <f t="shared" ref="H101" si="62">-D101*E101-F101*G101</f>
        <v>0.81127812445913283</v>
      </c>
    </row>
    <row r="102" spans="1:8" x14ac:dyDescent="0.35">
      <c r="A102" s="11" t="s">
        <v>10</v>
      </c>
      <c r="B102" s="4"/>
      <c r="C102" s="4"/>
      <c r="D102" s="4"/>
      <c r="E102" s="4"/>
      <c r="F102" s="4"/>
      <c r="G102" s="4"/>
      <c r="H102" s="5">
        <f>(H100*SUM(B100:C100)+H101*SUM(B101:C101))/SUM(B100:C101)</f>
        <v>0.40563906222956642</v>
      </c>
    </row>
    <row r="103" spans="1:8" x14ac:dyDescent="0.35">
      <c r="A103" s="11" t="s">
        <v>12</v>
      </c>
      <c r="B103" s="4"/>
      <c r="C103" s="4"/>
      <c r="D103" s="4"/>
      <c r="E103" s="4"/>
      <c r="F103" s="4"/>
      <c r="G103" s="4"/>
      <c r="H103" s="7">
        <f>$H$4-H102</f>
        <v>0.56531153222510233</v>
      </c>
    </row>
    <row r="106" spans="1:8" x14ac:dyDescent="0.35">
      <c r="A106" s="11" t="s">
        <v>50</v>
      </c>
      <c r="B106" s="11" t="s">
        <v>1</v>
      </c>
      <c r="C106" s="11" t="s">
        <v>2</v>
      </c>
      <c r="D106" s="6" t="s">
        <v>3</v>
      </c>
      <c r="E106" s="6" t="s">
        <v>4</v>
      </c>
      <c r="F106" s="6" t="s">
        <v>5</v>
      </c>
      <c r="G106" s="6" t="s">
        <v>6</v>
      </c>
      <c r="H106" s="6" t="s">
        <v>7</v>
      </c>
    </row>
    <row r="107" spans="1:8" x14ac:dyDescent="0.35">
      <c r="A107" s="11" t="s">
        <v>1</v>
      </c>
      <c r="B107" s="38">
        <f>COUNTIFS(Table1[Windy],"Yes",Table1[CloudTomorrow],"Cloudy",Table1[Pressure],"Yes")</f>
        <v>3</v>
      </c>
      <c r="C107" s="39">
        <f>COUNTIFS(Table1[Windy],"Yes",Table1[CloudTomorrow],"Not Cloudy",Table1[Pressure],"Yes")</f>
        <v>3</v>
      </c>
      <c r="D107" s="5">
        <f>B107/SUM(B107:C107)</f>
        <v>0.5</v>
      </c>
      <c r="E107" s="5">
        <f>IF(D107&lt;&gt;0,LOG(D107)/$F$1,0)</f>
        <v>-1</v>
      </c>
      <c r="F107" s="5">
        <f>C107/SUM(B107:C107)</f>
        <v>0.5</v>
      </c>
      <c r="G107" s="5">
        <f>IF(F107&lt;&gt;0,LOG(F107)/$F$1,0)</f>
        <v>-1</v>
      </c>
      <c r="H107" s="5">
        <f>-D107*E107-F107*G107</f>
        <v>1</v>
      </c>
    </row>
    <row r="108" spans="1:8" x14ac:dyDescent="0.35">
      <c r="A108" s="11" t="s">
        <v>2</v>
      </c>
      <c r="B108" s="39">
        <f>COUNTIFS(Table1[Windy],"Yes",Table1[CloudTomorrow],"Cloudy",Table1[Pressure],"No")</f>
        <v>0</v>
      </c>
      <c r="C108" s="39">
        <f>COUNTIFS(Table1[Windy],"Yes",Table1[CloudTomorrow],"Not Cloudy",Table1[Pressure],"No")</f>
        <v>1</v>
      </c>
      <c r="D108" s="5">
        <f t="shared" ref="D108" si="63">B108/SUM(B108:C108)</f>
        <v>0</v>
      </c>
      <c r="E108" s="5">
        <f t="shared" ref="E108" si="64">IF(D108&lt;&gt;0,LOG(D108)/$F$1,0)</f>
        <v>0</v>
      </c>
      <c r="F108" s="5">
        <f t="shared" ref="F108" si="65">C108/SUM(B108:C108)</f>
        <v>1</v>
      </c>
      <c r="G108" s="5">
        <f t="shared" ref="G108" si="66">IF(F108&lt;&gt;0,LOG(F108)/$F$1,0)</f>
        <v>0</v>
      </c>
      <c r="H108" s="5">
        <f t="shared" ref="H108" si="67">-D108*E108-F108*G108</f>
        <v>0</v>
      </c>
    </row>
    <row r="109" spans="1:8" x14ac:dyDescent="0.35">
      <c r="A109" s="11" t="s">
        <v>10</v>
      </c>
      <c r="B109" s="4"/>
      <c r="C109" s="4"/>
      <c r="D109" s="4"/>
      <c r="E109" s="4"/>
      <c r="F109" s="4"/>
      <c r="G109" s="4"/>
      <c r="H109" s="5">
        <f>(H107*SUM(B107:C107)+H108*SUM(B108:C108))/SUM(B107:C108)</f>
        <v>0.8571428571428571</v>
      </c>
    </row>
    <row r="110" spans="1:8" x14ac:dyDescent="0.35">
      <c r="A110" s="11" t="s">
        <v>12</v>
      </c>
      <c r="B110" s="4"/>
      <c r="C110" s="4"/>
      <c r="D110" s="4"/>
      <c r="E110" s="4"/>
      <c r="F110" s="4"/>
      <c r="G110" s="4"/>
      <c r="H110" s="7">
        <f>$H$4-H109</f>
        <v>0.1138077373118116</v>
      </c>
    </row>
  </sheetData>
  <mergeCells count="1">
    <mergeCell ref="A30:H30"/>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42EC-7C27-404F-BBEC-C40E00DE1615}">
  <dimension ref="A1:Y47"/>
  <sheetViews>
    <sheetView zoomScale="91" workbookViewId="0">
      <selection activeCell="F16" sqref="B2:F16"/>
    </sheetView>
  </sheetViews>
  <sheetFormatPr defaultRowHeight="15.5" x14ac:dyDescent="0.35"/>
  <cols>
    <col min="2" max="2" width="9.5" customWidth="1"/>
    <col min="3" max="3" width="15.08203125" customWidth="1"/>
    <col min="4" max="4" width="9.25" customWidth="1"/>
  </cols>
  <sheetData>
    <row r="1" spans="1:25" x14ac:dyDescent="0.35">
      <c r="B1" t="s">
        <v>16</v>
      </c>
      <c r="C1" t="s">
        <v>20</v>
      </c>
      <c r="D1" t="s">
        <v>17</v>
      </c>
      <c r="E1" t="s">
        <v>19</v>
      </c>
      <c r="F1" t="s">
        <v>18</v>
      </c>
    </row>
    <row r="2" spans="1:25" x14ac:dyDescent="0.35">
      <c r="A2">
        <v>1</v>
      </c>
      <c r="B2" s="35" t="s">
        <v>2</v>
      </c>
      <c r="C2" s="36" t="s">
        <v>22</v>
      </c>
      <c r="D2" s="35" t="s">
        <v>1</v>
      </c>
      <c r="E2" s="36" t="s">
        <v>1</v>
      </c>
      <c r="F2" s="36" t="s">
        <v>1</v>
      </c>
    </row>
    <row r="3" spans="1:25" x14ac:dyDescent="0.35">
      <c r="A3">
        <v>2</v>
      </c>
      <c r="B3" s="35" t="s">
        <v>2</v>
      </c>
      <c r="C3" s="36" t="s">
        <v>22</v>
      </c>
      <c r="D3" s="35" t="s">
        <v>1</v>
      </c>
      <c r="E3" s="36" t="s">
        <v>1</v>
      </c>
      <c r="F3" s="36" t="s">
        <v>1</v>
      </c>
    </row>
    <row r="4" spans="1:25" x14ac:dyDescent="0.35">
      <c r="A4">
        <v>3</v>
      </c>
      <c r="B4" s="35" t="s">
        <v>1</v>
      </c>
      <c r="C4" s="35" t="s">
        <v>24</v>
      </c>
      <c r="D4" s="36" t="s">
        <v>2</v>
      </c>
      <c r="E4" s="35" t="s">
        <v>2</v>
      </c>
      <c r="F4" s="35" t="s">
        <v>1</v>
      </c>
    </row>
    <row r="5" spans="1:25" x14ac:dyDescent="0.35">
      <c r="A5">
        <v>4</v>
      </c>
      <c r="B5" s="35" t="s">
        <v>2</v>
      </c>
      <c r="C5" s="35" t="s">
        <v>24</v>
      </c>
      <c r="D5" s="35" t="s">
        <v>1</v>
      </c>
      <c r="E5" s="35" t="s">
        <v>2</v>
      </c>
      <c r="F5" s="35" t="s">
        <v>1</v>
      </c>
    </row>
    <row r="6" spans="1:25" x14ac:dyDescent="0.35">
      <c r="A6">
        <v>5</v>
      </c>
      <c r="B6" s="35" t="s">
        <v>2</v>
      </c>
      <c r="C6" s="36" t="s">
        <v>24</v>
      </c>
      <c r="D6" s="35" t="s">
        <v>1</v>
      </c>
      <c r="E6" s="36" t="s">
        <v>2</v>
      </c>
      <c r="F6" s="36" t="s">
        <v>1</v>
      </c>
      <c r="I6" s="23" t="s">
        <v>15</v>
      </c>
      <c r="J6" s="24" t="s">
        <v>1</v>
      </c>
      <c r="K6" s="24" t="s">
        <v>2</v>
      </c>
      <c r="L6" s="24" t="s">
        <v>3</v>
      </c>
      <c r="M6" s="24" t="s">
        <v>4</v>
      </c>
      <c r="N6" s="24" t="s">
        <v>5</v>
      </c>
      <c r="O6" s="24" t="s">
        <v>6</v>
      </c>
      <c r="P6" s="24" t="s">
        <v>7</v>
      </c>
    </row>
    <row r="7" spans="1:25" x14ac:dyDescent="0.35">
      <c r="A7">
        <v>6</v>
      </c>
      <c r="B7" s="35" t="s">
        <v>2</v>
      </c>
      <c r="C7" s="35" t="s">
        <v>22</v>
      </c>
      <c r="D7" s="36" t="s">
        <v>2</v>
      </c>
      <c r="E7" s="35" t="s">
        <v>2</v>
      </c>
      <c r="F7" s="35" t="s">
        <v>2</v>
      </c>
      <c r="I7" s="25" t="s">
        <v>8</v>
      </c>
      <c r="J7" s="29">
        <f>COUNTIF(C2:C16,"Cloudy")</f>
        <v>4</v>
      </c>
      <c r="K7" s="29">
        <f>COUNTIF(C2:C16,"Not Cloudy")</f>
        <v>11</v>
      </c>
      <c r="L7" s="26">
        <v>0.6428571428571429</v>
      </c>
      <c r="M7" s="26">
        <v>-0.63742992061529158</v>
      </c>
      <c r="N7" s="26">
        <v>0.35714285714285715</v>
      </c>
      <c r="O7" s="26">
        <v>-1.4854268271702418</v>
      </c>
      <c r="P7" s="26">
        <v>0.94028595867063092</v>
      </c>
    </row>
    <row r="8" spans="1:25" x14ac:dyDescent="0.35">
      <c r="A8">
        <v>7</v>
      </c>
      <c r="B8" s="35" t="s">
        <v>2</v>
      </c>
      <c r="C8" s="35" t="s">
        <v>22</v>
      </c>
      <c r="D8" s="35" t="s">
        <v>1</v>
      </c>
      <c r="E8" s="35" t="s">
        <v>1</v>
      </c>
      <c r="F8" s="35" t="s">
        <v>2</v>
      </c>
    </row>
    <row r="9" spans="1:25" x14ac:dyDescent="0.35">
      <c r="A9">
        <v>8</v>
      </c>
      <c r="B9" s="35" t="s">
        <v>2</v>
      </c>
      <c r="C9" s="36" t="s">
        <v>24</v>
      </c>
      <c r="D9" s="36" t="s">
        <v>2</v>
      </c>
      <c r="E9" s="36" t="s">
        <v>2</v>
      </c>
      <c r="F9" s="36" t="s">
        <v>2</v>
      </c>
      <c r="J9" t="s">
        <v>1</v>
      </c>
      <c r="K9" t="s">
        <v>2</v>
      </c>
    </row>
    <row r="10" spans="1:25" x14ac:dyDescent="0.35">
      <c r="A10">
        <v>9</v>
      </c>
      <c r="B10" s="35" t="s">
        <v>2</v>
      </c>
      <c r="C10" s="35" t="s">
        <v>24</v>
      </c>
      <c r="D10" s="36" t="s">
        <v>2</v>
      </c>
      <c r="E10" s="35" t="s">
        <v>2</v>
      </c>
      <c r="F10" s="35" t="s">
        <v>2</v>
      </c>
      <c r="I10" t="s">
        <v>14</v>
      </c>
      <c r="J10">
        <f>COUNTIFS(Table1[CloudTomorrow], "Cloudy",Table1[Sunshine],"Sunny")</f>
        <v>0</v>
      </c>
      <c r="K10">
        <f>COUNTIFS(Table1[CloudTomorrow], "Not Cloudy",Table1[Sunshine],"Not Sunny")</f>
        <v>0</v>
      </c>
    </row>
    <row r="11" spans="1:25" x14ac:dyDescent="0.35">
      <c r="A11">
        <v>10</v>
      </c>
      <c r="B11" s="35" t="s">
        <v>2</v>
      </c>
      <c r="C11" s="36" t="s">
        <v>24</v>
      </c>
      <c r="D11" s="35" t="s">
        <v>1</v>
      </c>
      <c r="E11" s="36" t="s">
        <v>2</v>
      </c>
      <c r="F11" s="36" t="s">
        <v>2</v>
      </c>
      <c r="I11" t="s">
        <v>21</v>
      </c>
      <c r="J11">
        <f>COUNTIFS(Table1[CloudTomorrow], "Cloudy",Table1[Sunshine],"Not Sunny")</f>
        <v>0</v>
      </c>
      <c r="K11">
        <f>COUNTIFS(Table1[CloudTomorrow], "Not Cloudy",Table1[Sunshine],"Sunny")</f>
        <v>0</v>
      </c>
    </row>
    <row r="12" spans="1:25" x14ac:dyDescent="0.35">
      <c r="A12">
        <v>11</v>
      </c>
      <c r="B12" s="35" t="s">
        <v>2</v>
      </c>
      <c r="C12" s="36" t="s">
        <v>24</v>
      </c>
      <c r="D12" s="35" t="s">
        <v>1</v>
      </c>
      <c r="E12" s="36" t="s">
        <v>2</v>
      </c>
      <c r="F12" s="36" t="s">
        <v>2</v>
      </c>
    </row>
    <row r="13" spans="1:25" x14ac:dyDescent="0.35">
      <c r="A13">
        <v>12</v>
      </c>
      <c r="B13" s="35" t="s">
        <v>1</v>
      </c>
      <c r="C13" s="35" t="s">
        <v>24</v>
      </c>
      <c r="D13" s="35" t="s">
        <v>1</v>
      </c>
      <c r="E13" s="35" t="s">
        <v>1</v>
      </c>
      <c r="F13" s="35" t="s">
        <v>2</v>
      </c>
    </row>
    <row r="14" spans="1:25" x14ac:dyDescent="0.35">
      <c r="A14">
        <v>13</v>
      </c>
      <c r="B14" s="35" t="s">
        <v>1</v>
      </c>
      <c r="C14" s="35" t="s">
        <v>24</v>
      </c>
      <c r="D14" s="35" t="s">
        <v>1</v>
      </c>
      <c r="E14" s="35" t="s">
        <v>1</v>
      </c>
      <c r="F14" s="35" t="s">
        <v>2</v>
      </c>
    </row>
    <row r="15" spans="1:25" x14ac:dyDescent="0.35">
      <c r="A15">
        <v>14</v>
      </c>
      <c r="B15" s="35" t="s">
        <v>2</v>
      </c>
      <c r="C15" s="35" t="s">
        <v>24</v>
      </c>
      <c r="D15" s="36" t="s">
        <v>2</v>
      </c>
      <c r="E15" s="35" t="s">
        <v>1</v>
      </c>
      <c r="F15" s="35" t="s">
        <v>2</v>
      </c>
      <c r="N15" t="s">
        <v>14</v>
      </c>
      <c r="R15" t="s">
        <v>19</v>
      </c>
      <c r="U15" s="32" t="s">
        <v>16</v>
      </c>
      <c r="V15" s="32" t="s">
        <v>20</v>
      </c>
      <c r="W15" s="32" t="s">
        <v>17</v>
      </c>
      <c r="X15" s="32" t="s">
        <v>19</v>
      </c>
      <c r="Y15" s="32" t="s">
        <v>18</v>
      </c>
    </row>
    <row r="16" spans="1:25" x14ac:dyDescent="0.35">
      <c r="A16">
        <v>15</v>
      </c>
      <c r="B16" s="35" t="s">
        <v>2</v>
      </c>
      <c r="C16" s="34" t="s">
        <v>24</v>
      </c>
      <c r="D16" s="37" t="s">
        <v>1</v>
      </c>
      <c r="E16" s="34" t="s">
        <v>1</v>
      </c>
      <c r="F16" s="34" t="s">
        <v>2</v>
      </c>
      <c r="I16" t="s">
        <v>17</v>
      </c>
      <c r="J16" t="s">
        <v>1</v>
      </c>
      <c r="K16" t="s">
        <v>2</v>
      </c>
      <c r="M16" t="s">
        <v>17</v>
      </c>
      <c r="N16" t="s">
        <v>1</v>
      </c>
      <c r="O16" t="s">
        <v>2</v>
      </c>
      <c r="Q16" t="s">
        <v>17</v>
      </c>
      <c r="R16" t="s">
        <v>1</v>
      </c>
      <c r="S16" t="s">
        <v>2</v>
      </c>
      <c r="U16" s="27" t="s">
        <v>21</v>
      </c>
      <c r="V16" s="27" t="s">
        <v>22</v>
      </c>
      <c r="W16" s="27" t="s">
        <v>13</v>
      </c>
      <c r="X16" s="27" t="s">
        <v>1</v>
      </c>
      <c r="Y16" s="27" t="s">
        <v>2</v>
      </c>
    </row>
    <row r="17" spans="1:25" x14ac:dyDescent="0.35">
      <c r="A17">
        <v>16</v>
      </c>
      <c r="I17" t="s">
        <v>13</v>
      </c>
      <c r="J17">
        <f>COUNTIFS(Table1[CloudTomorrow], "Cloudy",Table1[Pressure],"High")</f>
        <v>0</v>
      </c>
      <c r="K17">
        <f>COUNTIFS(Table1[CloudTomorrow], "Not Cloudy",Table1[Pressure],"High")</f>
        <v>0</v>
      </c>
      <c r="M17" t="s">
        <v>13</v>
      </c>
      <c r="N17">
        <v>0</v>
      </c>
      <c r="O17">
        <v>2</v>
      </c>
      <c r="Q17" t="s">
        <v>13</v>
      </c>
      <c r="R17">
        <v>3</v>
      </c>
      <c r="S17">
        <v>3</v>
      </c>
      <c r="U17" s="28" t="s">
        <v>21</v>
      </c>
      <c r="V17" s="28" t="s">
        <v>22</v>
      </c>
      <c r="W17" s="28" t="s">
        <v>13</v>
      </c>
      <c r="X17" s="28" t="s">
        <v>1</v>
      </c>
      <c r="Y17" s="28" t="s">
        <v>1</v>
      </c>
    </row>
    <row r="18" spans="1:25" x14ac:dyDescent="0.35">
      <c r="A18">
        <v>17</v>
      </c>
      <c r="I18" t="s">
        <v>23</v>
      </c>
      <c r="J18">
        <f>COUNTIFS(Table1[CloudTomorrow], "Cloudy",Table1[Pressure],"Not High")</f>
        <v>0</v>
      </c>
      <c r="K18">
        <f>COUNTIFS(Table1[CloudTomorrow], "Not Cloudy",Table1[Pressure],"Not High")</f>
        <v>0</v>
      </c>
      <c r="M18" t="s">
        <v>23</v>
      </c>
      <c r="N18">
        <v>0</v>
      </c>
      <c r="O18">
        <v>0</v>
      </c>
      <c r="Q18" t="s">
        <v>23</v>
      </c>
      <c r="R18">
        <v>0</v>
      </c>
      <c r="S18">
        <v>1</v>
      </c>
      <c r="U18" s="28" t="s">
        <v>21</v>
      </c>
      <c r="V18" s="28" t="s">
        <v>22</v>
      </c>
      <c r="W18" s="28" t="s">
        <v>13</v>
      </c>
      <c r="X18" s="28" t="s">
        <v>1</v>
      </c>
      <c r="Y18" s="28" t="s">
        <v>1</v>
      </c>
    </row>
    <row r="19" spans="1:25" x14ac:dyDescent="0.35">
      <c r="A19">
        <v>18</v>
      </c>
      <c r="U19" s="27" t="s">
        <v>14</v>
      </c>
      <c r="V19" s="27" t="s">
        <v>24</v>
      </c>
      <c r="W19" s="27" t="s">
        <v>13</v>
      </c>
      <c r="X19" s="27" t="s">
        <v>1</v>
      </c>
      <c r="Y19" s="27" t="s">
        <v>2</v>
      </c>
    </row>
    <row r="20" spans="1:25" x14ac:dyDescent="0.35">
      <c r="A20">
        <v>19</v>
      </c>
      <c r="N20" t="s">
        <v>21</v>
      </c>
      <c r="R20" t="s">
        <v>25</v>
      </c>
      <c r="U20" s="27" t="s">
        <v>21</v>
      </c>
      <c r="V20" s="27" t="s">
        <v>22</v>
      </c>
      <c r="W20" s="27" t="s">
        <v>23</v>
      </c>
      <c r="X20" s="27" t="s">
        <v>2</v>
      </c>
      <c r="Y20" s="27" t="s">
        <v>2</v>
      </c>
    </row>
    <row r="21" spans="1:25" x14ac:dyDescent="0.35">
      <c r="A21">
        <v>20</v>
      </c>
      <c r="I21" t="s">
        <v>19</v>
      </c>
      <c r="J21" t="s">
        <v>1</v>
      </c>
      <c r="K21" t="s">
        <v>2</v>
      </c>
      <c r="M21" t="s">
        <v>17</v>
      </c>
      <c r="N21" t="s">
        <v>1</v>
      </c>
      <c r="O21" t="s">
        <v>2</v>
      </c>
      <c r="Q21" t="s">
        <v>17</v>
      </c>
      <c r="R21" t="s">
        <v>1</v>
      </c>
      <c r="S21" t="s">
        <v>2</v>
      </c>
      <c r="U21" s="28" t="s">
        <v>21</v>
      </c>
      <c r="V21" s="28" t="s">
        <v>24</v>
      </c>
      <c r="W21" s="28" t="s">
        <v>13</v>
      </c>
      <c r="X21" s="28" t="s">
        <v>1</v>
      </c>
      <c r="Y21" s="28" t="s">
        <v>2</v>
      </c>
    </row>
    <row r="22" spans="1:25" x14ac:dyDescent="0.35">
      <c r="I22" t="s">
        <v>1</v>
      </c>
      <c r="J22">
        <f>COUNTIFS(Table1[CloudTomorrow], "Cloudy",Table1[Cold],"Yes")</f>
        <v>2</v>
      </c>
      <c r="K22">
        <f>COUNTIFS(Table1[CloudTomorrow], "Not Cloudy",Table1[Cold],"Yes")</f>
        <v>3</v>
      </c>
      <c r="M22" t="s">
        <v>13</v>
      </c>
      <c r="N22">
        <v>3</v>
      </c>
      <c r="O22">
        <v>5</v>
      </c>
      <c r="Q22" t="s">
        <v>13</v>
      </c>
      <c r="R22">
        <v>0</v>
      </c>
      <c r="S22">
        <v>4</v>
      </c>
      <c r="U22" s="28" t="s">
        <v>21</v>
      </c>
      <c r="V22" s="28" t="s">
        <v>24</v>
      </c>
      <c r="W22" s="28" t="s">
        <v>13</v>
      </c>
      <c r="X22" s="28" t="s">
        <v>2</v>
      </c>
      <c r="Y22" s="28" t="s">
        <v>2</v>
      </c>
    </row>
    <row r="23" spans="1:25" x14ac:dyDescent="0.35">
      <c r="I23" t="s">
        <v>2</v>
      </c>
      <c r="J23">
        <f>COUNTIFS(Table1[CloudTomorrow], "Cloudy",Table1[Cold],"No")</f>
        <v>2</v>
      </c>
      <c r="K23">
        <f>COUNTIFS(Table1[CloudTomorrow], "Not Cloudy",Table1[Cold],"No")</f>
        <v>8</v>
      </c>
      <c r="M23" t="s">
        <v>23</v>
      </c>
      <c r="N23">
        <v>1</v>
      </c>
      <c r="O23">
        <v>4</v>
      </c>
      <c r="Q23" t="s">
        <v>23</v>
      </c>
      <c r="R23">
        <v>1</v>
      </c>
      <c r="S23">
        <v>3</v>
      </c>
      <c r="U23" s="28" t="s">
        <v>21</v>
      </c>
      <c r="V23" s="28" t="s">
        <v>24</v>
      </c>
      <c r="W23" s="28" t="s">
        <v>13</v>
      </c>
      <c r="X23" s="28" t="s">
        <v>2</v>
      </c>
      <c r="Y23" s="28" t="s">
        <v>2</v>
      </c>
    </row>
    <row r="24" spans="1:25" x14ac:dyDescent="0.35">
      <c r="U24" s="28" t="s">
        <v>21</v>
      </c>
      <c r="V24" s="28" t="s">
        <v>24</v>
      </c>
      <c r="W24" s="28" t="s">
        <v>13</v>
      </c>
      <c r="X24" s="28" t="s">
        <v>2</v>
      </c>
      <c r="Y24" s="28" t="s">
        <v>1</v>
      </c>
    </row>
    <row r="25" spans="1:25" x14ac:dyDescent="0.35">
      <c r="U25" s="27" t="s">
        <v>21</v>
      </c>
      <c r="V25" s="27" t="s">
        <v>24</v>
      </c>
      <c r="W25" s="27" t="s">
        <v>13</v>
      </c>
      <c r="X25" s="27" t="s">
        <v>2</v>
      </c>
      <c r="Y25" s="27" t="s">
        <v>2</v>
      </c>
    </row>
    <row r="26" spans="1:25" x14ac:dyDescent="0.35">
      <c r="I26" t="s">
        <v>18</v>
      </c>
      <c r="J26" t="s">
        <v>1</v>
      </c>
      <c r="K26" t="s">
        <v>2</v>
      </c>
      <c r="U26" s="27" t="s">
        <v>21</v>
      </c>
      <c r="V26" s="27" t="s">
        <v>24</v>
      </c>
      <c r="W26" s="27" t="s">
        <v>23</v>
      </c>
      <c r="X26" s="27" t="s">
        <v>1</v>
      </c>
      <c r="Y26" s="27" t="s">
        <v>2</v>
      </c>
    </row>
    <row r="27" spans="1:25" x14ac:dyDescent="0.35">
      <c r="I27" t="s">
        <v>1</v>
      </c>
      <c r="J27">
        <f>COUNTIFS(Table1[CloudTomorrow], "Cloudy",Table1[Windy],"Yes")</f>
        <v>3</v>
      </c>
      <c r="K27">
        <f>COUNTIFS(Table1[CloudTomorrow], "Not Cloudy",Table1[Windy],"Yes")</f>
        <v>4</v>
      </c>
      <c r="N27" t="s">
        <v>14</v>
      </c>
      <c r="R27" t="s">
        <v>19</v>
      </c>
      <c r="U27" s="27" t="s">
        <v>21</v>
      </c>
      <c r="V27" s="27" t="s">
        <v>24</v>
      </c>
      <c r="W27" s="27" t="s">
        <v>23</v>
      </c>
      <c r="X27" s="27" t="s">
        <v>2</v>
      </c>
      <c r="Y27" s="27" t="s">
        <v>2</v>
      </c>
    </row>
    <row r="28" spans="1:25" x14ac:dyDescent="0.35">
      <c r="I28" t="s">
        <v>2</v>
      </c>
      <c r="J28">
        <f>COUNTIFS(Table1[CloudTomorrow], "Cloudy",Table1[Windy],"No")</f>
        <v>1</v>
      </c>
      <c r="K28">
        <f>COUNTIFS(Table1[CloudTomorrow], "Not Cloudy",Table1[Windy],"No")</f>
        <v>7</v>
      </c>
      <c r="M28" t="s">
        <v>19</v>
      </c>
      <c r="N28" t="s">
        <v>1</v>
      </c>
      <c r="O28" t="s">
        <v>2</v>
      </c>
      <c r="Q28" t="s">
        <v>18</v>
      </c>
      <c r="R28" t="s">
        <v>1</v>
      </c>
      <c r="S28" t="s">
        <v>2</v>
      </c>
      <c r="U28" s="27" t="s">
        <v>14</v>
      </c>
      <c r="V28" s="27" t="s">
        <v>24</v>
      </c>
      <c r="W28" s="27" t="s">
        <v>13</v>
      </c>
      <c r="X28" s="27" t="s">
        <v>1</v>
      </c>
      <c r="Y28" s="27" t="s">
        <v>2</v>
      </c>
    </row>
    <row r="29" spans="1:25" x14ac:dyDescent="0.35">
      <c r="M29" t="s">
        <v>1</v>
      </c>
      <c r="N29">
        <v>0</v>
      </c>
      <c r="O29">
        <v>2</v>
      </c>
      <c r="Q29" t="s">
        <v>1</v>
      </c>
      <c r="R29">
        <v>2</v>
      </c>
      <c r="S29">
        <v>0</v>
      </c>
      <c r="U29" s="28" t="s">
        <v>21</v>
      </c>
      <c r="V29" s="28" t="s">
        <v>24</v>
      </c>
      <c r="W29" s="28" t="s">
        <v>23</v>
      </c>
      <c r="X29" s="28" t="s">
        <v>2</v>
      </c>
      <c r="Y29" s="28" t="s">
        <v>2</v>
      </c>
    </row>
    <row r="30" spans="1:25" x14ac:dyDescent="0.35">
      <c r="M30" t="s">
        <v>2</v>
      </c>
      <c r="N30">
        <v>0</v>
      </c>
      <c r="O30">
        <v>0</v>
      </c>
      <c r="Q30" t="s">
        <v>2</v>
      </c>
      <c r="R30">
        <v>1</v>
      </c>
      <c r="S30">
        <v>4</v>
      </c>
      <c r="U30" s="33" t="s">
        <v>21</v>
      </c>
      <c r="V30" s="33" t="s">
        <v>24</v>
      </c>
      <c r="W30" s="33" t="s">
        <v>23</v>
      </c>
      <c r="X30" s="33" t="s">
        <v>2</v>
      </c>
      <c r="Y30" s="33" t="s">
        <v>2</v>
      </c>
    </row>
    <row r="32" spans="1:25" x14ac:dyDescent="0.35">
      <c r="N32" t="s">
        <v>21</v>
      </c>
      <c r="R32" t="s">
        <v>25</v>
      </c>
    </row>
    <row r="33" spans="13:19" x14ac:dyDescent="0.35">
      <c r="M33" t="s">
        <v>19</v>
      </c>
      <c r="N33" t="s">
        <v>1</v>
      </c>
      <c r="O33" t="s">
        <v>2</v>
      </c>
      <c r="Q33" t="s">
        <v>18</v>
      </c>
      <c r="R33" t="s">
        <v>1</v>
      </c>
      <c r="S33" t="s">
        <v>2</v>
      </c>
    </row>
    <row r="34" spans="13:19" x14ac:dyDescent="0.35">
      <c r="M34" t="s">
        <v>1</v>
      </c>
      <c r="N34">
        <v>3</v>
      </c>
      <c r="O34">
        <v>2</v>
      </c>
      <c r="Q34" t="s">
        <v>1</v>
      </c>
      <c r="R34">
        <v>0</v>
      </c>
      <c r="S34">
        <v>1</v>
      </c>
    </row>
    <row r="35" spans="13:19" x14ac:dyDescent="0.35">
      <c r="M35" t="s">
        <v>2</v>
      </c>
      <c r="N35">
        <v>1</v>
      </c>
      <c r="O35">
        <v>7</v>
      </c>
      <c r="Q35" t="s">
        <v>2</v>
      </c>
      <c r="R35">
        <v>1</v>
      </c>
      <c r="S35">
        <v>6</v>
      </c>
    </row>
    <row r="39" spans="13:19" x14ac:dyDescent="0.35">
      <c r="N39" t="s">
        <v>14</v>
      </c>
    </row>
    <row r="40" spans="13:19" x14ac:dyDescent="0.35">
      <c r="M40" t="s">
        <v>18</v>
      </c>
      <c r="N40" t="s">
        <v>1</v>
      </c>
      <c r="O40" t="s">
        <v>2</v>
      </c>
    </row>
    <row r="41" spans="13:19" x14ac:dyDescent="0.35">
      <c r="M41" t="s">
        <v>1</v>
      </c>
      <c r="N41">
        <v>0</v>
      </c>
      <c r="O41">
        <v>0</v>
      </c>
    </row>
    <row r="42" spans="13:19" x14ac:dyDescent="0.35">
      <c r="M42" t="s">
        <v>2</v>
      </c>
      <c r="N42">
        <v>0</v>
      </c>
      <c r="O42">
        <v>2</v>
      </c>
    </row>
    <row r="44" spans="13:19" x14ac:dyDescent="0.35">
      <c r="N44" t="s">
        <v>21</v>
      </c>
    </row>
    <row r="45" spans="13:19" x14ac:dyDescent="0.35">
      <c r="M45" t="s">
        <v>18</v>
      </c>
      <c r="N45" t="s">
        <v>1</v>
      </c>
      <c r="O45" t="s">
        <v>2</v>
      </c>
    </row>
    <row r="46" spans="13:19" x14ac:dyDescent="0.35">
      <c r="M46" t="s">
        <v>1</v>
      </c>
      <c r="N46">
        <v>2</v>
      </c>
      <c r="O46">
        <v>1</v>
      </c>
    </row>
    <row r="47" spans="13:19" x14ac:dyDescent="0.35">
      <c r="M47" t="s">
        <v>2</v>
      </c>
      <c r="N47">
        <v>2</v>
      </c>
      <c r="O47">
        <v>8</v>
      </c>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59E8-2741-448A-AD41-227130649488}">
  <dimension ref="B1:F16"/>
  <sheetViews>
    <sheetView workbookViewId="0">
      <selection activeCell="C3" sqref="C3:C12"/>
    </sheetView>
  </sheetViews>
  <sheetFormatPr defaultRowHeight="15.5" x14ac:dyDescent="0.35"/>
  <cols>
    <col min="2" max="2" width="10.1640625" customWidth="1"/>
    <col min="3" max="3" width="16.33203125" customWidth="1"/>
    <col min="4" max="4" width="9.9140625" customWidth="1"/>
    <col min="10" max="10" width="14.25" customWidth="1"/>
    <col min="11" max="11" width="12.5" customWidth="1"/>
  </cols>
  <sheetData>
    <row r="1" spans="2:6" x14ac:dyDescent="0.35">
      <c r="B1" s="32" t="s">
        <v>16</v>
      </c>
      <c r="C1" s="32" t="s">
        <v>20</v>
      </c>
      <c r="D1" s="32" t="s">
        <v>17</v>
      </c>
      <c r="E1" s="32" t="s">
        <v>19</v>
      </c>
      <c r="F1" s="32" t="s">
        <v>18</v>
      </c>
    </row>
    <row r="2" spans="2:6" hidden="1" x14ac:dyDescent="0.35">
      <c r="B2" s="35" t="s">
        <v>2</v>
      </c>
      <c r="C2" s="35" t="s">
        <v>22</v>
      </c>
      <c r="D2" s="36" t="s">
        <v>2</v>
      </c>
      <c r="E2" s="35" t="s">
        <v>2</v>
      </c>
      <c r="F2" s="35" t="s">
        <v>2</v>
      </c>
    </row>
    <row r="3" spans="2:6" hidden="1" x14ac:dyDescent="0.35">
      <c r="B3" s="35" t="s">
        <v>2</v>
      </c>
      <c r="C3" s="35" t="s">
        <v>22</v>
      </c>
      <c r="D3" s="35" t="s">
        <v>1</v>
      </c>
      <c r="E3" s="35" t="s">
        <v>1</v>
      </c>
      <c r="F3" s="35" t="s">
        <v>2</v>
      </c>
    </row>
    <row r="4" spans="2:6" hidden="1" x14ac:dyDescent="0.35">
      <c r="B4" s="35" t="s">
        <v>2</v>
      </c>
      <c r="C4" s="36" t="s">
        <v>22</v>
      </c>
      <c r="D4" s="35" t="s">
        <v>1</v>
      </c>
      <c r="E4" s="36" t="s">
        <v>1</v>
      </c>
      <c r="F4" s="36" t="s">
        <v>1</v>
      </c>
    </row>
    <row r="5" spans="2:6" hidden="1" x14ac:dyDescent="0.35">
      <c r="B5" s="35" t="s">
        <v>2</v>
      </c>
      <c r="C5" s="36" t="s">
        <v>22</v>
      </c>
      <c r="D5" s="35" t="s">
        <v>1</v>
      </c>
      <c r="E5" s="36" t="s">
        <v>1</v>
      </c>
      <c r="F5" s="36" t="s">
        <v>1</v>
      </c>
    </row>
    <row r="6" spans="2:6" hidden="1" x14ac:dyDescent="0.35">
      <c r="B6" s="35" t="s">
        <v>2</v>
      </c>
      <c r="C6" s="36" t="s">
        <v>24</v>
      </c>
      <c r="D6" s="36" t="s">
        <v>2</v>
      </c>
      <c r="E6" s="36" t="s">
        <v>2</v>
      </c>
      <c r="F6" s="36" t="s">
        <v>2</v>
      </c>
    </row>
    <row r="7" spans="2:6" hidden="1" x14ac:dyDescent="0.35">
      <c r="B7" s="35" t="s">
        <v>2</v>
      </c>
      <c r="C7" s="35" t="s">
        <v>24</v>
      </c>
      <c r="D7" s="36" t="s">
        <v>2</v>
      </c>
      <c r="E7" s="35" t="s">
        <v>2</v>
      </c>
      <c r="F7" s="35" t="s">
        <v>2</v>
      </c>
    </row>
    <row r="8" spans="2:6" hidden="1" x14ac:dyDescent="0.35">
      <c r="B8" s="35" t="s">
        <v>2</v>
      </c>
      <c r="C8" s="36" t="s">
        <v>24</v>
      </c>
      <c r="D8" s="35" t="s">
        <v>1</v>
      </c>
      <c r="E8" s="36" t="s">
        <v>2</v>
      </c>
      <c r="F8" s="36" t="s">
        <v>2</v>
      </c>
    </row>
    <row r="9" spans="2:6" hidden="1" x14ac:dyDescent="0.35">
      <c r="B9" s="35" t="s">
        <v>2</v>
      </c>
      <c r="C9" s="36" t="s">
        <v>24</v>
      </c>
      <c r="D9" s="35" t="s">
        <v>1</v>
      </c>
      <c r="E9" s="36" t="s">
        <v>2</v>
      </c>
      <c r="F9" s="36" t="s">
        <v>2</v>
      </c>
    </row>
    <row r="10" spans="2:6" x14ac:dyDescent="0.35">
      <c r="B10" s="35" t="s">
        <v>2</v>
      </c>
      <c r="C10" s="35" t="s">
        <v>24</v>
      </c>
      <c r="D10" s="35" t="s">
        <v>1</v>
      </c>
      <c r="E10" s="35" t="s">
        <v>2</v>
      </c>
      <c r="F10" s="35" t="s">
        <v>1</v>
      </c>
    </row>
    <row r="11" spans="2:6" hidden="1" x14ac:dyDescent="0.35">
      <c r="B11" s="35" t="s">
        <v>2</v>
      </c>
      <c r="C11" s="35" t="s">
        <v>24</v>
      </c>
      <c r="D11" s="36" t="s">
        <v>2</v>
      </c>
      <c r="E11" s="35" t="s">
        <v>1</v>
      </c>
      <c r="F11" s="35" t="s">
        <v>2</v>
      </c>
    </row>
    <row r="12" spans="2:6" hidden="1" x14ac:dyDescent="0.35">
      <c r="B12" s="35" t="s">
        <v>2</v>
      </c>
      <c r="C12" s="36" t="s">
        <v>24</v>
      </c>
      <c r="D12" s="35" t="s">
        <v>1</v>
      </c>
      <c r="E12" s="36" t="s">
        <v>1</v>
      </c>
      <c r="F12" s="36" t="s">
        <v>2</v>
      </c>
    </row>
    <row r="13" spans="2:6" x14ac:dyDescent="0.35">
      <c r="B13" s="35" t="s">
        <v>2</v>
      </c>
      <c r="C13" s="36" t="s">
        <v>24</v>
      </c>
      <c r="D13" s="35" t="s">
        <v>1</v>
      </c>
      <c r="E13" s="36" t="s">
        <v>2</v>
      </c>
      <c r="F13" s="36" t="s">
        <v>1</v>
      </c>
    </row>
    <row r="14" spans="2:6" hidden="1" x14ac:dyDescent="0.35">
      <c r="B14" s="35" t="s">
        <v>1</v>
      </c>
      <c r="C14" s="35" t="s">
        <v>24</v>
      </c>
      <c r="D14" s="36" t="s">
        <v>2</v>
      </c>
      <c r="E14" s="35" t="s">
        <v>2</v>
      </c>
      <c r="F14" s="35" t="s">
        <v>1</v>
      </c>
    </row>
    <row r="15" spans="2:6" hidden="1" x14ac:dyDescent="0.35">
      <c r="B15" s="35" t="s">
        <v>1</v>
      </c>
      <c r="C15" s="35" t="s">
        <v>24</v>
      </c>
      <c r="D15" s="35" t="s">
        <v>1</v>
      </c>
      <c r="E15" s="35" t="s">
        <v>1</v>
      </c>
      <c r="F15" s="35" t="s">
        <v>2</v>
      </c>
    </row>
    <row r="16" spans="2:6" hidden="1" x14ac:dyDescent="0.35">
      <c r="B16" s="35" t="s">
        <v>1</v>
      </c>
      <c r="C16" s="37" t="s">
        <v>24</v>
      </c>
      <c r="D16" s="37" t="s">
        <v>1</v>
      </c>
      <c r="E16" s="37" t="s">
        <v>1</v>
      </c>
      <c r="F16" s="37" t="s">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7AE6-59DE-4966-B1CB-35EDC8A4DA7D}">
  <dimension ref="B8:M24"/>
  <sheetViews>
    <sheetView tabSelected="1" topLeftCell="A7" workbookViewId="0">
      <selection activeCell="E24" sqref="D23:E24"/>
    </sheetView>
  </sheetViews>
  <sheetFormatPr defaultRowHeight="15.5" x14ac:dyDescent="0.35"/>
  <cols>
    <col min="6" max="6" width="17.4140625" customWidth="1"/>
    <col min="7" max="7" width="19.83203125" customWidth="1"/>
    <col min="10" max="10" width="12.1640625" customWidth="1"/>
    <col min="12" max="12" width="8.08203125" customWidth="1"/>
    <col min="13" max="13" width="14.58203125" customWidth="1"/>
  </cols>
  <sheetData>
    <row r="8" spans="2:13" x14ac:dyDescent="0.35">
      <c r="I8" s="43" t="s">
        <v>52</v>
      </c>
      <c r="J8" s="44"/>
      <c r="K8" s="44"/>
      <c r="L8" s="44"/>
      <c r="M8" s="44"/>
    </row>
    <row r="9" spans="2:13" x14ac:dyDescent="0.35">
      <c r="I9" s="41" t="s">
        <v>16</v>
      </c>
      <c r="J9" s="41" t="s">
        <v>51</v>
      </c>
      <c r="K9" s="41" t="s">
        <v>19</v>
      </c>
      <c r="L9" s="41" t="s">
        <v>18</v>
      </c>
      <c r="M9" s="41" t="s">
        <v>20</v>
      </c>
    </row>
    <row r="10" spans="2:13" x14ac:dyDescent="0.35">
      <c r="I10" s="40" t="s">
        <v>2</v>
      </c>
      <c r="J10" s="40" t="s">
        <v>2</v>
      </c>
      <c r="K10" s="40" t="s">
        <v>2</v>
      </c>
      <c r="L10" s="40" t="s">
        <v>2</v>
      </c>
      <c r="M10" s="40" t="s">
        <v>22</v>
      </c>
    </row>
    <row r="11" spans="2:13" x14ac:dyDescent="0.35">
      <c r="B11" s="45" t="s">
        <v>53</v>
      </c>
      <c r="C11" s="45"/>
      <c r="D11" s="45"/>
      <c r="E11" s="45"/>
      <c r="F11" s="45"/>
      <c r="G11" s="45"/>
      <c r="I11" s="40" t="s">
        <v>2</v>
      </c>
      <c r="J11" s="40" t="s">
        <v>1</v>
      </c>
      <c r="K11" s="40" t="s">
        <v>1</v>
      </c>
      <c r="L11" s="40" t="s">
        <v>2</v>
      </c>
      <c r="M11" s="40" t="s">
        <v>22</v>
      </c>
    </row>
    <row r="12" spans="2:13" x14ac:dyDescent="0.35">
      <c r="B12" s="41" t="s">
        <v>16</v>
      </c>
      <c r="C12" s="41" t="s">
        <v>17</v>
      </c>
      <c r="D12" s="41" t="s">
        <v>19</v>
      </c>
      <c r="E12" s="41" t="s">
        <v>18</v>
      </c>
      <c r="F12" s="41" t="s">
        <v>20</v>
      </c>
      <c r="G12" s="41" t="s">
        <v>62</v>
      </c>
      <c r="I12" s="40" t="s">
        <v>2</v>
      </c>
      <c r="J12" s="40" t="s">
        <v>1</v>
      </c>
      <c r="K12" s="40" t="s">
        <v>1</v>
      </c>
      <c r="L12" s="40" t="s">
        <v>1</v>
      </c>
      <c r="M12" s="40" t="s">
        <v>22</v>
      </c>
    </row>
    <row r="13" spans="2:13" x14ac:dyDescent="0.35">
      <c r="B13" s="40" t="s">
        <v>1</v>
      </c>
      <c r="C13" s="40" t="s">
        <v>1</v>
      </c>
      <c r="D13" s="40" t="s">
        <v>1</v>
      </c>
      <c r="E13" s="40" t="s">
        <v>2</v>
      </c>
      <c r="F13" s="40" t="s">
        <v>24</v>
      </c>
      <c r="G13" s="40" t="s">
        <v>24</v>
      </c>
      <c r="I13" s="40" t="s">
        <v>2</v>
      </c>
      <c r="J13" s="40" t="s">
        <v>1</v>
      </c>
      <c r="K13" s="40" t="s">
        <v>1</v>
      </c>
      <c r="L13" s="40" t="s">
        <v>1</v>
      </c>
      <c r="M13" s="40" t="s">
        <v>22</v>
      </c>
    </row>
    <row r="14" spans="2:13" x14ac:dyDescent="0.35">
      <c r="B14" s="40" t="s">
        <v>2</v>
      </c>
      <c r="C14" s="40" t="s">
        <v>1</v>
      </c>
      <c r="D14" s="40" t="s">
        <v>1</v>
      </c>
      <c r="E14" s="40" t="s">
        <v>1</v>
      </c>
      <c r="F14" s="40" t="s">
        <v>22</v>
      </c>
      <c r="G14" s="40" t="s">
        <v>22</v>
      </c>
      <c r="I14" s="40" t="s">
        <v>2</v>
      </c>
      <c r="J14" s="40" t="s">
        <v>2</v>
      </c>
      <c r="K14" s="40" t="s">
        <v>2</v>
      </c>
      <c r="L14" s="40" t="s">
        <v>2</v>
      </c>
      <c r="M14" s="40" t="s">
        <v>24</v>
      </c>
    </row>
    <row r="15" spans="2:13" x14ac:dyDescent="0.35">
      <c r="B15" s="40" t="s">
        <v>2</v>
      </c>
      <c r="C15" s="40" t="s">
        <v>1</v>
      </c>
      <c r="D15" s="40" t="s">
        <v>1</v>
      </c>
      <c r="E15" s="40" t="s">
        <v>1</v>
      </c>
      <c r="F15" s="40" t="s">
        <v>24</v>
      </c>
      <c r="G15" s="40" t="s">
        <v>22</v>
      </c>
      <c r="I15" s="40" t="s">
        <v>2</v>
      </c>
      <c r="J15" s="40" t="s">
        <v>2</v>
      </c>
      <c r="K15" s="40" t="s">
        <v>2</v>
      </c>
      <c r="L15" s="40" t="s">
        <v>2</v>
      </c>
      <c r="M15" s="40" t="s">
        <v>24</v>
      </c>
    </row>
    <row r="16" spans="2:13" x14ac:dyDescent="0.35">
      <c r="B16" s="40" t="s">
        <v>2</v>
      </c>
      <c r="C16" s="40" t="s">
        <v>2</v>
      </c>
      <c r="D16" s="40" t="s">
        <v>2</v>
      </c>
      <c r="E16" s="40" t="s">
        <v>2</v>
      </c>
      <c r="F16" s="40" t="s">
        <v>24</v>
      </c>
      <c r="G16" s="40" t="s">
        <v>24</v>
      </c>
      <c r="I16" s="40" t="s">
        <v>2</v>
      </c>
      <c r="J16" s="40" t="s">
        <v>1</v>
      </c>
      <c r="K16" s="40" t="s">
        <v>2</v>
      </c>
      <c r="L16" s="40" t="s">
        <v>2</v>
      </c>
      <c r="M16" s="40" t="s">
        <v>24</v>
      </c>
    </row>
    <row r="17" spans="2:13" x14ac:dyDescent="0.35">
      <c r="B17" s="40" t="s">
        <v>2</v>
      </c>
      <c r="C17" s="40" t="s">
        <v>2</v>
      </c>
      <c r="D17" s="40" t="s">
        <v>1</v>
      </c>
      <c r="E17" s="40" t="s">
        <v>2</v>
      </c>
      <c r="F17" s="40" t="s">
        <v>24</v>
      </c>
      <c r="G17" s="40" t="s">
        <v>22</v>
      </c>
      <c r="I17" s="40" t="s">
        <v>2</v>
      </c>
      <c r="J17" s="40" t="s">
        <v>1</v>
      </c>
      <c r="K17" s="40" t="s">
        <v>2</v>
      </c>
      <c r="L17" s="40" t="s">
        <v>2</v>
      </c>
      <c r="M17" s="40" t="s">
        <v>24</v>
      </c>
    </row>
    <row r="18" spans="2:13" x14ac:dyDescent="0.35">
      <c r="I18" s="40" t="s">
        <v>2</v>
      </c>
      <c r="J18" s="40" t="s">
        <v>1</v>
      </c>
      <c r="K18" s="40" t="s">
        <v>2</v>
      </c>
      <c r="L18" s="40" t="s">
        <v>1</v>
      </c>
      <c r="M18" s="40" t="s">
        <v>24</v>
      </c>
    </row>
    <row r="19" spans="2:13" x14ac:dyDescent="0.35">
      <c r="I19" s="40" t="s">
        <v>2</v>
      </c>
      <c r="J19" s="40" t="s">
        <v>2</v>
      </c>
      <c r="K19" s="40" t="s">
        <v>1</v>
      </c>
      <c r="L19" s="40" t="s">
        <v>2</v>
      </c>
      <c r="M19" s="40" t="s">
        <v>24</v>
      </c>
    </row>
    <row r="20" spans="2:13" x14ac:dyDescent="0.35">
      <c r="I20" s="40" t="s">
        <v>2</v>
      </c>
      <c r="J20" s="40" t="s">
        <v>1</v>
      </c>
      <c r="K20" s="40" t="s">
        <v>1</v>
      </c>
      <c r="L20" s="40" t="s">
        <v>2</v>
      </c>
      <c r="M20" s="40" t="s">
        <v>24</v>
      </c>
    </row>
    <row r="21" spans="2:13" x14ac:dyDescent="0.35">
      <c r="D21" t="s">
        <v>63</v>
      </c>
      <c r="I21" s="40" t="s">
        <v>2</v>
      </c>
      <c r="J21" s="40" t="s">
        <v>1</v>
      </c>
      <c r="K21" s="40" t="s">
        <v>2</v>
      </c>
      <c r="L21" s="40" t="s">
        <v>1</v>
      </c>
      <c r="M21" s="40" t="s">
        <v>24</v>
      </c>
    </row>
    <row r="22" spans="2:13" x14ac:dyDescent="0.35">
      <c r="D22" t="s">
        <v>1</v>
      </c>
      <c r="E22" t="s">
        <v>2</v>
      </c>
      <c r="I22" s="40" t="s">
        <v>1</v>
      </c>
      <c r="J22" s="40" t="s">
        <v>2</v>
      </c>
      <c r="K22" s="40" t="s">
        <v>2</v>
      </c>
      <c r="L22" s="40" t="s">
        <v>1</v>
      </c>
      <c r="M22" s="40" t="s">
        <v>24</v>
      </c>
    </row>
    <row r="23" spans="2:13" x14ac:dyDescent="0.35">
      <c r="C23" t="s">
        <v>1</v>
      </c>
      <c r="D23">
        <v>1</v>
      </c>
      <c r="E23">
        <v>0</v>
      </c>
      <c r="I23" s="40" t="s">
        <v>1</v>
      </c>
      <c r="J23" s="40" t="s">
        <v>1</v>
      </c>
      <c r="K23" s="40" t="s">
        <v>1</v>
      </c>
      <c r="L23" s="40" t="s">
        <v>2</v>
      </c>
      <c r="M23" s="40" t="s">
        <v>24</v>
      </c>
    </row>
    <row r="24" spans="2:13" x14ac:dyDescent="0.35">
      <c r="C24" t="s">
        <v>2</v>
      </c>
      <c r="D24">
        <v>2</v>
      </c>
      <c r="E24">
        <v>2</v>
      </c>
      <c r="I24" s="40" t="s">
        <v>1</v>
      </c>
      <c r="J24" s="40" t="s">
        <v>1</v>
      </c>
      <c r="K24" s="40" t="s">
        <v>1</v>
      </c>
      <c r="L24" s="40" t="s">
        <v>2</v>
      </c>
      <c r="M24" s="40" t="s">
        <v>24</v>
      </c>
    </row>
  </sheetData>
  <mergeCells count="2">
    <mergeCell ref="I8:M8"/>
    <mergeCell ref="B11:G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0 n S z U m Y M 0 F W j A A A A 9 Q A A A B I A H A B D b 2 5 m a W c v U G F j a 2 F n Z S 5 4 b W w g o h g A K K A U A A A A A A A A A A A A A A A A A A A A A A A A A A A A h Y + x D o I w G I R f h X S n L c i g 5 K c M r p K Y E I 0 r K R U a 4 c f Q Y n k 3 B x / J V x C j q J v J L X f 3 D X f 3 6 w 3 S s W 2 8 i + q N 7 j A h A e X E U y i 7 U m O V k M E e / S V J B W w L e S o q 5 U 0 w m n g 0 Z U J q a 8 8 x Y 8 4 5 6 h a 0 6 y s W c h 6 w Q 7 b J Z a 3 a g n x g / R / 2 N R p b o F R E w P 4 1 R o R 0 N S m K K A c 2 Z 5 B p / P b h N P f Z / o S w H h o 7 9 E o o 9 H c 5 s N k C e 1 8 Q D 1 B L A w Q U A A I A C A D S d L 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n S z U i i K R 7 g O A A A A E Q A A A B M A H A B G b 3 J t d W x h c y 9 T Z W N 0 a W 9 u M S 5 t I K I Y A C i g F A A A A A A A A A A A A A A A A A A A A A A A A A A A A C t O T S 7 J z M 9 T C I b Q h t Y A U E s B A i 0 A F A A C A A g A 0 n S z U m Y M 0 F W j A A A A 9 Q A A A B I A A A A A A A A A A A A A A A A A A A A A A E N v b m Z p Z y 9 Q Y W N r Y W d l L n h t b F B L A Q I t A B Q A A g A I A N J 0 s 1 I P y u m r p A A A A O k A A A A T A A A A A A A A A A A A A A A A A O 8 A A A B b Q 2 9 u d G V u d F 9 U e X B l c 1 0 u e G 1 s U E s B A i 0 A F A A C A A g A 0 n S z 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L k g x M p 6 v 9 B g I R B N l / O J 3 k A A A A A A g A A A A A A E G Y A A A A B A A A g A A A A T 5 k b C e 0 E 2 H g X / E K 4 k R S Z F 1 N Y h 8 l R t U j P y 2 M 2 o 8 2 A q X 0 A A A A A D o A A A A A C A A A g A A A A 6 / f 0 f R 4 S u 6 s 3 h y D / B 3 Y i 6 A f w P u 2 K x R M W j A x K G X H N 8 q 1 Q A A A A j l E 0 E y k U A f J y w E R G r D o s j 4 3 K z o t U d c u + r r + i 5 z x J t f O 4 P C o X C e l J o w 0 r T L P w L N X h P B w S 5 K P C 9 E 6 p v P U P Y H r t Z Q J z D 6 J E c E H J E I f 8 8 O 1 T e a d A A A A A w O r O L q O v J Y N s m y i R b i X Y 0 7 m R z R i V W r 8 t T P 2 0 H f + x 5 E 7 6 H j w f g + e y q I 5 P T r L r A J 1 m E + K l C l n I k e / i 4 U G G u D O E R Q = = < / D a t a M a s h u p > 
</file>

<file path=customXml/itemProps1.xml><?xml version="1.0" encoding="utf-8"?>
<ds:datastoreItem xmlns:ds="http://schemas.openxmlformats.org/officeDocument/2006/customXml" ds:itemID="{18862110-23E7-4644-8E44-2BCFF22E1C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Cold</vt:lpstr>
      <vt:lpstr>Sunny</vt:lpstr>
      <vt:lpstr>Sheet2</vt:lpstr>
      <vt:lpstr>Sheet3</vt:lpstr>
      <vt:lpstr>Sheet4</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Betts</dc:creator>
  <cp:lastModifiedBy>Jason Siu</cp:lastModifiedBy>
  <dcterms:created xsi:type="dcterms:W3CDTF">2015-08-29T05:51:20Z</dcterms:created>
  <dcterms:modified xsi:type="dcterms:W3CDTF">2021-05-19T05:56:46Z</dcterms:modified>
</cp:coreProperties>
</file>