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so\Desktop\"/>
    </mc:Choice>
  </mc:AlternateContent>
  <xr:revisionPtr revIDLastSave="0" documentId="13_ncr:1_{B2C935E2-3D54-418B-869C-99F94EDAD3FA}" xr6:coauthVersionLast="46" xr6:coauthVersionMax="46" xr10:uidLastSave="{00000000-0000-0000-0000-000000000000}"/>
  <bookViews>
    <workbookView xWindow="28680" yWindow="-120" windowWidth="29040" windowHeight="15840" activeTab="3" xr2:uid="{7A776F6A-EBE1-4B24-BB2E-E524B6AE68FA}"/>
  </bookViews>
  <sheets>
    <sheet name="Answer Report 1" sheetId="7" r:id="rId1"/>
    <sheet name="Sensitivity Report 1" sheetId="8" r:id="rId2"/>
    <sheet name="Regression model" sheetId="3" r:id="rId3"/>
    <sheet name="Main Table" sheetId="1" r:id="rId4"/>
  </sheets>
  <definedNames>
    <definedName name="solver_adj" localSheetId="3" hidden="1">'Main Table'!$J$44:$L$44</definedName>
    <definedName name="solver_cvg" localSheetId="3" hidden="1">0.0001</definedName>
    <definedName name="solver_drv" localSheetId="3" hidden="1">2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'Main Table'!$M$30</definedName>
    <definedName name="solver_lhs2" localSheetId="3" hidden="1">'Main Table'!$M$31</definedName>
    <definedName name="solver_lhs3" localSheetId="3" hidden="1">'Main Table'!$M$32</definedName>
    <definedName name="solver_lhs4" localSheetId="3" hidden="1">'Main Table'!$M$33</definedName>
    <definedName name="solver_lhs5" localSheetId="3" hidden="1">'Main Table'!$M$34</definedName>
    <definedName name="solver_lhs6" localSheetId="3" hidden="1">'Main Table'!$M$35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6</definedName>
    <definedName name="solver_nwt" localSheetId="3" hidden="1">1</definedName>
    <definedName name="solver_opt" localSheetId="3" hidden="1">'Main Table'!$M$45</definedName>
    <definedName name="solver_pre" localSheetId="3" hidden="1">0.000001</definedName>
    <definedName name="solver_rbv" localSheetId="3" hidden="1">2</definedName>
    <definedName name="solver_rel1" localSheetId="3" hidden="1">1</definedName>
    <definedName name="solver_rel2" localSheetId="3" hidden="1">1</definedName>
    <definedName name="solver_rel3" localSheetId="3" hidden="1">1</definedName>
    <definedName name="solver_rel4" localSheetId="3" hidden="1">1</definedName>
    <definedName name="solver_rel5" localSheetId="3" hidden="1">2</definedName>
    <definedName name="solver_rel6" localSheetId="3" hidden="1">3</definedName>
    <definedName name="solver_rhs1" localSheetId="3" hidden="1">'Main Table'!$O$30</definedName>
    <definedName name="solver_rhs2" localSheetId="3" hidden="1">'Main Table'!$O$31</definedName>
    <definedName name="solver_rhs3" localSheetId="3" hidden="1">'Main Table'!$O$32</definedName>
    <definedName name="solver_rhs4" localSheetId="3" hidden="1">'Main Table'!$O$33</definedName>
    <definedName name="solver_rhs5" localSheetId="3" hidden="1">'Main Table'!$O$34</definedName>
    <definedName name="solver_rhs6" localSheetId="3" hidden="1">'Main Table'!$O$35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0" i="1" l="1"/>
  <c r="M64" i="1"/>
  <c r="O63" i="1"/>
  <c r="M63" i="1"/>
  <c r="O62" i="1"/>
  <c r="M62" i="1"/>
  <c r="M61" i="1"/>
  <c r="M60" i="1"/>
  <c r="M59" i="1"/>
  <c r="M58" i="1"/>
  <c r="M51" i="1"/>
  <c r="M50" i="1"/>
  <c r="O49" i="1"/>
  <c r="M49" i="1"/>
  <c r="M48" i="1"/>
  <c r="M47" i="1"/>
  <c r="M46" i="1"/>
  <c r="M45" i="1"/>
  <c r="O3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J21" i="1"/>
  <c r="J20" i="1"/>
  <c r="O17" i="1"/>
  <c r="O18" i="1"/>
  <c r="O16" i="1"/>
  <c r="N18" i="1" l="1"/>
  <c r="N17" i="1"/>
  <c r="N16" i="1"/>
  <c r="M19" i="1"/>
  <c r="K19" i="1"/>
  <c r="L19" i="1"/>
  <c r="J19" i="1"/>
  <c r="M33" i="1"/>
  <c r="O34" i="1"/>
  <c r="M35" i="1"/>
  <c r="M34" i="1"/>
  <c r="M30" i="1"/>
  <c r="M31" i="1"/>
  <c r="M32" i="1"/>
  <c r="M29" i="1"/>
  <c r="C17" i="1"/>
  <c r="J11" i="1" l="1"/>
  <c r="K11" i="1"/>
  <c r="L11" i="1" s="1"/>
  <c r="B21" i="1"/>
</calcChain>
</file>

<file path=xl/sharedStrings.xml><?xml version="1.0" encoding="utf-8"?>
<sst xmlns="http://schemas.openxmlformats.org/spreadsheetml/2006/main" count="245" uniqueCount="153">
  <si>
    <t>MSIS 638</t>
    <phoneticPr fontId="1" type="noConversion"/>
  </si>
  <si>
    <t>Month</t>
    <phoneticPr fontId="1" type="noConversion"/>
  </si>
  <si>
    <t>Sales</t>
    <phoneticPr fontId="1" type="noConversion"/>
  </si>
  <si>
    <t>Apr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</si>
  <si>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</si>
  <si>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</si>
  <si>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</si>
  <si>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</si>
  <si>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</si>
  <si>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</si>
  <si>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</si>
  <si>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</si>
  <si>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</si>
  <si>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</si>
  <si>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Final</t>
    <phoneticPr fontId="1" type="noConversion"/>
  </si>
  <si>
    <t>Slope</t>
    <phoneticPr fontId="1" type="noConversion"/>
  </si>
  <si>
    <t>Intercept</t>
  </si>
  <si>
    <t>Intercept</t>
    <phoneticPr fontId="1" type="noConversion"/>
  </si>
  <si>
    <t>Assembly(hrs.)</t>
    <phoneticPr fontId="1" type="noConversion"/>
  </si>
  <si>
    <t>May</t>
    <phoneticPr fontId="1" type="noConversion"/>
  </si>
  <si>
    <t>Month(numberic)</t>
    <phoneticPr fontId="1" type="noConversion"/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</si>
  <si>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</si>
  <si>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</si>
  <si>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</si>
  <si>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</si>
  <si>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</si>
  <si>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</si>
  <si>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</si>
  <si>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</si>
  <si>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</si>
  <si>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</si>
  <si>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</si>
  <si>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</si>
  <si>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</si>
  <si>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</si>
  <si>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</si>
  <si>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</si>
  <si>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</si>
  <si>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</si>
  <si>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</si>
  <si>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</si>
  <si>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</si>
  <si>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</si>
  <si>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</si>
  <si>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</si>
  <si>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</si>
  <si>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</si>
  <si>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R</t>
    <phoneticPr fontId="1" type="noConversion"/>
  </si>
  <si>
    <t>Number</t>
    <phoneticPr fontId="1" type="noConversion"/>
  </si>
  <si>
    <t>Predicted 78</t>
  </si>
  <si>
    <t>Payoff Table</t>
    <phoneticPr fontId="1" type="noConversion"/>
  </si>
  <si>
    <t>Boston</t>
    <phoneticPr fontId="1" type="noConversion"/>
  </si>
  <si>
    <t>Chicago</t>
    <phoneticPr fontId="1" type="noConversion"/>
  </si>
  <si>
    <t>Huston</t>
    <phoneticPr fontId="1" type="noConversion"/>
  </si>
  <si>
    <t>Locations</t>
    <phoneticPr fontId="1" type="noConversion"/>
  </si>
  <si>
    <t>Materials (untis)</t>
    <phoneticPr fontId="1" type="noConversion"/>
  </si>
  <si>
    <t>Units</t>
    <phoneticPr fontId="1" type="noConversion"/>
  </si>
  <si>
    <t>&gt;=</t>
    <phoneticPr fontId="1" type="noConversion"/>
  </si>
  <si>
    <t>P = L</t>
    <phoneticPr fontId="1" type="noConversion"/>
  </si>
  <si>
    <t>=</t>
    <phoneticPr fontId="1" type="noConversion"/>
  </si>
  <si>
    <t>&lt;=</t>
    <phoneticPr fontId="1" type="noConversion"/>
  </si>
  <si>
    <t>Probability of funding</t>
    <phoneticPr fontId="1" type="noConversion"/>
  </si>
  <si>
    <t>p1=p2=p3</t>
    <phoneticPr fontId="1" type="noConversion"/>
  </si>
  <si>
    <t>p4=2p1</t>
    <phoneticPr fontId="1" type="noConversion"/>
  </si>
  <si>
    <t>p1+p2+p3+p4</t>
    <phoneticPr fontId="1" type="noConversion"/>
  </si>
  <si>
    <t>Location</t>
    <phoneticPr fontId="1" type="noConversion"/>
  </si>
  <si>
    <t>1M Funding</t>
    <phoneticPr fontId="1" type="noConversion"/>
  </si>
  <si>
    <t>2M Funding</t>
    <phoneticPr fontId="1" type="noConversion"/>
  </si>
  <si>
    <t>3M Funding</t>
    <phoneticPr fontId="1" type="noConversion"/>
  </si>
  <si>
    <t>4M Funding</t>
    <phoneticPr fontId="1" type="noConversion"/>
  </si>
  <si>
    <t>Configuration</t>
    <phoneticPr fontId="1" type="noConversion"/>
  </si>
  <si>
    <t>Information</t>
    <phoneticPr fontId="1" type="noConversion"/>
  </si>
  <si>
    <t>Prime (P)</t>
    <phoneticPr fontId="1" type="noConversion"/>
  </si>
  <si>
    <t>Limited (L)</t>
    <phoneticPr fontId="1" type="noConversion"/>
  </si>
  <si>
    <t>Ultimate (U)</t>
    <phoneticPr fontId="1" type="noConversion"/>
  </si>
  <si>
    <t>Profits</t>
    <phoneticPr fontId="1" type="noConversion"/>
  </si>
  <si>
    <t>Funding Needed ($)</t>
    <phoneticPr fontId="1" type="noConversion"/>
  </si>
  <si>
    <t>Material (units)</t>
    <phoneticPr fontId="1" type="noConversion"/>
  </si>
  <si>
    <t>U &lt;= P + L</t>
    <phoneticPr fontId="1" type="noConversion"/>
  </si>
  <si>
    <t>&gt;= May's Demand</t>
    <phoneticPr fontId="1" type="noConversion"/>
  </si>
  <si>
    <t>Microsoft Excel 16.0 Answer Report</t>
  </si>
  <si>
    <t>Worksheet: [Final.xlsx]Main Table</t>
  </si>
  <si>
    <t>Result: Solver found a solution.  All Constraints and optimality conditions are satisfied.</t>
  </si>
  <si>
    <t>Solver Engine</t>
  </si>
  <si>
    <t>Engine: Simplex LP</t>
  </si>
  <si>
    <t>Iterations: 4 Subproblems: 0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</si>
  <si>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</si>
  <si>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</si>
  <si>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</si>
  <si>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</si>
  <si>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</si>
  <si>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</si>
  <si>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</si>
  <si>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</si>
  <si>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</si>
  <si>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</si>
  <si>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</si>
  <si>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</si>
  <si>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</si>
  <si>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</si>
  <si>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</si>
  <si>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$M$29</t>
  </si>
  <si>
    <t>Profits 4M Funding</t>
  </si>
  <si>
    <t>$J$28</t>
  </si>
  <si>
    <t>Units Prime (P)</t>
  </si>
  <si>
    <t>Contin</t>
  </si>
  <si>
    <t>$K$28</t>
  </si>
  <si>
    <t>Units Limited (L)</t>
  </si>
  <si>
    <t>$L$28</t>
  </si>
  <si>
    <t>Units Ultimate (U)</t>
  </si>
  <si>
    <t>$M$30</t>
  </si>
  <si>
    <t>Funding Needed ($) 4M Funding</t>
  </si>
  <si>
    <t>$M$30&lt;=$O$30</t>
  </si>
  <si>
    <t>Binding</t>
  </si>
  <si>
    <t>$M$31</t>
  </si>
  <si>
    <t>Assembly(hrs.) 4M Funding</t>
  </si>
  <si>
    <t>$M$31&lt;=$O$31</t>
  </si>
  <si>
    <t>Not Binding</t>
  </si>
  <si>
    <t>$M$32</t>
  </si>
  <si>
    <t>Material (units) 4M Funding</t>
  </si>
  <si>
    <t>$M$32&lt;=$O$32</t>
  </si>
  <si>
    <t>$M$33</t>
  </si>
  <si>
    <t>U &lt;= P + L 4M Funding</t>
  </si>
  <si>
    <t>$M$33&lt;=$O$33</t>
  </si>
  <si>
    <t>$M$34</t>
  </si>
  <si>
    <t>P = L 4M Funding</t>
  </si>
  <si>
    <t>$M$34=$O$34</t>
  </si>
  <si>
    <t>$M$35</t>
  </si>
  <si>
    <t>&gt;= May's Demand 4M Funding</t>
  </si>
  <si>
    <t>$M$35&gt;=$O$35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</si>
  <si>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</si>
  <si>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</si>
  <si>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</si>
  <si>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</si>
  <si>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</si>
  <si>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</si>
  <si>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</si>
  <si>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</si>
  <si>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</si>
  <si>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</si>
  <si>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</si>
  <si>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</si>
  <si>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</si>
  <si>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</si>
  <si>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Best Value</t>
    <phoneticPr fontId="1" type="noConversion"/>
  </si>
  <si>
    <t>EVPI</t>
    <phoneticPr fontId="1" type="noConversion"/>
  </si>
  <si>
    <t>EPPI</t>
    <phoneticPr fontId="1" type="noConversion"/>
  </si>
  <si>
    <t>Last Apr is an outlier, so we need to delete it.</t>
    <phoneticPr fontId="1" type="noConversion"/>
  </si>
  <si>
    <t>Optimal</t>
    <phoneticPr fontId="1" type="noConversion"/>
  </si>
  <si>
    <t>Report Created: 2021/5/9 下午 03:11:53</t>
  </si>
  <si>
    <t>Solution Time: 0.016 Seconds.</t>
  </si>
  <si>
    <t>Sensitivity Analysis 1</t>
    <phoneticPr fontId="1" type="noConversion"/>
  </si>
  <si>
    <t>Sensitivity Analysis 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</si>
</sst>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2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b/>
      <sz val="14"/>
      <color theme="1"/>
      <name val="新細明體"/>
      <family val="1"/>
      <charset val="136"/>
      <scheme val="minor"/>
    </font>
    <font>
      <sz val="14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4"/>
      <color theme="1"/>
      <name val="新細明體"/>
      <family val="2"/>
      <charset val="136"/>
      <scheme val="minor"/>
    </font>
    <font>
      <b/>
      <sz val="11"/>
      <color indexed="18"/>
      <name val="新細明體"/>
      <family val="2"/>
      <charset val="136"/>
      <scheme val="minor"/>
    </font>
    <font>
      <b/>
      <sz val="11"/>
      <color indexed="18"/>
      <name val="新細明體"/>
      <family val="1"/>
      <charset val="136"/>
      <scheme val="minor"/>
    </font>
    <font>
      <i/>
      <sz val="12"/>
      <color theme="1"/>
      <name val="新細明體"/>
      <family val="1"/>
      <charset val="136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4" fillId="0" borderId="0" xfId="0" applyFont="1">
      <alignment vertical="center"/>
    </xf>
    <xf numFmtId="0" fontId="0" fillId="3" borderId="0" xfId="0" applyFill="1">
      <alignment vertical="center"/>
    </xf>
    <xf numFmtId="0" fontId="4" fillId="2" borderId="0" xfId="0" applyFont="1" applyFill="1">
      <alignment vertical="center"/>
    </xf>
    <xf numFmtId="0" fontId="3" fillId="3" borderId="0" xfId="0" applyFont="1" applyFill="1">
      <alignment vertical="center"/>
    </xf>
    <xf numFmtId="176" fontId="3" fillId="3" borderId="1" xfId="0" applyNumberFormat="1" applyFont="1" applyFill="1" applyBorder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Continuous" vertical="center"/>
    </xf>
    <xf numFmtId="0" fontId="4" fillId="2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2" fillId="5" borderId="0" xfId="0" applyFont="1" applyFill="1">
      <alignment vertical="center"/>
    </xf>
    <xf numFmtId="0" fontId="0" fillId="4" borderId="0" xfId="0" applyFill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5" fillId="2" borderId="0" xfId="0" applyFont="1" applyFill="1" applyAlignment="1">
      <alignment horizontal="center" vertical="center"/>
    </xf>
    <xf numFmtId="0" fontId="8" fillId="6" borderId="0" xfId="0" applyFont="1" applyFill="1">
      <alignment vertical="center"/>
    </xf>
    <xf numFmtId="176" fontId="8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6" fillId="4" borderId="1" xfId="0" applyFont="1" applyFill="1" applyBorder="1">
      <alignment vertical="center"/>
    </xf>
    <xf numFmtId="0" fontId="0" fillId="0" borderId="7" xfId="0" applyFill="1" applyBorder="1" applyAlignment="1">
      <alignment vertical="center"/>
    </xf>
    <xf numFmtId="0" fontId="9" fillId="0" borderId="6" xfId="0" applyFont="1" applyFill="1" applyBorder="1" applyAlignment="1">
      <alignment horizontal="center" vertical="center"/>
    </xf>
    <xf numFmtId="0" fontId="0" fillId="0" borderId="8" xfId="0" applyFill="1" applyBorder="1" applyAlignment="1">
      <alignment vertical="center"/>
    </xf>
    <xf numFmtId="0" fontId="0" fillId="0" borderId="7" xfId="0" applyNumberFormat="1" applyFill="1" applyBorder="1" applyAlignment="1">
      <alignment vertical="center"/>
    </xf>
    <xf numFmtId="0" fontId="0" fillId="0" borderId="8" xfId="0" applyNumberFormat="1" applyFill="1" applyBorder="1" applyAlignment="1">
      <alignment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1" fontId="6" fillId="4" borderId="0" xfId="0" applyNumberFormat="1" applyFont="1" applyFill="1">
      <alignment vertical="center"/>
    </xf>
    <xf numFmtId="1" fontId="8" fillId="0" borderId="0" xfId="0" applyNumberFormat="1" applyFont="1">
      <alignment vertical="center"/>
    </xf>
    <xf numFmtId="1" fontId="6" fillId="0" borderId="0" xfId="0" applyNumberFormat="1" applyFont="1">
      <alignment vertical="center"/>
    </xf>
    <xf numFmtId="1" fontId="6" fillId="4" borderId="0" xfId="0" applyNumberFormat="1" applyFont="1" applyFill="1" applyAlignment="1">
      <alignment horizontal="left" vertical="center" indent="5"/>
    </xf>
    <xf numFmtId="0" fontId="3" fillId="4" borderId="0" xfId="0" applyFont="1" applyFill="1" applyBorder="1">
      <alignment vertical="center"/>
    </xf>
    <xf numFmtId="0" fontId="3" fillId="4" borderId="0" xfId="0" applyFont="1" applyFill="1">
      <alignment vertical="center"/>
    </xf>
    <xf numFmtId="0" fontId="8" fillId="7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4" fillId="7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7" fillId="8" borderId="0" xfId="0" applyFont="1" applyFill="1">
      <alignment vertical="center"/>
    </xf>
    <xf numFmtId="0" fontId="1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9" borderId="0" xfId="0" applyFont="1" applyFill="1">
      <alignment vertical="center"/>
    </xf>
    <xf numFmtId="0" fontId="2" fillId="3" borderId="0" xfId="0" applyFont="1" applyFill="1">
      <alignment vertical="center"/>
    </xf>
    <xf numFmtId="1" fontId="0" fillId="0" borderId="8" xfId="0" applyNumberFormat="1" applyFill="1" applyBorder="1" applyAlignment="1">
      <alignment vertical="center"/>
    </xf>
    <xf numFmtId="1" fontId="0" fillId="0" borderId="7" xfId="0" applyNumberForma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Time</a:t>
            </a:r>
            <a:r>
              <a:rPr lang="en-US" altLang="zh-TW" baseline="0"/>
              <a:t> series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Forecast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"/>
            <c:dispRSqr val="1"/>
            <c:dispEq val="1"/>
            <c:trendlineLbl>
              <c:layout>
                <c:manualLayout>
                  <c:x val="-1.3242302795982838E-2"/>
                  <c:y val="0.403082184530449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cat>
            <c:strRef>
              <c:f>'Main Table'!$B$5:$B$17</c:f>
              <c:strCache>
                <c:ptCount val="13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  <c:pt idx="9">
                  <c:v>Feb</c:v>
                </c:pt>
                <c:pt idx="10">
                  <c:v>Mar</c:v>
                </c:pt>
                <c:pt idx="11">
                  <c:v>Apr</c:v>
                </c:pt>
                <c:pt idx="12">
                  <c:v>May</c:v>
                </c:pt>
              </c:strCache>
            </c:strRef>
          </c:cat>
          <c:val>
            <c:numRef>
              <c:f>'Main Table'!$C$5:$C$16</c:f>
              <c:numCache>
                <c:formatCode>General</c:formatCode>
                <c:ptCount val="12"/>
                <c:pt idx="0">
                  <c:v>78</c:v>
                </c:pt>
                <c:pt idx="1">
                  <c:v>89</c:v>
                </c:pt>
                <c:pt idx="2">
                  <c:v>82</c:v>
                </c:pt>
                <c:pt idx="3">
                  <c:v>112</c:v>
                </c:pt>
                <c:pt idx="4">
                  <c:v>106</c:v>
                </c:pt>
                <c:pt idx="5">
                  <c:v>131</c:v>
                </c:pt>
                <c:pt idx="6">
                  <c:v>125</c:v>
                </c:pt>
                <c:pt idx="7">
                  <c:v>145</c:v>
                </c:pt>
                <c:pt idx="8">
                  <c:v>173</c:v>
                </c:pt>
                <c:pt idx="9">
                  <c:v>182</c:v>
                </c:pt>
                <c:pt idx="10">
                  <c:v>169</c:v>
                </c:pt>
                <c:pt idx="11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14-46E6-B4AE-76B072CB8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694448"/>
        <c:axId val="658699024"/>
      </c:lineChart>
      <c:catAx>
        <c:axId val="65869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8699024"/>
        <c:crosses val="autoZero"/>
        <c:auto val="1"/>
        <c:lblAlgn val="ctr"/>
        <c:lblOffset val="100"/>
        <c:noMultiLvlLbl val="0"/>
      </c:catAx>
      <c:valAx>
        <c:axId val="65869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869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12699</xdr:rowOff>
    </xdr:from>
    <xdr:to>
      <xdr:col>7</xdr:col>
      <xdr:colOff>0</xdr:colOff>
      <xdr:row>38</xdr:row>
      <xdr:rowOff>41274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F88773-17F7-42CB-B54A-CBFE293BB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132F4-F83D-473D-B06D-AB6A039B7E22}">
  <dimension ref="A1:G33"/>
  <sheetViews>
    <sheetView showGridLines="0" topLeftCell="A4" workbookViewId="0">
      <selection activeCell="F32" sqref="F32"/>
    </sheetView>
  </sheetViews>
  <sheetFormatPr defaultRowHeight="14.5" x14ac:dyDescent="0.3"/>
  <cols>
    <col min="1" max="1" width="2.19921875" customWidth="1"/>
    <col min="2" max="2" width="7.8984375" bestFit="1" customWidth="1"/>
    <col min="3" max="3" width="32.5" bestFit="1" customWidth="1"/>
    <col min="4" max="4" width="17.19921875" bestFit="1" customWidth="1"/>
    <col min="5" max="5" width="16.59765625" bestFit="1" customWidth="1"/>
    <col min="6" max="6" width="12.3984375" bestFit="1" customWidth="1"/>
    <col min="7" max="7" width="13.59765625" bestFit="1" customWidth="1"/>
  </cols>
  <sheetData>
    <row r="1" spans="1:5" x14ac:dyDescent="0.3">
      <c r="A1" s="5" t="s">
        <v>80</v>
      </c>
    </row>
    <row r="2" spans="1:5" x14ac:dyDescent="0.3">
      <c r="A2" s="5" t="s">
        <v>81</v>
      </c>
    </row>
    <row r="3" spans="1:5" x14ac:dyDescent="0.3">
      <c r="A3" s="5" t="s">
        <v>149</v>
      </c>
    </row>
    <row r="4" spans="1:5" x14ac:dyDescent="0.3">
      <c r="A4" s="5" t="s">
        <v>82</v>
      </c>
    </row>
    <row r="5" spans="1:5" x14ac:dyDescent="0.3">
      <c r="A5" s="5" t="s">
        <v>83</v>
      </c>
    </row>
    <row r="6" spans="1:5" x14ac:dyDescent="0.3">
      <c r="A6" s="5"/>
      <c r="B6" t="s">
        <v>84</v>
      </c>
    </row>
    <row r="7" spans="1:5" x14ac:dyDescent="0.3">
      <c r="A7" s="5"/>
      <c r="B7" t="s">
        <v>150</v>
      </c>
    </row>
    <row r="8" spans="1:5" x14ac:dyDescent="0.3">
      <c r="A8" s="5"/>
      <c r="B8" t="s">
        <v>85</v>
      </c>
    </row>
    <row r="9" spans="1:5" x14ac:dyDescent="0.3">
      <c r="A9" s="5" t="s">
        <v>86</v>
      </c>
    </row>
    <row r="10" spans="1:5" x14ac:dyDescent="0.3">
      <c r="B10" t="s">
        <v>87</v>
      </c>
    </row>
    <row r="11" spans="1:5" x14ac:dyDescent="0.3">
      <c r="B11" t="s">
        <v>88</v>
      </c>
    </row>
    <row r="14" spans="1:5" ht="15" thickBot="1" x14ac:dyDescent="0.35">
      <c r="A14" t="s">
        <v>89</v>
      </c>
    </row>
    <row r="15" spans="1:5" ht="15" thickBot="1" x14ac:dyDescent="0.35">
      <c r="B15" s="28" t="s">
        <v>90</v>
      </c>
      <c r="C15" s="28" t="s">
        <v>91</v>
      </c>
      <c r="D15" s="28" t="s">
        <v>92</v>
      </c>
      <c r="E15" s="28" t="s">
        <v>93</v>
      </c>
    </row>
    <row r="16" spans="1:5" ht="15" thickBot="1" x14ac:dyDescent="0.35">
      <c r="B16" s="27" t="s">
        <v>101</v>
      </c>
      <c r="C16" s="27" t="s">
        <v>102</v>
      </c>
      <c r="D16" s="30">
        <v>919117.64705882361</v>
      </c>
      <c r="E16" s="30">
        <v>919117.64705882361</v>
      </c>
    </row>
    <row r="19" spans="1:7" ht="15" thickBot="1" x14ac:dyDescent="0.35">
      <c r="A19" t="s">
        <v>94</v>
      </c>
    </row>
    <row r="20" spans="1:7" ht="15" thickBot="1" x14ac:dyDescent="0.35">
      <c r="B20" s="28" t="s">
        <v>90</v>
      </c>
      <c r="C20" s="28" t="s">
        <v>91</v>
      </c>
      <c r="D20" s="28" t="s">
        <v>92</v>
      </c>
      <c r="E20" s="28" t="s">
        <v>93</v>
      </c>
      <c r="F20" s="28" t="s">
        <v>95</v>
      </c>
    </row>
    <row r="21" spans="1:7" x14ac:dyDescent="0.3">
      <c r="B21" s="29" t="s">
        <v>103</v>
      </c>
      <c r="C21" s="29" t="s">
        <v>104</v>
      </c>
      <c r="D21" s="50">
        <v>91.911764705882348</v>
      </c>
      <c r="E21" s="50">
        <v>91.911764705882348</v>
      </c>
      <c r="F21" s="29" t="s">
        <v>105</v>
      </c>
    </row>
    <row r="22" spans="1:7" x14ac:dyDescent="0.3">
      <c r="B22" s="29" t="s">
        <v>106</v>
      </c>
      <c r="C22" s="29" t="s">
        <v>107</v>
      </c>
      <c r="D22" s="50">
        <v>91.911764705882348</v>
      </c>
      <c r="E22" s="50">
        <v>91.911764705882348</v>
      </c>
      <c r="F22" s="29" t="s">
        <v>105</v>
      </c>
    </row>
    <row r="23" spans="1:7" ht="15" thickBot="1" x14ac:dyDescent="0.35">
      <c r="B23" s="27" t="s">
        <v>108</v>
      </c>
      <c r="C23" s="27" t="s">
        <v>109</v>
      </c>
      <c r="D23" s="51">
        <v>183.82352941176472</v>
      </c>
      <c r="E23" s="51">
        <v>183.82352941176472</v>
      </c>
      <c r="F23" s="27" t="s">
        <v>105</v>
      </c>
    </row>
    <row r="26" spans="1:7" ht="15" thickBot="1" x14ac:dyDescent="0.35">
      <c r="A26" t="s">
        <v>96</v>
      </c>
    </row>
    <row r="27" spans="1:7" ht="15" thickBot="1" x14ac:dyDescent="0.35">
      <c r="B27" s="28" t="s">
        <v>90</v>
      </c>
      <c r="C27" s="28" t="s">
        <v>91</v>
      </c>
      <c r="D27" s="28" t="s">
        <v>97</v>
      </c>
      <c r="E27" s="28" t="s">
        <v>98</v>
      </c>
      <c r="F27" s="28" t="s">
        <v>99</v>
      </c>
      <c r="G27" s="28" t="s">
        <v>100</v>
      </c>
    </row>
    <row r="28" spans="1:7" x14ac:dyDescent="0.3">
      <c r="B28" s="29" t="s">
        <v>110</v>
      </c>
      <c r="C28" s="29" t="s">
        <v>111</v>
      </c>
      <c r="D28" s="31">
        <v>2205882.3529411769</v>
      </c>
      <c r="E28" s="29" t="s">
        <v>112</v>
      </c>
      <c r="F28" s="29" t="s">
        <v>117</v>
      </c>
      <c r="G28" s="29">
        <v>1794117.6470588231</v>
      </c>
    </row>
    <row r="29" spans="1:7" x14ac:dyDescent="0.3">
      <c r="B29" s="29" t="s">
        <v>114</v>
      </c>
      <c r="C29" s="29" t="s">
        <v>115</v>
      </c>
      <c r="D29" s="31">
        <v>25000</v>
      </c>
      <c r="E29" s="29" t="s">
        <v>116</v>
      </c>
      <c r="F29" s="29" t="s">
        <v>113</v>
      </c>
      <c r="G29" s="29">
        <v>0</v>
      </c>
    </row>
    <row r="30" spans="1:7" x14ac:dyDescent="0.3">
      <c r="B30" s="29" t="s">
        <v>118</v>
      </c>
      <c r="C30" s="29" t="s">
        <v>119</v>
      </c>
      <c r="D30" s="31">
        <v>18290.441176470587</v>
      </c>
      <c r="E30" s="29" t="s">
        <v>120</v>
      </c>
      <c r="F30" s="29" t="s">
        <v>117</v>
      </c>
      <c r="G30" s="29">
        <v>6709.5588235294126</v>
      </c>
    </row>
    <row r="31" spans="1:7" x14ac:dyDescent="0.3">
      <c r="B31" s="29" t="s">
        <v>121</v>
      </c>
      <c r="C31" s="29" t="s">
        <v>122</v>
      </c>
      <c r="D31" s="31">
        <v>183.82352941176472</v>
      </c>
      <c r="E31" s="29" t="s">
        <v>123</v>
      </c>
      <c r="F31" s="29" t="s">
        <v>113</v>
      </c>
      <c r="G31" s="29">
        <v>0</v>
      </c>
    </row>
    <row r="32" spans="1:7" x14ac:dyDescent="0.3">
      <c r="B32" s="29" t="s">
        <v>124</v>
      </c>
      <c r="C32" s="29" t="s">
        <v>125</v>
      </c>
      <c r="D32" s="31">
        <v>91.911764705882348</v>
      </c>
      <c r="E32" s="29" t="s">
        <v>126</v>
      </c>
      <c r="F32" s="29" t="s">
        <v>113</v>
      </c>
      <c r="G32" s="29">
        <v>0</v>
      </c>
    </row>
    <row r="33" spans="2:7" ht="15" thickBot="1" x14ac:dyDescent="0.35">
      <c r="B33" s="27" t="s">
        <v>127</v>
      </c>
      <c r="C33" s="27" t="s">
        <v>128</v>
      </c>
      <c r="D33" s="30">
        <v>367.64705882352939</v>
      </c>
      <c r="E33" s="27" t="s">
        <v>129</v>
      </c>
      <c r="F33" s="27" t="s">
        <v>117</v>
      </c>
      <c r="G33" s="30">
        <v>164.64705882352939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E3186-5DD5-44B4-B8D6-239CA188EC0B}">
  <dimension ref="A1:H21"/>
  <sheetViews>
    <sheetView showGridLines="0" workbookViewId="0">
      <selection activeCell="G21" sqref="G21"/>
    </sheetView>
  </sheetViews>
  <sheetFormatPr defaultRowHeight="14.5" x14ac:dyDescent="0.3"/>
  <cols>
    <col min="1" max="1" width="2.19921875" customWidth="1"/>
    <col min="2" max="2" width="7.8984375" bestFit="1" customWidth="1"/>
    <col min="3" max="3" width="32.5" bestFit="1" customWidth="1"/>
    <col min="4" max="4" width="13.59765625" bestFit="1" customWidth="1"/>
    <col min="5" max="5" width="14.5" bestFit="1" customWidth="1"/>
    <col min="6" max="6" width="13.19921875" bestFit="1" customWidth="1"/>
    <col min="7" max="8" width="13.59765625" bestFit="1" customWidth="1"/>
  </cols>
  <sheetData>
    <row r="1" spans="1:8" x14ac:dyDescent="0.3">
      <c r="A1" s="5" t="s">
        <v>130</v>
      </c>
    </row>
    <row r="2" spans="1:8" x14ac:dyDescent="0.3">
      <c r="A2" s="5" t="s">
        <v>81</v>
      </c>
    </row>
    <row r="3" spans="1:8" x14ac:dyDescent="0.3">
      <c r="A3" s="5" t="s">
        <v>149</v>
      </c>
    </row>
    <row r="6" spans="1:8" ht="15" thickBot="1" x14ac:dyDescent="0.35">
      <c r="A6" t="s">
        <v>94</v>
      </c>
    </row>
    <row r="7" spans="1:8" x14ac:dyDescent="0.3">
      <c r="B7" s="32"/>
      <c r="C7" s="32"/>
      <c r="D7" s="32" t="s">
        <v>131</v>
      </c>
      <c r="E7" s="32" t="s">
        <v>133</v>
      </c>
      <c r="F7" s="32" t="s">
        <v>135</v>
      </c>
      <c r="G7" s="32" t="s">
        <v>137</v>
      </c>
      <c r="H7" s="32" t="s">
        <v>137</v>
      </c>
    </row>
    <row r="8" spans="1:8" ht="15" thickBot="1" x14ac:dyDescent="0.35">
      <c r="B8" s="33" t="s">
        <v>90</v>
      </c>
      <c r="C8" s="33" t="s">
        <v>91</v>
      </c>
      <c r="D8" s="34" t="s">
        <v>132</v>
      </c>
      <c r="E8" s="34" t="s">
        <v>134</v>
      </c>
      <c r="F8" s="34" t="s">
        <v>136</v>
      </c>
      <c r="G8" s="34" t="s">
        <v>138</v>
      </c>
      <c r="H8" s="34" t="s">
        <v>139</v>
      </c>
    </row>
    <row r="9" spans="1:8" x14ac:dyDescent="0.3">
      <c r="B9" s="29" t="s">
        <v>103</v>
      </c>
      <c r="C9" s="29" t="s">
        <v>104</v>
      </c>
      <c r="D9" s="29">
        <v>91.911764705882348</v>
      </c>
      <c r="E9" s="29">
        <v>0</v>
      </c>
      <c r="F9" s="29">
        <v>1500</v>
      </c>
      <c r="G9" s="29">
        <v>486.7469879518074</v>
      </c>
      <c r="H9" s="29">
        <v>10000</v>
      </c>
    </row>
    <row r="10" spans="1:8" x14ac:dyDescent="0.3">
      <c r="B10" s="29" t="s">
        <v>106</v>
      </c>
      <c r="C10" s="29" t="s">
        <v>107</v>
      </c>
      <c r="D10" s="29">
        <v>91.911764705882348</v>
      </c>
      <c r="E10" s="29">
        <v>0</v>
      </c>
      <c r="F10" s="29">
        <v>2100</v>
      </c>
      <c r="G10" s="29">
        <v>486.7469879518074</v>
      </c>
      <c r="H10" s="29">
        <v>10000</v>
      </c>
    </row>
    <row r="11" spans="1:8" ht="15" thickBot="1" x14ac:dyDescent="0.35">
      <c r="B11" s="27" t="s">
        <v>108</v>
      </c>
      <c r="C11" s="27" t="s">
        <v>109</v>
      </c>
      <c r="D11" s="27">
        <v>183.82352941176472</v>
      </c>
      <c r="E11" s="27">
        <v>0</v>
      </c>
      <c r="F11" s="27">
        <v>3200</v>
      </c>
      <c r="G11" s="27">
        <v>1E+30</v>
      </c>
      <c r="H11" s="27">
        <v>381.13207547169822</v>
      </c>
    </row>
    <row r="13" spans="1:8" ht="15" thickBot="1" x14ac:dyDescent="0.35">
      <c r="A13" t="s">
        <v>96</v>
      </c>
    </row>
    <row r="14" spans="1:8" x14ac:dyDescent="0.3">
      <c r="B14" s="32"/>
      <c r="C14" s="32"/>
      <c r="D14" s="32" t="s">
        <v>131</v>
      </c>
      <c r="E14" s="32" t="s">
        <v>140</v>
      </c>
      <c r="F14" s="32" t="s">
        <v>142</v>
      </c>
      <c r="G14" s="32" t="s">
        <v>137</v>
      </c>
      <c r="H14" s="32" t="s">
        <v>137</v>
      </c>
    </row>
    <row r="15" spans="1:8" ht="15" thickBot="1" x14ac:dyDescent="0.35">
      <c r="B15" s="33" t="s">
        <v>90</v>
      </c>
      <c r="C15" s="33" t="s">
        <v>91</v>
      </c>
      <c r="D15" s="34" t="s">
        <v>132</v>
      </c>
      <c r="E15" s="34" t="s">
        <v>141</v>
      </c>
      <c r="F15" s="34" t="s">
        <v>143</v>
      </c>
      <c r="G15" s="34" t="s">
        <v>138</v>
      </c>
      <c r="H15" s="34" t="s">
        <v>139</v>
      </c>
    </row>
    <row r="16" spans="1:8" x14ac:dyDescent="0.3">
      <c r="B16" s="29" t="s">
        <v>110</v>
      </c>
      <c r="C16" s="29" t="s">
        <v>111</v>
      </c>
      <c r="D16" s="29">
        <v>2205882.3529411769</v>
      </c>
      <c r="E16" s="29">
        <v>0</v>
      </c>
      <c r="F16" s="29">
        <v>4000000</v>
      </c>
      <c r="G16" s="29">
        <v>1E+30</v>
      </c>
      <c r="H16" s="29">
        <v>1794117.6470588234</v>
      </c>
    </row>
    <row r="17" spans="2:8" x14ac:dyDescent="0.3">
      <c r="B17" s="29" t="s">
        <v>114</v>
      </c>
      <c r="C17" s="29" t="s">
        <v>115</v>
      </c>
      <c r="D17" s="29">
        <v>25000</v>
      </c>
      <c r="E17" s="29">
        <v>36.764705882352942</v>
      </c>
      <c r="F17" s="29">
        <v>25000</v>
      </c>
      <c r="G17" s="29">
        <v>9170.854271356784</v>
      </c>
      <c r="H17" s="29">
        <v>11196</v>
      </c>
    </row>
    <row r="18" spans="2:8" x14ac:dyDescent="0.3">
      <c r="B18" s="29" t="s">
        <v>118</v>
      </c>
      <c r="C18" s="29" t="s">
        <v>119</v>
      </c>
      <c r="D18" s="29">
        <v>18290.441176470587</v>
      </c>
      <c r="E18" s="29">
        <v>0</v>
      </c>
      <c r="F18" s="29">
        <v>25000</v>
      </c>
      <c r="G18" s="29">
        <v>1E+30</v>
      </c>
      <c r="H18" s="29">
        <v>6709.5588235294108</v>
      </c>
    </row>
    <row r="19" spans="2:8" x14ac:dyDescent="0.3">
      <c r="B19" s="29" t="s">
        <v>121</v>
      </c>
      <c r="C19" s="29" t="s">
        <v>122</v>
      </c>
      <c r="D19" s="29">
        <v>183.82352941176472</v>
      </c>
      <c r="E19" s="29">
        <v>148.52941176470591</v>
      </c>
      <c r="F19" s="29">
        <v>0</v>
      </c>
      <c r="G19" s="29">
        <v>301.20481927710847</v>
      </c>
      <c r="H19" s="29">
        <v>471.69811320754724</v>
      </c>
    </row>
    <row r="20" spans="2:8" x14ac:dyDescent="0.3">
      <c r="B20" s="29" t="s">
        <v>124</v>
      </c>
      <c r="C20" s="29" t="s">
        <v>125</v>
      </c>
      <c r="D20" s="29">
        <v>91.911764705882348</v>
      </c>
      <c r="E20" s="29">
        <v>-5.8823529411764568</v>
      </c>
      <c r="F20" s="29">
        <v>0</v>
      </c>
      <c r="G20" s="29">
        <v>195.3125</v>
      </c>
      <c r="H20" s="29">
        <v>173.61111111111109</v>
      </c>
    </row>
    <row r="21" spans="2:8" ht="15" thickBot="1" x14ac:dyDescent="0.35">
      <c r="B21" s="27" t="s">
        <v>127</v>
      </c>
      <c r="C21" s="27" t="s">
        <v>128</v>
      </c>
      <c r="D21" s="27">
        <v>367.64705882352939</v>
      </c>
      <c r="E21" s="27">
        <v>0</v>
      </c>
      <c r="F21" s="27">
        <v>203</v>
      </c>
      <c r="G21" s="27">
        <v>164.64705882352942</v>
      </c>
      <c r="H21" s="27">
        <v>1E+30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C37F-2E8B-4429-BAC7-2F322795B4B8}">
  <dimension ref="A1:I36"/>
  <sheetViews>
    <sheetView workbookViewId="0">
      <selection activeCell="H26" sqref="H26"/>
    </sheetView>
  </sheetViews>
  <sheetFormatPr defaultRowHeight="14.5" x14ac:dyDescent="0.3"/>
  <cols>
    <col min="1" max="1" width="23.09765625" bestFit="1" customWidth="1"/>
    <col min="2" max="2" width="13.59765625" bestFit="1" customWidth="1"/>
    <col min="3" max="3" width="15" bestFit="1" customWidth="1"/>
    <col min="4" max="4" width="13.59765625" bestFit="1" customWidth="1"/>
    <col min="5" max="5" width="14.19921875" bestFit="1" customWidth="1"/>
    <col min="6" max="6" width="14.5" bestFit="1" customWidth="1"/>
    <col min="7" max="7" width="13.59765625" bestFit="1" customWidth="1"/>
    <col min="8" max="8" width="13.796875" bestFit="1" customWidth="1"/>
    <col min="9" max="9" width="13.59765625" bestFit="1" customWidth="1"/>
  </cols>
  <sheetData>
    <row r="1" spans="1:9" x14ac:dyDescent="0.3">
      <c r="A1" t="s">
        <v>21</v>
      </c>
    </row>
    <row r="2" spans="1:9" ht="15" thickBot="1" x14ac:dyDescent="0.35"/>
    <row r="3" spans="1:9" x14ac:dyDescent="0.3">
      <c r="A3" s="14" t="s">
        <v>22</v>
      </c>
      <c r="B3" s="14"/>
    </row>
    <row r="4" spans="1:9" x14ac:dyDescent="0.3">
      <c r="A4" s="11" t="s">
        <v>23</v>
      </c>
      <c r="B4" s="11">
        <v>0.97366017414647188</v>
      </c>
    </row>
    <row r="5" spans="1:9" x14ac:dyDescent="0.3">
      <c r="A5" s="17" t="s">
        <v>24</v>
      </c>
      <c r="B5" s="17">
        <v>0.94801413471893792</v>
      </c>
    </row>
    <row r="6" spans="1:9" x14ac:dyDescent="0.3">
      <c r="A6" s="17" t="s">
        <v>25</v>
      </c>
      <c r="B6" s="17">
        <v>0.94281554819083158</v>
      </c>
    </row>
    <row r="7" spans="1:9" x14ac:dyDescent="0.3">
      <c r="A7" s="11" t="s">
        <v>26</v>
      </c>
      <c r="B7" s="11">
        <v>9.9035780120692838</v>
      </c>
    </row>
    <row r="8" spans="1:9" ht="15" thickBot="1" x14ac:dyDescent="0.35">
      <c r="A8" s="12" t="s">
        <v>27</v>
      </c>
      <c r="B8" s="12">
        <v>12</v>
      </c>
    </row>
    <row r="10" spans="1:9" ht="15" thickBot="1" x14ac:dyDescent="0.35">
      <c r="A10" t="s">
        <v>28</v>
      </c>
    </row>
    <row r="11" spans="1:9" x14ac:dyDescent="0.3">
      <c r="A11" s="13"/>
      <c r="B11" s="13" t="s">
        <v>32</v>
      </c>
      <c r="C11" s="13" t="s">
        <v>33</v>
      </c>
      <c r="D11" s="13" t="s">
        <v>34</v>
      </c>
      <c r="E11" s="13" t="s">
        <v>35</v>
      </c>
      <c r="F11" s="13" t="s">
        <v>36</v>
      </c>
    </row>
    <row r="12" spans="1:9" x14ac:dyDescent="0.3">
      <c r="A12" s="11" t="s">
        <v>29</v>
      </c>
      <c r="B12" s="11">
        <v>1</v>
      </c>
      <c r="C12" s="11">
        <v>17886.023190505242</v>
      </c>
      <c r="D12" s="11">
        <v>17886.023190505242</v>
      </c>
      <c r="E12" s="11">
        <v>182.35997988943515</v>
      </c>
      <c r="F12" s="17">
        <v>9.5533006545191798E-8</v>
      </c>
    </row>
    <row r="13" spans="1:9" x14ac:dyDescent="0.3">
      <c r="A13" s="11" t="s">
        <v>30</v>
      </c>
      <c r="B13" s="11">
        <v>10</v>
      </c>
      <c r="C13" s="11">
        <v>980.80857441142166</v>
      </c>
      <c r="D13" s="11">
        <v>98.080857441142172</v>
      </c>
      <c r="E13" s="11"/>
      <c r="F13" s="11"/>
    </row>
    <row r="14" spans="1:9" ht="15" thickBot="1" x14ac:dyDescent="0.35">
      <c r="A14" s="12" t="s">
        <v>31</v>
      </c>
      <c r="B14" s="12">
        <v>11</v>
      </c>
      <c r="C14" s="12">
        <v>18866.831764916664</v>
      </c>
      <c r="D14" s="12"/>
      <c r="E14" s="12"/>
      <c r="F14" s="12"/>
    </row>
    <row r="15" spans="1:9" ht="15" thickBot="1" x14ac:dyDescent="0.35"/>
    <row r="16" spans="1:9" x14ac:dyDescent="0.3">
      <c r="A16" s="13"/>
      <c r="B16" s="13" t="s">
        <v>37</v>
      </c>
      <c r="C16" s="13" t="s">
        <v>26</v>
      </c>
      <c r="D16" s="13" t="s">
        <v>38</v>
      </c>
      <c r="E16" s="13" t="s">
        <v>39</v>
      </c>
      <c r="F16" s="13" t="s">
        <v>40</v>
      </c>
      <c r="G16" s="13" t="s">
        <v>41</v>
      </c>
      <c r="H16" s="13" t="s">
        <v>42</v>
      </c>
      <c r="I16" s="13" t="s">
        <v>43</v>
      </c>
    </row>
    <row r="17" spans="1:9" x14ac:dyDescent="0.3">
      <c r="A17" s="11" t="s">
        <v>16</v>
      </c>
      <c r="B17" s="17">
        <v>58.80768298368298</v>
      </c>
      <c r="C17" s="11">
        <v>6.8377014886108469</v>
      </c>
      <c r="D17" s="11">
        <v>8.6005045820785604</v>
      </c>
      <c r="E17" s="11">
        <v>6.2124905671916332E-6</v>
      </c>
      <c r="F17" s="11">
        <v>43.572334638624767</v>
      </c>
      <c r="G17" s="11">
        <v>74.043031328741193</v>
      </c>
      <c r="H17" s="11">
        <v>43.572334638624767</v>
      </c>
      <c r="I17" s="11">
        <v>74.043031328741193</v>
      </c>
    </row>
    <row r="18" spans="1:9" ht="15" thickBot="1" x14ac:dyDescent="0.35">
      <c r="A18" s="12">
        <v>1</v>
      </c>
      <c r="B18" s="12">
        <v>11.183786713286713</v>
      </c>
      <c r="C18" s="12">
        <v>0.82817879830748453</v>
      </c>
      <c r="D18" s="12">
        <v>13.504072714904758</v>
      </c>
      <c r="E18" s="12">
        <v>9.5533006545191798E-8</v>
      </c>
      <c r="F18" s="12">
        <v>9.3384893563865017</v>
      </c>
      <c r="G18" s="12">
        <v>13.029084070186924</v>
      </c>
      <c r="H18" s="12">
        <v>9.3384893563865017</v>
      </c>
      <c r="I18" s="12">
        <v>13.029084070186924</v>
      </c>
    </row>
    <row r="22" spans="1:9" x14ac:dyDescent="0.3">
      <c r="A22" t="s">
        <v>44</v>
      </c>
    </row>
    <row r="23" spans="1:9" ht="15" thickBot="1" x14ac:dyDescent="0.35"/>
    <row r="24" spans="1:9" x14ac:dyDescent="0.3">
      <c r="A24" s="13" t="s">
        <v>45</v>
      </c>
      <c r="B24" s="13" t="s">
        <v>49</v>
      </c>
      <c r="C24" s="13" t="s">
        <v>46</v>
      </c>
    </row>
    <row r="25" spans="1:9" x14ac:dyDescent="0.3">
      <c r="A25" s="11">
        <v>1</v>
      </c>
      <c r="B25" s="11">
        <v>81.175256410256409</v>
      </c>
      <c r="C25" s="11">
        <v>7.8247435897435906</v>
      </c>
    </row>
    <row r="26" spans="1:9" x14ac:dyDescent="0.3">
      <c r="A26" s="11">
        <v>2</v>
      </c>
      <c r="B26" s="11">
        <v>92.359043123543117</v>
      </c>
      <c r="C26" s="11">
        <v>-10.359043123543117</v>
      </c>
    </row>
    <row r="27" spans="1:9" x14ac:dyDescent="0.3">
      <c r="A27" s="11">
        <v>3</v>
      </c>
      <c r="B27" s="11">
        <v>103.54282983682984</v>
      </c>
      <c r="C27" s="11">
        <v>8.4571701631701615</v>
      </c>
    </row>
    <row r="28" spans="1:9" x14ac:dyDescent="0.3">
      <c r="A28" s="11">
        <v>4</v>
      </c>
      <c r="B28" s="11">
        <v>114.72661655011655</v>
      </c>
      <c r="C28" s="11">
        <v>-8.726616550116546</v>
      </c>
    </row>
    <row r="29" spans="1:9" x14ac:dyDescent="0.3">
      <c r="A29" s="11">
        <v>5</v>
      </c>
      <c r="B29" s="11">
        <v>125.91040326340325</v>
      </c>
      <c r="C29" s="11">
        <v>5.0895967365967465</v>
      </c>
    </row>
    <row r="30" spans="1:9" x14ac:dyDescent="0.3">
      <c r="A30" s="11">
        <v>6</v>
      </c>
      <c r="B30" s="11">
        <v>137.09418997668996</v>
      </c>
      <c r="C30" s="11">
        <v>-12.094189976689961</v>
      </c>
    </row>
    <row r="31" spans="1:9" x14ac:dyDescent="0.3">
      <c r="A31" s="11">
        <v>7</v>
      </c>
      <c r="B31" s="11">
        <v>148.2779766899767</v>
      </c>
      <c r="C31" s="11">
        <v>-3.2779766899766969</v>
      </c>
    </row>
    <row r="32" spans="1:9" x14ac:dyDescent="0.3">
      <c r="A32" s="11">
        <v>8</v>
      </c>
      <c r="B32" s="11">
        <v>159.46176340326338</v>
      </c>
      <c r="C32" s="11">
        <v>13.538236596736624</v>
      </c>
    </row>
    <row r="33" spans="1:3" x14ac:dyDescent="0.3">
      <c r="A33" s="11">
        <v>9</v>
      </c>
      <c r="B33" s="11">
        <v>170.64555011655011</v>
      </c>
      <c r="C33" s="11">
        <v>11.354449883449888</v>
      </c>
    </row>
    <row r="34" spans="1:3" x14ac:dyDescent="0.3">
      <c r="A34" s="11">
        <v>10</v>
      </c>
      <c r="B34" s="11">
        <v>181.82933682983682</v>
      </c>
      <c r="C34" s="11">
        <v>-12.829336829836819</v>
      </c>
    </row>
    <row r="35" spans="1:3" x14ac:dyDescent="0.3">
      <c r="A35" s="11">
        <v>11</v>
      </c>
      <c r="B35" s="11">
        <v>193.01312354312353</v>
      </c>
      <c r="C35" s="11">
        <v>1.9868764568764732</v>
      </c>
    </row>
    <row r="36" spans="1:3" ht="15" thickBot="1" x14ac:dyDescent="0.35">
      <c r="A36" s="12">
        <v>12</v>
      </c>
      <c r="B36" s="12">
        <v>204.19691025641023</v>
      </c>
      <c r="C36" s="12">
        <v>-0.9639102564102302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59377-DC2C-45E0-ABDC-83CB50352DA1}">
  <dimension ref="A1:O64"/>
  <sheetViews>
    <sheetView tabSelected="1" workbookViewId="0">
      <selection activeCell="M64" sqref="M64"/>
    </sheetView>
  </sheetViews>
  <sheetFormatPr defaultRowHeight="14.5" x14ac:dyDescent="0.3"/>
  <cols>
    <col min="1" max="1" width="12.69921875" customWidth="1"/>
    <col min="2" max="2" width="13.59765625" bestFit="1" customWidth="1"/>
    <col min="3" max="3" width="9.59765625" bestFit="1" customWidth="1"/>
    <col min="4" max="4" width="20.19921875" bestFit="1" customWidth="1"/>
    <col min="7" max="8" width="24.3984375" customWidth="1"/>
    <col min="9" max="9" width="28.59765625" customWidth="1"/>
    <col min="10" max="10" width="19.296875" customWidth="1"/>
    <col min="11" max="11" width="20.796875" customWidth="1"/>
    <col min="12" max="12" width="18.69921875" bestFit="1" customWidth="1"/>
    <col min="13" max="13" width="17.796875" bestFit="1" customWidth="1"/>
    <col min="14" max="14" width="16.19921875" bestFit="1" customWidth="1"/>
    <col min="15" max="15" width="19.296875" bestFit="1" customWidth="1"/>
    <col min="16" max="16" width="16.5" bestFit="1" customWidth="1"/>
    <col min="17" max="17" width="19.296875" bestFit="1" customWidth="1"/>
    <col min="18" max="18" width="20.796875" bestFit="1" customWidth="1"/>
  </cols>
  <sheetData>
    <row r="1" spans="1:15" ht="17" x14ac:dyDescent="0.3">
      <c r="A1" s="1" t="s">
        <v>0</v>
      </c>
      <c r="B1" s="46" t="s">
        <v>14</v>
      </c>
    </row>
    <row r="3" spans="1:15" x14ac:dyDescent="0.3">
      <c r="A3" s="5" t="s">
        <v>147</v>
      </c>
    </row>
    <row r="4" spans="1:15" ht="17" x14ac:dyDescent="0.3">
      <c r="A4" s="15" t="s">
        <v>48</v>
      </c>
      <c r="B4" s="2" t="s">
        <v>1</v>
      </c>
      <c r="C4" s="2" t="s">
        <v>2</v>
      </c>
      <c r="D4" s="7" t="s">
        <v>20</v>
      </c>
      <c r="I4" s="7" t="s">
        <v>71</v>
      </c>
    </row>
    <row r="5" spans="1:15" ht="17" x14ac:dyDescent="0.3">
      <c r="A5" s="16">
        <v>1</v>
      </c>
      <c r="B5" s="3" t="s">
        <v>19</v>
      </c>
      <c r="C5" s="3">
        <v>78</v>
      </c>
      <c r="D5" s="16">
        <f>MONTH(DATEVALUE(B5&amp;"1"))</f>
        <v>5</v>
      </c>
      <c r="I5" s="18" t="s">
        <v>54</v>
      </c>
      <c r="J5" s="18" t="s">
        <v>18</v>
      </c>
      <c r="K5" s="18" t="s">
        <v>55</v>
      </c>
    </row>
    <row r="6" spans="1:15" ht="17" x14ac:dyDescent="0.3">
      <c r="A6" s="16">
        <v>2</v>
      </c>
      <c r="B6" s="3" t="s">
        <v>4</v>
      </c>
      <c r="C6" s="3">
        <v>89</v>
      </c>
      <c r="D6" s="16">
        <f t="shared" ref="D6:D17" si="0">MONTH(DATEVALUE(B6&amp;"1"))</f>
        <v>6</v>
      </c>
      <c r="I6" s="18" t="s">
        <v>51</v>
      </c>
      <c r="J6" s="8">
        <v>35000</v>
      </c>
      <c r="K6" s="8">
        <v>15000</v>
      </c>
    </row>
    <row r="7" spans="1:15" ht="17" x14ac:dyDescent="0.3">
      <c r="A7" s="16">
        <v>3</v>
      </c>
      <c r="B7" s="3" t="s">
        <v>5</v>
      </c>
      <c r="C7" s="3">
        <v>82</v>
      </c>
      <c r="D7" s="16">
        <f t="shared" si="0"/>
        <v>7</v>
      </c>
      <c r="I7" s="18" t="s">
        <v>52</v>
      </c>
      <c r="J7" s="8">
        <v>30000</v>
      </c>
      <c r="K7" s="8">
        <v>20000</v>
      </c>
    </row>
    <row r="8" spans="1:15" ht="17" x14ac:dyDescent="0.3">
      <c r="A8" s="16">
        <v>4</v>
      </c>
      <c r="B8" s="3" t="s">
        <v>6</v>
      </c>
      <c r="C8" s="3">
        <v>112</v>
      </c>
      <c r="D8" s="16">
        <f t="shared" si="0"/>
        <v>8</v>
      </c>
      <c r="I8" s="18" t="s">
        <v>53</v>
      </c>
      <c r="J8" s="8">
        <v>25000</v>
      </c>
      <c r="K8" s="8">
        <v>25000</v>
      </c>
    </row>
    <row r="9" spans="1:15" ht="17" x14ac:dyDescent="0.3">
      <c r="A9" s="16">
        <v>5</v>
      </c>
      <c r="B9" s="3" t="s">
        <v>7</v>
      </c>
      <c r="C9" s="3">
        <v>106</v>
      </c>
      <c r="D9" s="16">
        <f t="shared" si="0"/>
        <v>9</v>
      </c>
    </row>
    <row r="10" spans="1:15" ht="17" x14ac:dyDescent="0.3">
      <c r="A10" s="16">
        <v>6</v>
      </c>
      <c r="B10" s="3" t="s">
        <v>8</v>
      </c>
      <c r="C10" s="3">
        <v>131</v>
      </c>
      <c r="D10" s="16">
        <f t="shared" si="0"/>
        <v>10</v>
      </c>
      <c r="I10" s="7" t="s">
        <v>61</v>
      </c>
      <c r="J10" s="6" t="s">
        <v>62</v>
      </c>
      <c r="K10" s="6" t="s">
        <v>63</v>
      </c>
      <c r="L10" s="6" t="s">
        <v>64</v>
      </c>
      <c r="M10" s="10" t="s">
        <v>59</v>
      </c>
      <c r="N10" s="6">
        <v>1</v>
      </c>
    </row>
    <row r="11" spans="1:15" ht="17" x14ac:dyDescent="0.3">
      <c r="A11" s="16">
        <v>7</v>
      </c>
      <c r="B11" s="3" t="s">
        <v>9</v>
      </c>
      <c r="C11" s="3">
        <v>125</v>
      </c>
      <c r="D11" s="16">
        <f t="shared" si="0"/>
        <v>11</v>
      </c>
      <c r="J11" s="19">
        <f>0.2</f>
        <v>0.2</v>
      </c>
      <c r="K11" s="19">
        <f>0.4</f>
        <v>0.4</v>
      </c>
      <c r="L11" s="19">
        <f>J11*3+K11</f>
        <v>1</v>
      </c>
    </row>
    <row r="12" spans="1:15" ht="17" x14ac:dyDescent="0.3">
      <c r="A12" s="16">
        <v>8</v>
      </c>
      <c r="B12" s="3" t="s">
        <v>10</v>
      </c>
      <c r="C12" s="3">
        <v>145</v>
      </c>
      <c r="D12" s="16">
        <f t="shared" si="0"/>
        <v>12</v>
      </c>
    </row>
    <row r="13" spans="1:15" ht="17" x14ac:dyDescent="0.3">
      <c r="A13" s="16">
        <v>9</v>
      </c>
      <c r="B13" s="3" t="s">
        <v>11</v>
      </c>
      <c r="C13" s="3">
        <v>173</v>
      </c>
      <c r="D13" s="16">
        <f t="shared" si="0"/>
        <v>1</v>
      </c>
    </row>
    <row r="14" spans="1:15" ht="19.5" x14ac:dyDescent="0.3">
      <c r="A14" s="16">
        <v>10</v>
      </c>
      <c r="B14" s="3" t="s">
        <v>12</v>
      </c>
      <c r="C14" s="3">
        <v>182</v>
      </c>
      <c r="D14" s="16">
        <f t="shared" si="0"/>
        <v>2</v>
      </c>
      <c r="I14" s="22" t="s">
        <v>50</v>
      </c>
      <c r="J14" s="21"/>
      <c r="K14" s="21"/>
      <c r="L14" s="21"/>
      <c r="M14" s="21"/>
    </row>
    <row r="15" spans="1:15" ht="19.5" x14ac:dyDescent="0.3">
      <c r="A15" s="16">
        <v>11</v>
      </c>
      <c r="B15" s="3" t="s">
        <v>13</v>
      </c>
      <c r="C15" s="3">
        <v>169</v>
      </c>
      <c r="D15" s="16">
        <f t="shared" si="0"/>
        <v>3</v>
      </c>
      <c r="I15" s="22" t="s">
        <v>65</v>
      </c>
      <c r="J15" s="22" t="s">
        <v>66</v>
      </c>
      <c r="K15" s="22" t="s">
        <v>67</v>
      </c>
      <c r="L15" s="22" t="s">
        <v>68</v>
      </c>
      <c r="M15" s="22" t="s">
        <v>69</v>
      </c>
      <c r="N15" s="22" t="s">
        <v>144</v>
      </c>
      <c r="O15" s="22" t="s">
        <v>148</v>
      </c>
    </row>
    <row r="16" spans="1:15" ht="19.5" x14ac:dyDescent="0.3">
      <c r="A16" s="16">
        <v>12</v>
      </c>
      <c r="B16" s="3" t="s">
        <v>3</v>
      </c>
      <c r="C16" s="3">
        <v>195</v>
      </c>
      <c r="D16" s="16">
        <f t="shared" si="0"/>
        <v>4</v>
      </c>
      <c r="I16" s="47" t="s">
        <v>51</v>
      </c>
      <c r="J16" s="26">
        <v>3687773</v>
      </c>
      <c r="K16" s="26">
        <v>753769</v>
      </c>
      <c r="L16" s="26">
        <v>753769</v>
      </c>
      <c r="M16" s="26">
        <v>753769</v>
      </c>
      <c r="N16" s="41">
        <f>J16*J19+K16*K19+L16*L19+M16*M19</f>
        <v>1340569.8000000003</v>
      </c>
      <c r="O16" s="42" t="str">
        <f>IF(N16=MAX($N$16:$N$18),"X","")</f>
        <v/>
      </c>
    </row>
    <row r="17" spans="1:15" ht="19.5" x14ac:dyDescent="0.3">
      <c r="A17" s="16">
        <v>13</v>
      </c>
      <c r="B17" s="3" t="s">
        <v>19</v>
      </c>
      <c r="C17" s="9">
        <f>B19*13+B20</f>
        <v>203.233</v>
      </c>
      <c r="D17" s="16">
        <f t="shared" si="0"/>
        <v>5</v>
      </c>
      <c r="I17" s="47" t="s">
        <v>52</v>
      </c>
      <c r="J17" s="26">
        <v>3687773</v>
      </c>
      <c r="K17" s="26">
        <v>833333</v>
      </c>
      <c r="L17" s="26">
        <v>1005025</v>
      </c>
      <c r="M17" s="26">
        <v>1005025</v>
      </c>
      <c r="N17" s="41">
        <f>J17*J19+K17*K19+L17*L19+M17*M19</f>
        <v>1507236.2000000002</v>
      </c>
      <c r="O17" s="43" t="str">
        <f t="shared" ref="O17:O18" si="1">IF(N17=MAX($N$16:$N$18),"X","")</f>
        <v>X</v>
      </c>
    </row>
    <row r="18" spans="1:15" ht="19.5" x14ac:dyDescent="0.3">
      <c r="I18" s="47" t="s">
        <v>53</v>
      </c>
      <c r="J18" s="26">
        <v>3687773</v>
      </c>
      <c r="K18" s="26">
        <v>833333</v>
      </c>
      <c r="L18" s="26">
        <v>919118</v>
      </c>
      <c r="M18" s="26">
        <v>919118</v>
      </c>
      <c r="N18" s="41">
        <f>J18*J19+K18*K19+L18*L19+M18*M19</f>
        <v>1455692</v>
      </c>
      <c r="O18" s="42" t="str">
        <f t="shared" si="1"/>
        <v/>
      </c>
    </row>
    <row r="19" spans="1:15" ht="17" x14ac:dyDescent="0.3">
      <c r="A19" s="4" t="s">
        <v>15</v>
      </c>
      <c r="B19" s="4">
        <v>10.92</v>
      </c>
      <c r="I19" s="15" t="s">
        <v>61</v>
      </c>
      <c r="J19" s="39">
        <f>$J$11</f>
        <v>0.2</v>
      </c>
      <c r="K19" s="39">
        <f t="shared" ref="K19:L19" si="2">$J$11</f>
        <v>0.2</v>
      </c>
      <c r="L19" s="39">
        <f t="shared" si="2"/>
        <v>0.2</v>
      </c>
      <c r="M19" s="40">
        <f>$K$11</f>
        <v>0.4</v>
      </c>
    </row>
    <row r="20" spans="1:15" ht="19.5" x14ac:dyDescent="0.3">
      <c r="A20" s="4" t="s">
        <v>17</v>
      </c>
      <c r="B20" s="6">
        <v>61.273000000000003</v>
      </c>
      <c r="I20" s="44" t="s">
        <v>146</v>
      </c>
      <c r="J20" s="45">
        <f>MAX($J$16:$J$18)*J19+MAX($K$16:$K$18)*K19+MAX($L$16:$L$18)*L19+MAX($M$16:$M$18)*M19</f>
        <v>1507236.2000000002</v>
      </c>
    </row>
    <row r="21" spans="1:15" ht="19.5" x14ac:dyDescent="0.3">
      <c r="A21" s="4" t="s">
        <v>47</v>
      </c>
      <c r="B21" s="6">
        <f>SQRT(0.9432)</f>
        <v>0.97118484337431876</v>
      </c>
      <c r="I21" s="44" t="s">
        <v>145</v>
      </c>
      <c r="J21" s="45">
        <f>J20-MAX($N$16:$N$18)</f>
        <v>0</v>
      </c>
    </row>
    <row r="27" spans="1:15" ht="19.5" x14ac:dyDescent="0.3">
      <c r="I27" s="20" t="s">
        <v>70</v>
      </c>
      <c r="J27" s="20" t="s">
        <v>72</v>
      </c>
      <c r="K27" s="20" t="s">
        <v>73</v>
      </c>
      <c r="L27" s="20" t="s">
        <v>74</v>
      </c>
    </row>
    <row r="28" spans="1:15" ht="19.5" x14ac:dyDescent="0.3">
      <c r="I28" s="20" t="s">
        <v>56</v>
      </c>
      <c r="J28" s="35">
        <v>91.911764705882348</v>
      </c>
      <c r="K28" s="38">
        <v>91.911764705882348</v>
      </c>
      <c r="L28" s="35">
        <v>183.82352941176472</v>
      </c>
    </row>
    <row r="29" spans="1:15" ht="19.5" x14ac:dyDescent="0.3">
      <c r="I29" s="20" t="s">
        <v>75</v>
      </c>
      <c r="J29" s="21">
        <v>1500</v>
      </c>
      <c r="K29" s="21">
        <v>2100</v>
      </c>
      <c r="L29" s="21">
        <v>3200</v>
      </c>
      <c r="M29" s="48">
        <f>SUMPRODUCT($J$28:$L$28,J29:L29)</f>
        <v>919117.64705882361</v>
      </c>
    </row>
    <row r="30" spans="1:15" ht="19.5" x14ac:dyDescent="0.3">
      <c r="I30" s="20" t="s">
        <v>76</v>
      </c>
      <c r="J30" s="21">
        <v>4500</v>
      </c>
      <c r="K30" s="21">
        <v>5300</v>
      </c>
      <c r="L30" s="21">
        <v>7100</v>
      </c>
      <c r="M30" s="23">
        <f t="shared" ref="M30:M32" si="3">SUMPRODUCT($J$28:$L$28,J30:L30)</f>
        <v>2205882.3529411769</v>
      </c>
      <c r="N30" s="25" t="s">
        <v>60</v>
      </c>
      <c r="O30" s="21">
        <v>4000000</v>
      </c>
    </row>
    <row r="31" spans="1:15" ht="19.5" x14ac:dyDescent="0.3">
      <c r="I31" s="20" t="s">
        <v>18</v>
      </c>
      <c r="J31" s="21">
        <v>45</v>
      </c>
      <c r="K31" s="21">
        <v>61</v>
      </c>
      <c r="L31" s="21">
        <v>83</v>
      </c>
      <c r="M31" s="23">
        <f t="shared" si="3"/>
        <v>25000</v>
      </c>
      <c r="N31" s="25" t="s">
        <v>60</v>
      </c>
      <c r="O31" s="21">
        <v>25000</v>
      </c>
    </row>
    <row r="32" spans="1:15" ht="19.5" x14ac:dyDescent="0.3">
      <c r="I32" s="20" t="s">
        <v>77</v>
      </c>
      <c r="J32" s="21">
        <v>32</v>
      </c>
      <c r="K32" s="21">
        <v>41</v>
      </c>
      <c r="L32" s="21">
        <v>63</v>
      </c>
      <c r="M32" s="23">
        <f t="shared" si="3"/>
        <v>18290.441176470587</v>
      </c>
      <c r="N32" s="25" t="s">
        <v>60</v>
      </c>
      <c r="O32" s="21">
        <v>25000</v>
      </c>
    </row>
    <row r="33" spans="9:15" ht="19.5" x14ac:dyDescent="0.3">
      <c r="I33" s="20" t="s">
        <v>78</v>
      </c>
      <c r="J33" s="21"/>
      <c r="K33" s="21"/>
      <c r="L33" s="21">
        <v>1</v>
      </c>
      <c r="M33" s="23">
        <f>L28</f>
        <v>183.82352941176472</v>
      </c>
      <c r="N33" s="25" t="s">
        <v>60</v>
      </c>
      <c r="O33" s="24">
        <f>SUM(J28:K28)</f>
        <v>183.8235294117647</v>
      </c>
    </row>
    <row r="34" spans="9:15" ht="19.5" x14ac:dyDescent="0.3">
      <c r="I34" s="20" t="s">
        <v>58</v>
      </c>
      <c r="J34" s="21">
        <v>1</v>
      </c>
      <c r="K34" s="21"/>
      <c r="L34" s="21"/>
      <c r="M34" s="23">
        <f>J28</f>
        <v>91.911764705882348</v>
      </c>
      <c r="N34" s="25" t="s">
        <v>59</v>
      </c>
      <c r="O34" s="37">
        <f>K28</f>
        <v>91.911764705882348</v>
      </c>
    </row>
    <row r="35" spans="9:15" ht="19.5" x14ac:dyDescent="0.3">
      <c r="I35" s="20" t="s">
        <v>79</v>
      </c>
      <c r="J35" s="21">
        <v>1</v>
      </c>
      <c r="K35" s="21">
        <v>1</v>
      </c>
      <c r="L35" s="21">
        <v>1</v>
      </c>
      <c r="M35" s="23">
        <f>SUM(J28:L28)</f>
        <v>367.64705882352939</v>
      </c>
      <c r="N35" s="25" t="s">
        <v>57</v>
      </c>
      <c r="O35" s="36">
        <v>203</v>
      </c>
    </row>
    <row r="42" spans="9:15" ht="17" x14ac:dyDescent="0.3">
      <c r="I42" s="49" t="s">
        <v>151</v>
      </c>
    </row>
    <row r="43" spans="9:15" ht="19.5" x14ac:dyDescent="0.3">
      <c r="I43" s="20" t="s">
        <v>70</v>
      </c>
      <c r="J43" s="20" t="s">
        <v>72</v>
      </c>
      <c r="K43" s="20" t="s">
        <v>73</v>
      </c>
      <c r="L43" s="20" t="s">
        <v>74</v>
      </c>
    </row>
    <row r="44" spans="9:15" ht="19.5" x14ac:dyDescent="0.3">
      <c r="I44" s="20" t="s">
        <v>56</v>
      </c>
      <c r="J44" s="35">
        <v>150</v>
      </c>
      <c r="K44" s="38">
        <v>0</v>
      </c>
      <c r="L44" s="35">
        <v>0</v>
      </c>
    </row>
    <row r="45" spans="9:15" ht="19.5" x14ac:dyDescent="0.3">
      <c r="I45" s="20" t="s">
        <v>75</v>
      </c>
      <c r="J45" s="21">
        <v>1500</v>
      </c>
      <c r="K45" s="21">
        <v>2100</v>
      </c>
      <c r="L45" s="21">
        <v>3200</v>
      </c>
      <c r="M45" s="48">
        <f>SUMPRODUCT($J$28:$L$28,J45:L45)</f>
        <v>919117.64705882361</v>
      </c>
    </row>
    <row r="46" spans="9:15" ht="19.5" x14ac:dyDescent="0.3">
      <c r="I46" s="20" t="s">
        <v>76</v>
      </c>
      <c r="J46" s="21">
        <v>4500</v>
      </c>
      <c r="K46" s="21">
        <v>5300</v>
      </c>
      <c r="L46" s="21">
        <v>7100</v>
      </c>
      <c r="M46" s="23">
        <f t="shared" ref="M46:M48" si="4">SUMPRODUCT($J$28:$L$28,J46:L46)</f>
        <v>2205882.3529411769</v>
      </c>
      <c r="N46" s="25" t="s">
        <v>60</v>
      </c>
      <c r="O46" s="21">
        <v>4000000</v>
      </c>
    </row>
    <row r="47" spans="9:15" ht="19.5" x14ac:dyDescent="0.3">
      <c r="I47" s="20" t="s">
        <v>18</v>
      </c>
      <c r="J47" s="21">
        <v>45</v>
      </c>
      <c r="K47" s="21">
        <v>61</v>
      </c>
      <c r="L47" s="21">
        <v>83</v>
      </c>
      <c r="M47" s="23">
        <f t="shared" si="4"/>
        <v>25000</v>
      </c>
      <c r="N47" s="25" t="s">
        <v>60</v>
      </c>
      <c r="O47" s="21">
        <v>25000</v>
      </c>
    </row>
    <row r="48" spans="9:15" ht="19.5" x14ac:dyDescent="0.3">
      <c r="I48" s="20" t="s">
        <v>77</v>
      </c>
      <c r="J48" s="21">
        <v>32</v>
      </c>
      <c r="K48" s="21">
        <v>41</v>
      </c>
      <c r="L48" s="21">
        <v>63</v>
      </c>
      <c r="M48" s="23">
        <f t="shared" si="4"/>
        <v>18290.441176470587</v>
      </c>
      <c r="N48" s="25" t="s">
        <v>60</v>
      </c>
      <c r="O48" s="21">
        <v>25000</v>
      </c>
    </row>
    <row r="49" spans="9:15" ht="19.5" x14ac:dyDescent="0.3">
      <c r="I49" s="20" t="s">
        <v>78</v>
      </c>
      <c r="J49" s="21"/>
      <c r="K49" s="21"/>
      <c r="L49" s="21">
        <v>1</v>
      </c>
      <c r="M49" s="23">
        <f>L44</f>
        <v>0</v>
      </c>
      <c r="N49" s="25" t="s">
        <v>60</v>
      </c>
      <c r="O49" s="24">
        <f>SUM(J44:K44)</f>
        <v>150</v>
      </c>
    </row>
    <row r="50" spans="9:15" ht="19.5" x14ac:dyDescent="0.3">
      <c r="I50" s="20" t="s">
        <v>58</v>
      </c>
      <c r="J50" s="21">
        <v>1</v>
      </c>
      <c r="K50" s="21"/>
      <c r="L50" s="21"/>
      <c r="M50" s="23">
        <f>J44</f>
        <v>150</v>
      </c>
      <c r="N50" s="25" t="s">
        <v>59</v>
      </c>
      <c r="O50" s="37">
        <f>K44</f>
        <v>0</v>
      </c>
    </row>
    <row r="51" spans="9:15" ht="19.5" x14ac:dyDescent="0.3">
      <c r="I51" s="20" t="s">
        <v>79</v>
      </c>
      <c r="J51" s="21">
        <v>1</v>
      </c>
      <c r="K51" s="21">
        <v>1</v>
      </c>
      <c r="L51" s="21">
        <v>1</v>
      </c>
      <c r="M51" s="23">
        <f>SUM(J44:L44)</f>
        <v>150</v>
      </c>
      <c r="N51" s="25" t="s">
        <v>57</v>
      </c>
      <c r="O51" s="36">
        <v>150</v>
      </c>
    </row>
    <row r="55" spans="9:15" ht="17" x14ac:dyDescent="0.3">
      <c r="I55" s="49" t="s">
        <v>152</v>
      </c>
    </row>
    <row r="56" spans="9:15" ht="19.5" x14ac:dyDescent="0.3">
      <c r="I56" s="20" t="s">
        <v>70</v>
      </c>
      <c r="J56" s="20" t="s">
        <v>72</v>
      </c>
      <c r="K56" s="20" t="s">
        <v>73</v>
      </c>
      <c r="L56" s="20" t="s">
        <v>74</v>
      </c>
    </row>
    <row r="57" spans="9:15" ht="19.5" x14ac:dyDescent="0.3">
      <c r="I57" s="20" t="s">
        <v>56</v>
      </c>
      <c r="J57" s="35">
        <v>300</v>
      </c>
      <c r="K57" s="38">
        <v>0</v>
      </c>
      <c r="L57" s="35">
        <v>0</v>
      </c>
    </row>
    <row r="58" spans="9:15" ht="19.5" x14ac:dyDescent="0.3">
      <c r="I58" s="20" t="s">
        <v>75</v>
      </c>
      <c r="J58" s="21">
        <v>1500</v>
      </c>
      <c r="K58" s="21">
        <v>2100</v>
      </c>
      <c r="L58" s="21">
        <v>3200</v>
      </c>
      <c r="M58" s="48">
        <f>SUMPRODUCT($J$28:$L$28,J58:L58)</f>
        <v>919117.64705882361</v>
      </c>
    </row>
    <row r="59" spans="9:15" ht="19.5" x14ac:dyDescent="0.3">
      <c r="I59" s="20" t="s">
        <v>76</v>
      </c>
      <c r="J59" s="21">
        <v>4500</v>
      </c>
      <c r="K59" s="21">
        <v>5300</v>
      </c>
      <c r="L59" s="21">
        <v>7100</v>
      </c>
      <c r="M59" s="23">
        <f t="shared" ref="M59:M61" si="5">SUMPRODUCT($J$28:$L$28,J59:L59)</f>
        <v>2205882.3529411769</v>
      </c>
      <c r="N59" s="25" t="s">
        <v>60</v>
      </c>
      <c r="O59" s="21">
        <v>4000000</v>
      </c>
    </row>
    <row r="60" spans="9:15" ht="19.5" x14ac:dyDescent="0.3">
      <c r="I60" s="20" t="s">
        <v>18</v>
      </c>
      <c r="J60" s="21">
        <v>45</v>
      </c>
      <c r="K60" s="21">
        <v>61</v>
      </c>
      <c r="L60" s="21">
        <v>83</v>
      </c>
      <c r="M60" s="23">
        <f t="shared" si="5"/>
        <v>25000</v>
      </c>
      <c r="N60" s="25" t="s">
        <v>60</v>
      </c>
      <c r="O60" s="21">
        <v>25000</v>
      </c>
    </row>
    <row r="61" spans="9:15" ht="19.5" x14ac:dyDescent="0.3">
      <c r="I61" s="20" t="s">
        <v>77</v>
      </c>
      <c r="J61" s="21">
        <v>32</v>
      </c>
      <c r="K61" s="21">
        <v>41</v>
      </c>
      <c r="L61" s="21">
        <v>63</v>
      </c>
      <c r="M61" s="23">
        <f t="shared" si="5"/>
        <v>18290.441176470587</v>
      </c>
      <c r="N61" s="25" t="s">
        <v>60</v>
      </c>
      <c r="O61" s="21">
        <v>25000</v>
      </c>
    </row>
    <row r="62" spans="9:15" ht="19.5" x14ac:dyDescent="0.3">
      <c r="I62" s="20" t="s">
        <v>78</v>
      </c>
      <c r="J62" s="21"/>
      <c r="K62" s="21"/>
      <c r="L62" s="21">
        <v>1</v>
      </c>
      <c r="M62" s="23">
        <f>L57</f>
        <v>0</v>
      </c>
      <c r="N62" s="25" t="s">
        <v>60</v>
      </c>
      <c r="O62" s="24">
        <f>SUM(J57:K57)</f>
        <v>300</v>
      </c>
    </row>
    <row r="63" spans="9:15" ht="19.5" x14ac:dyDescent="0.3">
      <c r="I63" s="20" t="s">
        <v>58</v>
      </c>
      <c r="J63" s="21">
        <v>1</v>
      </c>
      <c r="K63" s="21"/>
      <c r="L63" s="21"/>
      <c r="M63" s="23">
        <f>J57</f>
        <v>300</v>
      </c>
      <c r="N63" s="25" t="s">
        <v>59</v>
      </c>
      <c r="O63" s="37">
        <f>K57</f>
        <v>0</v>
      </c>
    </row>
    <row r="64" spans="9:15" ht="19.5" x14ac:dyDescent="0.3">
      <c r="I64" s="20" t="s">
        <v>79</v>
      </c>
      <c r="J64" s="21">
        <v>1</v>
      </c>
      <c r="K64" s="21">
        <v>1</v>
      </c>
      <c r="L64" s="21">
        <v>1</v>
      </c>
      <c r="M64" s="23">
        <f>SUM(J57:L57)</f>
        <v>300</v>
      </c>
      <c r="N64" s="25" t="s">
        <v>57</v>
      </c>
      <c r="O64" s="36">
        <v>300</v>
      </c>
    </row>
  </sheetData>
  <phoneticPr fontId="1" type="noConversion"/>
  <pageMargins left="0.7" right="0.7" top="0.75" bottom="0.75" header="0.3" footer="0.3"/>
  <ignoredErrors>
    <ignoredError sqref="O3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Regression model</vt:lpstr>
      <vt:lpstr>Main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marso</dc:creator>
  <cp:lastModifiedBy>marso</cp:lastModifiedBy>
  <dcterms:created xsi:type="dcterms:W3CDTF">2021-05-08T03:09:36Z</dcterms:created>
  <dcterms:modified xsi:type="dcterms:W3CDTF">2021-05-09T20:49:56Z</dcterms:modified>
</cp:coreProperties>
</file>