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seto\Documents\Kelburn_Repository\Uber\3_Salary\"/>
    </mc:Choice>
  </mc:AlternateContent>
  <bookViews>
    <workbookView xWindow="0" yWindow="0" windowWidth="8805" windowHeight="3090" activeTab="2"/>
  </bookViews>
  <sheets>
    <sheet name="Sheet1" sheetId="1" r:id="rId1"/>
    <sheet name="Data_ELVT" sheetId="2" r:id="rId2"/>
    <sheet name="Moving" sheetId="3" r:id="rId3"/>
    <sheet name="Change" sheetId="4" r:id="rId4"/>
    <sheet name="Sheet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7" i="1"/>
  <c r="F24" i="1" s="1"/>
  <c r="F13" i="1"/>
  <c r="F27" i="1"/>
  <c r="F28" i="1"/>
  <c r="E5" i="1"/>
  <c r="E7" i="1"/>
  <c r="E13" i="1"/>
  <c r="E17" i="1"/>
  <c r="F17" i="1" s="1"/>
  <c r="E18" i="1"/>
  <c r="F18" i="1" s="1"/>
  <c r="E19" i="1"/>
  <c r="F19" i="1" s="1"/>
  <c r="E20" i="1"/>
  <c r="F20" i="1" s="1"/>
  <c r="E27" i="1"/>
  <c r="E28" i="1"/>
  <c r="C28" i="1"/>
  <c r="C27" i="1"/>
  <c r="C5" i="1"/>
  <c r="G6" i="1"/>
  <c r="E24" i="1" l="1"/>
  <c r="E7" i="4"/>
  <c r="D7" i="4"/>
  <c r="E6" i="4"/>
  <c r="D6" i="4"/>
  <c r="E5" i="4"/>
  <c r="D5" i="4"/>
  <c r="E4" i="4"/>
  <c r="D4" i="4"/>
  <c r="E3" i="4"/>
  <c r="D3" i="4"/>
  <c r="A3" i="4"/>
  <c r="A4" i="4" s="1"/>
  <c r="A5" i="4" s="1"/>
  <c r="A6" i="4" s="1"/>
  <c r="A7" i="4" s="1"/>
  <c r="E2" i="4"/>
  <c r="D2" i="4"/>
  <c r="B9" i="3" l="1"/>
  <c r="B16" i="3"/>
  <c r="B19" i="3"/>
  <c r="B20" i="3"/>
  <c r="B10" i="3" l="1"/>
  <c r="G4" i="1"/>
  <c r="L13" i="1" l="1"/>
  <c r="J13" i="1"/>
  <c r="I13" i="1"/>
  <c r="X22" i="1"/>
  <c r="J4" i="1"/>
  <c r="J28" i="1"/>
  <c r="J27" i="1"/>
  <c r="J15" i="1"/>
  <c r="J14" i="1"/>
  <c r="V26" i="1"/>
  <c r="X14" i="1"/>
  <c r="W15" i="1" s="1"/>
  <c r="W23" i="1" l="1"/>
  <c r="W24" i="1" s="1"/>
  <c r="X15" i="1"/>
  <c r="W18" i="1" s="1"/>
  <c r="I28" i="1"/>
  <c r="I27" i="1"/>
  <c r="I15" i="1"/>
  <c r="I14" i="1"/>
  <c r="H28" i="1"/>
  <c r="H27" i="1"/>
  <c r="H15" i="1"/>
  <c r="H14" i="1"/>
  <c r="H13" i="1"/>
  <c r="G15" i="1"/>
  <c r="Q15" i="1" s="1"/>
  <c r="G14" i="1"/>
  <c r="P14" i="1" s="1"/>
  <c r="Q7" i="1"/>
  <c r="P7" i="1"/>
  <c r="P4" i="1"/>
  <c r="Q4" i="1"/>
  <c r="G28" i="1"/>
  <c r="G27" i="1"/>
  <c r="G13" i="1"/>
  <c r="Q13" i="1" s="1"/>
  <c r="G24" i="1"/>
  <c r="X23" i="1" l="1"/>
  <c r="P13" i="1"/>
  <c r="Q14" i="1"/>
  <c r="P15" i="1"/>
  <c r="W25" i="1"/>
  <c r="X25" i="1" s="1"/>
  <c r="X24" i="1"/>
  <c r="W26" i="1" l="1"/>
  <c r="X26" i="1" s="1"/>
  <c r="Y26" i="1" s="1"/>
  <c r="V18" i="1" s="1"/>
  <c r="X18" i="1" s="1"/>
  <c r="Y15" i="1" s="1"/>
  <c r="L6" i="1" s="1"/>
  <c r="H6" i="1" l="1"/>
  <c r="N6" i="1" s="1"/>
  <c r="H5" i="1"/>
  <c r="J5" i="1" s="1"/>
  <c r="V11" i="1"/>
  <c r="X11" i="1" s="1"/>
  <c r="AB4" i="1"/>
  <c r="AC4" i="1" s="1"/>
  <c r="B5" i="1"/>
  <c r="AC5" i="1"/>
  <c r="W8" i="1"/>
  <c r="X8" i="1" s="1"/>
  <c r="X5" i="1"/>
  <c r="W4" i="1"/>
  <c r="X4" i="1" s="1"/>
  <c r="B28" i="1"/>
  <c r="B27" i="1"/>
  <c r="E12" i="1" l="1"/>
  <c r="E32" i="1" s="1"/>
  <c r="E34" i="1" s="1"/>
  <c r="F12" i="1"/>
  <c r="F32" i="1" s="1"/>
  <c r="F29" i="1"/>
  <c r="F33" i="1" s="1"/>
  <c r="E29" i="1"/>
  <c r="E33" i="1" s="1"/>
  <c r="J29" i="1"/>
  <c r="J33" i="1" s="1"/>
  <c r="J12" i="1"/>
  <c r="C29" i="1"/>
  <c r="C33" i="1" s="1"/>
  <c r="B29" i="1"/>
  <c r="B33" i="1" s="1"/>
  <c r="C6" i="1"/>
  <c r="B6" i="1"/>
  <c r="B24" i="1" s="1"/>
  <c r="B10" i="1"/>
  <c r="P10" i="1" s="1"/>
  <c r="C10" i="1"/>
  <c r="I6" i="1"/>
  <c r="H24" i="1"/>
  <c r="N5" i="1"/>
  <c r="K6" i="1" s="1"/>
  <c r="I5" i="1"/>
  <c r="I12" i="1"/>
  <c r="G12" i="1"/>
  <c r="H12" i="1"/>
  <c r="P27" i="1"/>
  <c r="Q27" i="1"/>
  <c r="P5" i="1"/>
  <c r="Q5" i="1"/>
  <c r="P28" i="1"/>
  <c r="Q28" i="1"/>
  <c r="G29" i="1"/>
  <c r="H29" i="1"/>
  <c r="H33" i="1" s="1"/>
  <c r="I29" i="1"/>
  <c r="I33" i="1" s="1"/>
  <c r="G18" i="1"/>
  <c r="G19" i="1"/>
  <c r="G20" i="1"/>
  <c r="F34" i="1" l="1"/>
  <c r="Q10" i="1"/>
  <c r="C24" i="1"/>
  <c r="C32" i="1"/>
  <c r="C34" i="1" s="1"/>
  <c r="I4" i="1"/>
  <c r="N4" i="1" s="1"/>
  <c r="J6" i="1"/>
  <c r="J24" i="1"/>
  <c r="Q29" i="1"/>
  <c r="P29" i="1"/>
  <c r="G33" i="1"/>
  <c r="Q20" i="1"/>
  <c r="P20" i="1"/>
  <c r="H20" i="1"/>
  <c r="I20" i="1" s="1"/>
  <c r="J20" i="1" s="1"/>
  <c r="P19" i="1"/>
  <c r="H19" i="1"/>
  <c r="I19" i="1" s="1"/>
  <c r="J19" i="1" s="1"/>
  <c r="Q19" i="1"/>
  <c r="G17" i="1"/>
  <c r="G32" i="1" s="1"/>
  <c r="P24" i="1"/>
  <c r="Q24" i="1"/>
  <c r="Q18" i="1"/>
  <c r="H18" i="1"/>
  <c r="I18" i="1" s="1"/>
  <c r="J18" i="1" s="1"/>
  <c r="P18" i="1"/>
  <c r="Q6" i="1"/>
  <c r="P6" i="1"/>
  <c r="P12" i="1"/>
  <c r="Q12" i="1"/>
  <c r="B32" i="1"/>
  <c r="I24" i="1" l="1"/>
  <c r="G34" i="1"/>
  <c r="P32" i="1"/>
  <c r="Q32" i="1"/>
  <c r="Q17" i="1"/>
  <c r="P17" i="1"/>
  <c r="H17" i="1"/>
  <c r="P33" i="1"/>
  <c r="Q33" i="1"/>
  <c r="B34" i="1"/>
  <c r="Q34" i="1" l="1"/>
  <c r="P34" i="1"/>
  <c r="I17" i="1"/>
  <c r="H32" i="1"/>
  <c r="H34" i="1" s="1"/>
  <c r="I32" i="1" l="1"/>
  <c r="I34" i="1" s="1"/>
  <c r="J17" i="1"/>
  <c r="J32" i="1" s="1"/>
  <c r="J34" i="1" s="1"/>
</calcChain>
</file>

<file path=xl/sharedStrings.xml><?xml version="1.0" encoding="utf-8"?>
<sst xmlns="http://schemas.openxmlformats.org/spreadsheetml/2006/main" count="164" uniqueCount="121">
  <si>
    <t>Salary</t>
  </si>
  <si>
    <t>Bonus</t>
  </si>
  <si>
    <t>ELVT</t>
  </si>
  <si>
    <t>UB</t>
  </si>
  <si>
    <t>Housing</t>
  </si>
  <si>
    <t>Food</t>
  </si>
  <si>
    <t>Transportation</t>
  </si>
  <si>
    <t>RSU</t>
  </si>
  <si>
    <t>Health</t>
  </si>
  <si>
    <t>Total</t>
  </si>
  <si>
    <t>Gross Salary</t>
  </si>
  <si>
    <t>EBITDA</t>
  </si>
  <si>
    <t>Costs</t>
  </si>
  <si>
    <t>Compensation</t>
  </si>
  <si>
    <t>Companies</t>
  </si>
  <si>
    <t>Flights to LA</t>
  </si>
  <si>
    <t>Cost</t>
  </si>
  <si>
    <t>Units</t>
  </si>
  <si>
    <t>Gas</t>
  </si>
  <si>
    <t>Vacations</t>
  </si>
  <si>
    <t>Free Food</t>
  </si>
  <si>
    <t>Lunch</t>
  </si>
  <si>
    <t>%</t>
  </si>
  <si>
    <t>$</t>
  </si>
  <si>
    <t>85% of Lowest Price</t>
  </si>
  <si>
    <t>401k Match</t>
  </si>
  <si>
    <t>Dental</t>
  </si>
  <si>
    <t>Vision</t>
  </si>
  <si>
    <t>Life</t>
  </si>
  <si>
    <t>Stock Award</t>
  </si>
  <si>
    <t>Ideal</t>
  </si>
  <si>
    <t>Total Compensation</t>
  </si>
  <si>
    <t>Total Costs</t>
  </si>
  <si>
    <t>Summary</t>
  </si>
  <si>
    <t>Type</t>
  </si>
  <si>
    <t>Hours</t>
  </si>
  <si>
    <t>Amount</t>
  </si>
  <si>
    <t>Annual Bonus</t>
  </si>
  <si>
    <t>Bike Reimbursem</t>
  </si>
  <si>
    <t>Expense Reimbur</t>
  </si>
  <si>
    <t>Floating Holida</t>
  </si>
  <si>
    <t>Holiday Salary</t>
  </si>
  <si>
    <t>Paid Time Off</t>
  </si>
  <si>
    <t>Regular Earning</t>
  </si>
  <si>
    <t>Sign-On Bonus</t>
  </si>
  <si>
    <t>Deductions</t>
  </si>
  <si>
    <t>Employee Amount</t>
  </si>
  <si>
    <t>Employer Amount</t>
  </si>
  <si>
    <t>401k Percent</t>
  </si>
  <si>
    <t>Dental Standard</t>
  </si>
  <si>
    <t>FSA Health Care</t>
  </si>
  <si>
    <t>GTL Life</t>
  </si>
  <si>
    <t>Medical Standar</t>
  </si>
  <si>
    <t>Roth</t>
  </si>
  <si>
    <t>Taxes</t>
  </si>
  <si>
    <t>CA Disability Employee</t>
  </si>
  <si>
    <t>CA State Income Tax</t>
  </si>
  <si>
    <t>Federal Income Tax</t>
  </si>
  <si>
    <t>Employee Medicare</t>
  </si>
  <si>
    <t>Social Security Employee Tax</t>
  </si>
  <si>
    <t>Relocation</t>
  </si>
  <si>
    <t>Offerred</t>
  </si>
  <si>
    <t>Cell Phone Credits</t>
  </si>
  <si>
    <t>Fitness Reimbursement</t>
  </si>
  <si>
    <t>Discounted</t>
  </si>
  <si>
    <t>Counter</t>
  </si>
  <si>
    <t>Delta</t>
  </si>
  <si>
    <t>All Cash</t>
  </si>
  <si>
    <t>All RSU</t>
  </si>
  <si>
    <t>Stock Discount</t>
  </si>
  <si>
    <t>Low</t>
  </si>
  <si>
    <t>Factors</t>
  </si>
  <si>
    <t>Valuation Discount</t>
  </si>
  <si>
    <t>Company Valuation</t>
  </si>
  <si>
    <t>Discount</t>
  </si>
  <si>
    <t>Stock Price</t>
  </si>
  <si>
    <t>Year 1</t>
  </si>
  <si>
    <t>Year 2</t>
  </si>
  <si>
    <t>Year 3</t>
  </si>
  <si>
    <t>Year 4</t>
  </si>
  <si>
    <t>Year</t>
  </si>
  <si>
    <t>RSU Value</t>
  </si>
  <si>
    <t>Time Discount</t>
  </si>
  <si>
    <t>Total Discount</t>
  </si>
  <si>
    <t>Discount Price</t>
  </si>
  <si>
    <t>Blend</t>
  </si>
  <si>
    <t>Time Pricing</t>
  </si>
  <si>
    <t>Uber Credits</t>
  </si>
  <si>
    <t>Hotel</t>
  </si>
  <si>
    <t>Moving Supplies</t>
  </si>
  <si>
    <t>Mileage</t>
  </si>
  <si>
    <t>Cargo Van Rental</t>
  </si>
  <si>
    <t>Move</t>
  </si>
  <si>
    <t>Car Rental</t>
  </si>
  <si>
    <t>Flight</t>
  </si>
  <si>
    <t>Activity</t>
  </si>
  <si>
    <t>Apartment Scouting</t>
  </si>
  <si>
    <t>Company</t>
  </si>
  <si>
    <t>% Increase</t>
  </si>
  <si>
    <t>DOT</t>
  </si>
  <si>
    <t>UBER</t>
  </si>
  <si>
    <t>Mover</t>
  </si>
  <si>
    <t>Pods</t>
  </si>
  <si>
    <t>Uhaul</t>
  </si>
  <si>
    <t>Actual</t>
  </si>
  <si>
    <t>Option 1</t>
  </si>
  <si>
    <t>Option 2</t>
  </si>
  <si>
    <t>Option 3</t>
  </si>
  <si>
    <t>Hand Truck</t>
  </si>
  <si>
    <t>Home - SAN</t>
  </si>
  <si>
    <t>SAN - Home</t>
  </si>
  <si>
    <t>Car Move</t>
  </si>
  <si>
    <t>Box Truck</t>
  </si>
  <si>
    <t>San Diego to PA</t>
  </si>
  <si>
    <t>Ship Car</t>
  </si>
  <si>
    <t>Boxes</t>
  </si>
  <si>
    <t>Shorty Wardrobe</t>
  </si>
  <si>
    <t>Long</t>
  </si>
  <si>
    <t>Quantity</t>
  </si>
  <si>
    <t>Bankers Box Lids</t>
  </si>
  <si>
    <t>Moving Blankets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</si>
</sst>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5A5A5A"/>
      <name val="Arial"/>
      <family val="2"/>
    </font>
    <font>
      <b/>
      <sz val="10"/>
      <color rgb="FF5A5A5A"/>
      <name val="Arial"/>
      <family val="2"/>
    </font>
    <font>
      <sz val="11"/>
      <color rgb="FF5A5A5A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rgb="FF5A5A5A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EDEDE"/>
      </right>
      <top/>
      <bottom style="thick">
        <color rgb="FF9F9F9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3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2" applyNumberFormat="1" applyFont="1"/>
    <xf numFmtId="164" fontId="3" fillId="0" borderId="0" xfId="2" applyNumberFormat="1" applyFont="1" applyAlignment="1">
      <alignment horizontal="center" vertical="center"/>
    </xf>
    <xf numFmtId="164" fontId="3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3" fillId="0" borderId="0" xfId="2" applyNumberFormat="1" applyFont="1" applyAlignment="1">
      <alignment horizontal="center"/>
    </xf>
    <xf numFmtId="165" fontId="0" fillId="0" borderId="0" xfId="0" applyNumberFormat="1"/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right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right" vertical="top" wrapText="1"/>
    </xf>
    <xf numFmtId="8" fontId="6" fillId="3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right" vertical="top" wrapText="1"/>
    </xf>
    <xf numFmtId="8" fontId="6" fillId="4" borderId="0" xfId="0" applyNumberFormat="1" applyFont="1" applyFill="1" applyAlignment="1">
      <alignment horizontal="right" vertical="top" wrapText="1"/>
    </xf>
    <xf numFmtId="4" fontId="6" fillId="3" borderId="0" xfId="0" applyNumberFormat="1" applyFont="1" applyFill="1" applyAlignment="1">
      <alignment horizontal="right" vertical="top" wrapText="1"/>
    </xf>
    <xf numFmtId="0" fontId="4" fillId="3" borderId="0" xfId="0" applyFont="1" applyFill="1" applyAlignment="1">
      <alignment horizontal="left" vertical="top" wrapText="1"/>
    </xf>
    <xf numFmtId="4" fontId="4" fillId="3" borderId="0" xfId="0" applyNumberFormat="1" applyFont="1" applyFill="1" applyAlignment="1">
      <alignment horizontal="right" vertical="top" wrapText="1"/>
    </xf>
    <xf numFmtId="8" fontId="4" fillId="3" borderId="0" xfId="0" applyNumberFormat="1" applyFont="1" applyFill="1" applyAlignment="1">
      <alignment horizontal="right" vertical="top" wrapText="1"/>
    </xf>
    <xf numFmtId="0" fontId="8" fillId="3" borderId="0" xfId="0" applyFont="1" applyFill="1" applyAlignment="1">
      <alignment horizontal="left" vertical="top" wrapText="1"/>
    </xf>
    <xf numFmtId="8" fontId="8" fillId="3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left" vertical="top" wrapText="1"/>
    </xf>
    <xf numFmtId="8" fontId="8" fillId="4" borderId="0" xfId="0" applyNumberFormat="1" applyFont="1" applyFill="1" applyAlignment="1">
      <alignment horizontal="right" vertical="top" wrapText="1"/>
    </xf>
    <xf numFmtId="0" fontId="7" fillId="3" borderId="0" xfId="0" applyFont="1" applyFill="1" applyAlignment="1">
      <alignment horizontal="left" vertical="top" wrapText="1"/>
    </xf>
    <xf numFmtId="8" fontId="7" fillId="3" borderId="0" xfId="0" applyNumberFormat="1" applyFont="1" applyFill="1" applyAlignment="1">
      <alignment horizontal="right" vertical="top" wrapText="1"/>
    </xf>
    <xf numFmtId="0" fontId="9" fillId="0" borderId="0" xfId="0" applyFont="1" applyAlignment="1">
      <alignment vertical="center"/>
    </xf>
    <xf numFmtId="164" fontId="0" fillId="0" borderId="0" xfId="0" applyNumberFormat="1"/>
    <xf numFmtId="0" fontId="3" fillId="5" borderId="0" xfId="0" applyFont="1" applyFill="1" applyAlignment="1">
      <alignment horizontal="center"/>
    </xf>
    <xf numFmtId="0" fontId="10" fillId="0" borderId="0" xfId="0" applyFont="1"/>
    <xf numFmtId="9" fontId="0" fillId="0" borderId="0" xfId="0" applyNumberFormat="1"/>
    <xf numFmtId="164" fontId="0" fillId="5" borderId="0" xfId="2" applyNumberFormat="1" applyFont="1" applyFill="1"/>
    <xf numFmtId="164" fontId="0" fillId="0" borderId="0" xfId="2" applyNumberFormat="1" applyFont="1" applyFill="1"/>
    <xf numFmtId="44" fontId="0" fillId="5" borderId="0" xfId="0" applyNumberFormat="1" applyFont="1" applyFill="1"/>
    <xf numFmtId="165" fontId="0" fillId="5" borderId="0" xfId="1" applyNumberFormat="1" applyFont="1" applyFill="1"/>
    <xf numFmtId="164" fontId="10" fillId="0" borderId="0" xfId="2" applyNumberFormat="1" applyFont="1" applyAlignment="1">
      <alignment horizontal="center"/>
    </xf>
    <xf numFmtId="0" fontId="0" fillId="0" borderId="0" xfId="0" applyFont="1"/>
    <xf numFmtId="44" fontId="0" fillId="0" borderId="0" xfId="2" applyFont="1"/>
    <xf numFmtId="166" fontId="0" fillId="0" borderId="0" xfId="0" applyNumberFormat="1"/>
    <xf numFmtId="166" fontId="0" fillId="0" borderId="0" xfId="0" applyNumberFormat="1" applyFont="1"/>
    <xf numFmtId="166" fontId="10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4"/>
  <sheetViews>
    <sheetView topLeftCell="A5" zoomScale="85" zoomScaleNormal="85" workbookViewId="0">
      <selection activeCell="E29" sqref="E29"/>
    </sheetView>
  </sheetViews>
  <sheetFormatPr defaultRowHeight="15" x14ac:dyDescent="0.25"/>
  <cols>
    <col min="1" max="1" width="22.42578125" style="11" bestFit="1" customWidth="1"/>
    <col min="2" max="2" width="12.28515625" style="7" bestFit="1" customWidth="1"/>
    <col min="3" max="4" width="12.28515625" style="7" customWidth="1"/>
    <col min="5" max="5" width="10" style="7" bestFit="1" customWidth="1"/>
    <col min="6" max="7" width="10" bestFit="1" customWidth="1"/>
    <col min="8" max="8" width="12.42578125" style="7" bestFit="1" customWidth="1"/>
    <col min="9" max="9" width="10" bestFit="1" customWidth="1"/>
    <col min="10" max="10" width="11.5703125" bestFit="1" customWidth="1"/>
    <col min="11" max="11" width="5.42578125" bestFit="1" customWidth="1"/>
    <col min="12" max="12" width="12.42578125" style="7" customWidth="1"/>
    <col min="13" max="13" width="10" customWidth="1"/>
    <col min="14" max="14" width="9" bestFit="1" customWidth="1"/>
    <col min="15" max="15" width="10" customWidth="1"/>
    <col min="16" max="16" width="10" style="7" bestFit="1" customWidth="1"/>
    <col min="17" max="17" width="7.7109375" bestFit="1" customWidth="1"/>
    <col min="21" max="21" width="18.5703125" bestFit="1" customWidth="1"/>
    <col min="22" max="22" width="13.7109375" bestFit="1" customWidth="1"/>
    <col min="23" max="23" width="18" bestFit="1" customWidth="1"/>
    <col min="24" max="24" width="15.140625" style="7" bestFit="1" customWidth="1"/>
    <col min="25" max="25" width="13.7109375" bestFit="1" customWidth="1"/>
    <col min="26" max="26" width="18.7109375" bestFit="1" customWidth="1"/>
    <col min="27" max="27" width="4.85546875" bestFit="1" customWidth="1"/>
    <col min="28" max="29" width="7" bestFit="1" customWidth="1"/>
  </cols>
  <sheetData>
    <row r="1" spans="1:29" x14ac:dyDescent="0.25">
      <c r="M1" s="14"/>
    </row>
    <row r="2" spans="1:29" x14ac:dyDescent="0.25">
      <c r="B2" s="9" t="s">
        <v>14</v>
      </c>
      <c r="C2" s="9"/>
      <c r="D2" s="9"/>
      <c r="I2" s="6" t="s">
        <v>65</v>
      </c>
    </row>
    <row r="3" spans="1:29" s="4" customFormat="1" x14ac:dyDescent="0.25">
      <c r="A3" s="6" t="s">
        <v>13</v>
      </c>
      <c r="B3" s="8" t="s">
        <v>2</v>
      </c>
      <c r="C3" s="8" t="s">
        <v>65</v>
      </c>
      <c r="D3" s="8"/>
      <c r="E3" s="8" t="s">
        <v>3</v>
      </c>
      <c r="F3" s="6" t="s">
        <v>30</v>
      </c>
      <c r="G3" s="6" t="s">
        <v>61</v>
      </c>
      <c r="H3" s="13" t="s">
        <v>64</v>
      </c>
      <c r="I3" s="36" t="s">
        <v>67</v>
      </c>
      <c r="J3" s="36" t="s">
        <v>68</v>
      </c>
      <c r="K3" s="6"/>
      <c r="L3" s="42" t="s">
        <v>85</v>
      </c>
      <c r="M3" s="6"/>
      <c r="N3" s="35" t="s">
        <v>66</v>
      </c>
      <c r="O3" s="6"/>
      <c r="P3" s="8" t="s">
        <v>23</v>
      </c>
      <c r="Q3" s="5" t="s">
        <v>22</v>
      </c>
      <c r="U3" s="6" t="s">
        <v>6</v>
      </c>
      <c r="V3" s="6" t="s">
        <v>16</v>
      </c>
      <c r="W3" s="6" t="s">
        <v>17</v>
      </c>
      <c r="X3" s="13" t="s">
        <v>9</v>
      </c>
      <c r="Z3" s="6" t="s">
        <v>7</v>
      </c>
      <c r="AA3" s="6" t="s">
        <v>16</v>
      </c>
      <c r="AB3" s="6" t="s">
        <v>17</v>
      </c>
      <c r="AC3" s="6" t="s">
        <v>9</v>
      </c>
    </row>
    <row r="4" spans="1:29" x14ac:dyDescent="0.25">
      <c r="A4" s="11" t="s">
        <v>0</v>
      </c>
      <c r="B4" s="7">
        <v>96000</v>
      </c>
      <c r="C4" s="7">
        <v>96000</v>
      </c>
      <c r="E4" s="7">
        <v>120000</v>
      </c>
      <c r="F4" s="7">
        <v>140000</v>
      </c>
      <c r="G4" s="7">
        <f>140000+5000</f>
        <v>145000</v>
      </c>
      <c r="H4" s="7">
        <v>140000</v>
      </c>
      <c r="I4" s="38">
        <f>H4+(SUM(N5:N6))</f>
        <v>165281.4211064674</v>
      </c>
      <c r="J4" s="39">
        <f>H4</f>
        <v>140000</v>
      </c>
      <c r="K4" s="7"/>
      <c r="L4" s="38">
        <v>10000</v>
      </c>
      <c r="M4" s="7"/>
      <c r="N4" s="1">
        <f>(I4-H4)/H4</f>
        <v>0.18058157933191002</v>
      </c>
      <c r="O4" s="7"/>
      <c r="P4" s="7">
        <f>G4-B4</f>
        <v>49000</v>
      </c>
      <c r="Q4" s="1">
        <f>(G4-B4)/B4</f>
        <v>0.51041666666666663</v>
      </c>
      <c r="U4" t="s">
        <v>15</v>
      </c>
      <c r="V4">
        <v>150</v>
      </c>
      <c r="W4">
        <f>52/3</f>
        <v>17.333333333333332</v>
      </c>
      <c r="X4" s="7">
        <f>W4*V4</f>
        <v>2600</v>
      </c>
      <c r="Z4" t="s">
        <v>24</v>
      </c>
      <c r="AA4">
        <v>8</v>
      </c>
      <c r="AB4" s="10">
        <f>((B4*0.15))/AA4</f>
        <v>1800</v>
      </c>
      <c r="AC4" s="14">
        <f>(AB4*AA4)*0.15</f>
        <v>2160</v>
      </c>
    </row>
    <row r="5" spans="1:29" x14ac:dyDescent="0.25">
      <c r="A5" s="11" t="s">
        <v>1</v>
      </c>
      <c r="B5" s="7">
        <f>B4*0.06</f>
        <v>5760</v>
      </c>
      <c r="C5" s="7">
        <f>C4*0.06</f>
        <v>5760</v>
      </c>
      <c r="E5" s="7">
        <f>E4*0.1</f>
        <v>12000</v>
      </c>
      <c r="F5" s="7">
        <f>F4*0.15</f>
        <v>21000</v>
      </c>
      <c r="G5" s="7">
        <v>40000</v>
      </c>
      <c r="H5" s="7">
        <f>(40000*0.8*X18)+(0.2*40000)</f>
        <v>32306.542956521738</v>
      </c>
      <c r="I5" s="7">
        <f>H5</f>
        <v>32306.542956521738</v>
      </c>
      <c r="J5" s="7">
        <f>H5</f>
        <v>32306.542956521738</v>
      </c>
      <c r="K5" s="7"/>
      <c r="M5" s="7"/>
      <c r="N5" s="34">
        <f>G5-H5</f>
        <v>7693.4570434782618</v>
      </c>
      <c r="O5" s="34"/>
      <c r="P5" s="7">
        <f>G5-B5</f>
        <v>34240</v>
      </c>
      <c r="Q5" s="1">
        <f>(G5-B5)/B5</f>
        <v>5.9444444444444446</v>
      </c>
      <c r="U5" t="s">
        <v>18</v>
      </c>
      <c r="V5">
        <v>80</v>
      </c>
      <c r="W5">
        <v>12</v>
      </c>
      <c r="X5" s="7">
        <f>W5*V5</f>
        <v>960</v>
      </c>
      <c r="Z5" t="s">
        <v>29</v>
      </c>
      <c r="AA5">
        <v>8</v>
      </c>
      <c r="AB5">
        <v>50</v>
      </c>
      <c r="AC5">
        <f>AB5*AA5</f>
        <v>400</v>
      </c>
    </row>
    <row r="6" spans="1:29" x14ac:dyDescent="0.25">
      <c r="A6" s="11" t="s">
        <v>7</v>
      </c>
      <c r="B6" s="7">
        <f>SUM($AC$4:$AC$5)</f>
        <v>2560</v>
      </c>
      <c r="C6" s="7">
        <f>SUM($AC$4:$AC$5)</f>
        <v>2560</v>
      </c>
      <c r="E6" s="7">
        <v>20000</v>
      </c>
      <c r="F6" s="7">
        <v>20000</v>
      </c>
      <c r="G6" s="7">
        <f>0.25*6000*V15</f>
        <v>73155</v>
      </c>
      <c r="H6" s="7">
        <f>G6*X18</f>
        <v>55567.035937010871</v>
      </c>
      <c r="I6" s="7">
        <f>H6</f>
        <v>55567.035937010871</v>
      </c>
      <c r="J6" s="40">
        <f>H6+(SUM(N5:N6))</f>
        <v>80848.457043478265</v>
      </c>
      <c r="K6" s="41">
        <f>SUM(N5:N6)/Y15</f>
        <v>682.45734220354097</v>
      </c>
      <c r="L6" s="7">
        <f>M6*Y15</f>
        <v>11113.407187402174</v>
      </c>
      <c r="M6" s="41">
        <v>300</v>
      </c>
      <c r="N6" s="34">
        <f>G6-H6</f>
        <v>17587.964062989129</v>
      </c>
      <c r="O6" s="34"/>
      <c r="P6" s="7">
        <f>G6-B6</f>
        <v>70595</v>
      </c>
      <c r="Q6" s="1">
        <f>(G6-B6)/B6</f>
        <v>27.576171875</v>
      </c>
    </row>
    <row r="7" spans="1:29" x14ac:dyDescent="0.25">
      <c r="A7" s="11" t="s">
        <v>25</v>
      </c>
      <c r="B7" s="7">
        <v>3286.59</v>
      </c>
      <c r="C7" s="7">
        <v>3286.59</v>
      </c>
      <c r="E7" s="7">
        <f>E4*0.03</f>
        <v>3600</v>
      </c>
      <c r="F7" s="7">
        <f>12*300</f>
        <v>3600</v>
      </c>
      <c r="G7" s="7">
        <v>0</v>
      </c>
      <c r="H7" s="7">
        <v>0</v>
      </c>
      <c r="I7" s="7">
        <v>0</v>
      </c>
      <c r="J7" s="7">
        <v>0</v>
      </c>
      <c r="K7" s="7"/>
      <c r="M7" s="7"/>
      <c r="P7" s="7">
        <f>G7-B7</f>
        <v>-3286.59</v>
      </c>
      <c r="Q7" s="1">
        <f>(G7-B7)/B7</f>
        <v>-1</v>
      </c>
      <c r="U7" s="3" t="s">
        <v>20</v>
      </c>
      <c r="V7" s="3" t="s">
        <v>16</v>
      </c>
      <c r="W7" s="3" t="s">
        <v>17</v>
      </c>
      <c r="X7" s="9" t="s">
        <v>9</v>
      </c>
      <c r="Z7" s="3" t="s">
        <v>4</v>
      </c>
    </row>
    <row r="8" spans="1:29" x14ac:dyDescent="0.25">
      <c r="A8" s="11" t="s">
        <v>60</v>
      </c>
      <c r="E8" s="7">
        <v>10000</v>
      </c>
      <c r="F8" s="7">
        <v>10000</v>
      </c>
      <c r="G8" s="7">
        <v>0</v>
      </c>
      <c r="H8" s="7">
        <v>0</v>
      </c>
      <c r="I8" s="7">
        <v>3000</v>
      </c>
      <c r="J8" s="7">
        <v>3000</v>
      </c>
      <c r="K8" s="7"/>
      <c r="M8" s="7"/>
      <c r="Q8" s="1"/>
      <c r="U8" t="s">
        <v>21</v>
      </c>
      <c r="V8">
        <v>10</v>
      </c>
      <c r="W8">
        <f>(52-4)*5</f>
        <v>240</v>
      </c>
      <c r="X8" s="7">
        <f>W8*V8</f>
        <v>2400</v>
      </c>
    </row>
    <row r="9" spans="1:29" x14ac:dyDescent="0.25">
      <c r="F9" s="7"/>
      <c r="G9" s="7"/>
      <c r="I9" s="7"/>
      <c r="J9" s="7"/>
      <c r="K9" s="7"/>
      <c r="M9" s="7"/>
      <c r="Q9" s="1"/>
    </row>
    <row r="10" spans="1:29" x14ac:dyDescent="0.25">
      <c r="A10" s="11" t="s">
        <v>19</v>
      </c>
      <c r="B10" s="7">
        <f>$X$11</f>
        <v>8400</v>
      </c>
      <c r="C10" s="7">
        <f>$X$11</f>
        <v>8400</v>
      </c>
      <c r="F10" s="7"/>
      <c r="G10" s="7"/>
      <c r="I10" s="7"/>
      <c r="J10" s="7"/>
      <c r="K10" s="7"/>
      <c r="M10" s="7"/>
      <c r="P10" s="7">
        <f>G10-B10</f>
        <v>-8400</v>
      </c>
      <c r="Q10" s="1">
        <f>(G10-B10)/B10</f>
        <v>-1</v>
      </c>
      <c r="U10" s="3" t="s">
        <v>19</v>
      </c>
      <c r="V10" s="3" t="s">
        <v>16</v>
      </c>
      <c r="W10" s="3" t="s">
        <v>17</v>
      </c>
      <c r="X10" s="9" t="s">
        <v>9</v>
      </c>
    </row>
    <row r="11" spans="1:29" x14ac:dyDescent="0.25">
      <c r="U11" t="s">
        <v>2</v>
      </c>
      <c r="V11">
        <f>50*8</f>
        <v>400</v>
      </c>
      <c r="W11">
        <v>21</v>
      </c>
      <c r="X11" s="7">
        <f>W11*V11</f>
        <v>8400</v>
      </c>
    </row>
    <row r="12" spans="1:29" x14ac:dyDescent="0.25">
      <c r="A12" s="11" t="s">
        <v>20</v>
      </c>
      <c r="E12" s="7">
        <f t="shared" ref="E12:J12" si="0">$X$8</f>
        <v>2400</v>
      </c>
      <c r="F12" s="7">
        <f t="shared" si="0"/>
        <v>2400</v>
      </c>
      <c r="G12" s="7">
        <f t="shared" si="0"/>
        <v>2400</v>
      </c>
      <c r="H12" s="7">
        <f t="shared" si="0"/>
        <v>2400</v>
      </c>
      <c r="I12" s="7">
        <f t="shared" si="0"/>
        <v>2400</v>
      </c>
      <c r="J12" s="7">
        <f t="shared" si="0"/>
        <v>2400</v>
      </c>
      <c r="K12" s="7"/>
      <c r="M12" s="7"/>
      <c r="P12" s="7">
        <f>G12-B12</f>
        <v>2400</v>
      </c>
      <c r="Q12" s="1" t="e">
        <f>(G12-B12)/B12</f>
        <v>#DIV/0!</v>
      </c>
    </row>
    <row r="13" spans="1:29" x14ac:dyDescent="0.25">
      <c r="A13" s="11" t="s">
        <v>87</v>
      </c>
      <c r="E13" s="7">
        <f>12*300</f>
        <v>3600</v>
      </c>
      <c r="F13" s="7">
        <f>12*300</f>
        <v>3600</v>
      </c>
      <c r="G13" s="7">
        <f>200*12</f>
        <v>2400</v>
      </c>
      <c r="H13" s="7">
        <f>200*12</f>
        <v>2400</v>
      </c>
      <c r="I13" s="7">
        <f t="shared" ref="I13:J13" si="1">200*12</f>
        <v>2400</v>
      </c>
      <c r="J13" s="7">
        <f t="shared" si="1"/>
        <v>2400</v>
      </c>
      <c r="K13" s="7"/>
      <c r="L13" s="7">
        <f>200*12</f>
        <v>2400</v>
      </c>
      <c r="M13" s="7"/>
      <c r="P13" s="7">
        <f>G13-B13</f>
        <v>2400</v>
      </c>
      <c r="Q13" s="1" t="e">
        <f>(G13-B13)/B13</f>
        <v>#DIV/0!</v>
      </c>
      <c r="U13" s="3" t="s">
        <v>69</v>
      </c>
      <c r="V13" t="s">
        <v>30</v>
      </c>
      <c r="W13" t="s">
        <v>70</v>
      </c>
      <c r="X13" s="7" t="s">
        <v>74</v>
      </c>
      <c r="Y13" t="s">
        <v>84</v>
      </c>
    </row>
    <row r="14" spans="1:29" x14ac:dyDescent="0.25">
      <c r="A14" s="11" t="s">
        <v>62</v>
      </c>
      <c r="F14" s="7"/>
      <c r="G14" s="7">
        <f>12*50</f>
        <v>600</v>
      </c>
      <c r="H14" s="7">
        <f>12*50</f>
        <v>600</v>
      </c>
      <c r="I14" s="7">
        <f>12*50</f>
        <v>600</v>
      </c>
      <c r="J14" s="7">
        <f>12*50</f>
        <v>600</v>
      </c>
      <c r="K14" s="7"/>
      <c r="M14" s="7"/>
      <c r="P14" s="7">
        <f>G14-B14</f>
        <v>600</v>
      </c>
      <c r="Q14" s="1" t="e">
        <f>(G14-B14)/B14</f>
        <v>#DIV/0!</v>
      </c>
      <c r="U14" t="s">
        <v>73</v>
      </c>
      <c r="V14">
        <v>69</v>
      </c>
      <c r="W14">
        <v>60</v>
      </c>
      <c r="X14" s="1">
        <f>W14/V14</f>
        <v>0.86956521739130432</v>
      </c>
    </row>
    <row r="15" spans="1:29" x14ac:dyDescent="0.25">
      <c r="A15" s="11" t="s">
        <v>63</v>
      </c>
      <c r="F15" s="7"/>
      <c r="G15" s="7">
        <f>68*12</f>
        <v>816</v>
      </c>
      <c r="H15" s="7">
        <f>68*12</f>
        <v>816</v>
      </c>
      <c r="I15" s="7">
        <f>68*12</f>
        <v>816</v>
      </c>
      <c r="J15" s="7">
        <f>68*12</f>
        <v>816</v>
      </c>
      <c r="K15" s="7"/>
      <c r="M15" s="7"/>
      <c r="P15" s="7">
        <f>G15-B15</f>
        <v>816</v>
      </c>
      <c r="Q15" s="1" t="e">
        <f>(G15-B15)/B15</f>
        <v>#DIV/0!</v>
      </c>
      <c r="U15" t="s">
        <v>75</v>
      </c>
      <c r="V15">
        <v>48.77</v>
      </c>
      <c r="W15">
        <f>V15*X14</f>
        <v>42.408695652173911</v>
      </c>
      <c r="X15" s="1">
        <f>1-X14</f>
        <v>0.13043478260869568</v>
      </c>
      <c r="Y15">
        <f>V15*X18</f>
        <v>37.044690624673912</v>
      </c>
    </row>
    <row r="17" spans="1:25" x14ac:dyDescent="0.25">
      <c r="A17" s="11" t="s">
        <v>26</v>
      </c>
      <c r="B17" s="7">
        <v>390.24</v>
      </c>
      <c r="C17" s="7">
        <v>390.24</v>
      </c>
      <c r="E17" s="7">
        <f>B17</f>
        <v>390.24</v>
      </c>
      <c r="F17" s="7">
        <f t="shared" ref="F17:H20" si="2">E17</f>
        <v>390.24</v>
      </c>
      <c r="G17" s="7">
        <f t="shared" si="2"/>
        <v>390.24</v>
      </c>
      <c r="H17" s="7">
        <f t="shared" si="2"/>
        <v>390.24</v>
      </c>
      <c r="I17" s="7">
        <f t="shared" ref="I17:J20" si="3">H17</f>
        <v>390.24</v>
      </c>
      <c r="J17" s="7">
        <f t="shared" si="3"/>
        <v>390.24</v>
      </c>
      <c r="K17" s="7"/>
      <c r="M17" s="7"/>
      <c r="P17" s="7">
        <f>G17-B17</f>
        <v>0</v>
      </c>
      <c r="Q17" s="1">
        <f>(G17-B17)/B17</f>
        <v>0</v>
      </c>
      <c r="V17" t="s">
        <v>82</v>
      </c>
      <c r="W17" t="s">
        <v>72</v>
      </c>
      <c r="X17" s="7" t="s">
        <v>83</v>
      </c>
    </row>
    <row r="18" spans="1:25" x14ac:dyDescent="0.25">
      <c r="A18" s="11" t="s">
        <v>27</v>
      </c>
      <c r="B18" s="7">
        <v>57.36</v>
      </c>
      <c r="C18" s="7">
        <v>57.36</v>
      </c>
      <c r="E18" s="7">
        <f>B18</f>
        <v>57.36</v>
      </c>
      <c r="F18" s="7">
        <f t="shared" si="2"/>
        <v>57.36</v>
      </c>
      <c r="G18" s="7">
        <f t="shared" si="2"/>
        <v>57.36</v>
      </c>
      <c r="H18" s="7">
        <f t="shared" si="2"/>
        <v>57.36</v>
      </c>
      <c r="I18" s="7">
        <f t="shared" si="3"/>
        <v>57.36</v>
      </c>
      <c r="J18" s="7">
        <f t="shared" si="3"/>
        <v>57.36</v>
      </c>
      <c r="K18" s="7"/>
      <c r="M18" s="7"/>
      <c r="P18" s="7">
        <f>G18-B18</f>
        <v>0</v>
      </c>
      <c r="Q18" s="1">
        <f>(G18-B18)/B18</f>
        <v>0</v>
      </c>
      <c r="U18" t="s">
        <v>71</v>
      </c>
      <c r="V18" s="37">
        <f>Y26</f>
        <v>0.10998575000000006</v>
      </c>
      <c r="W18" s="37">
        <f>X15</f>
        <v>0.13043478260869568</v>
      </c>
      <c r="X18" s="1">
        <f>1-(W18+V18)</f>
        <v>0.75957946739130433</v>
      </c>
    </row>
    <row r="19" spans="1:25" x14ac:dyDescent="0.25">
      <c r="A19" s="11" t="s">
        <v>28</v>
      </c>
      <c r="B19" s="7">
        <v>32.64</v>
      </c>
      <c r="C19" s="7">
        <v>32.64</v>
      </c>
      <c r="E19" s="7">
        <f>B19</f>
        <v>32.64</v>
      </c>
      <c r="F19" s="7">
        <f t="shared" si="2"/>
        <v>32.64</v>
      </c>
      <c r="G19" s="7">
        <f t="shared" si="2"/>
        <v>32.64</v>
      </c>
      <c r="H19" s="7">
        <f t="shared" si="2"/>
        <v>32.64</v>
      </c>
      <c r="I19" s="7">
        <f t="shared" si="3"/>
        <v>32.64</v>
      </c>
      <c r="J19" s="7">
        <f t="shared" si="3"/>
        <v>32.64</v>
      </c>
      <c r="K19" s="7"/>
      <c r="M19" s="7"/>
      <c r="P19" s="7">
        <f>G19-B19</f>
        <v>0</v>
      </c>
      <c r="Q19" s="1">
        <f>(G19-B19)/B19</f>
        <v>0</v>
      </c>
      <c r="R19" s="2"/>
    </row>
    <row r="20" spans="1:25" x14ac:dyDescent="0.25">
      <c r="A20" s="11" t="s">
        <v>8</v>
      </c>
      <c r="B20" s="7">
        <v>5923.92</v>
      </c>
      <c r="C20" s="7">
        <v>5923.92</v>
      </c>
      <c r="E20" s="7">
        <f>B20</f>
        <v>5923.92</v>
      </c>
      <c r="F20" s="7">
        <f t="shared" si="2"/>
        <v>5923.92</v>
      </c>
      <c r="G20" s="7">
        <f t="shared" si="2"/>
        <v>5923.92</v>
      </c>
      <c r="H20" s="7">
        <f t="shared" si="2"/>
        <v>5923.92</v>
      </c>
      <c r="I20" s="7">
        <f t="shared" si="3"/>
        <v>5923.92</v>
      </c>
      <c r="J20" s="7">
        <f t="shared" si="3"/>
        <v>5923.92</v>
      </c>
      <c r="K20" s="7"/>
      <c r="M20" s="7"/>
      <c r="P20" s="7">
        <f>G20-B20</f>
        <v>0</v>
      </c>
      <c r="Q20" s="1">
        <f>(G20-B20)/B20</f>
        <v>0</v>
      </c>
    </row>
    <row r="21" spans="1:25" x14ac:dyDescent="0.25">
      <c r="U21" s="3" t="s">
        <v>80</v>
      </c>
      <c r="V21" s="3" t="s">
        <v>81</v>
      </c>
      <c r="W21" s="3" t="s">
        <v>86</v>
      </c>
      <c r="X21" s="9" t="s">
        <v>66</v>
      </c>
      <c r="Y21" s="3" t="s">
        <v>74</v>
      </c>
    </row>
    <row r="22" spans="1:25" x14ac:dyDescent="0.25">
      <c r="F22" s="7"/>
      <c r="G22" s="7"/>
      <c r="I22" s="7"/>
      <c r="J22" s="7"/>
      <c r="K22" s="7"/>
      <c r="M22" s="7"/>
      <c r="Q22" s="1"/>
      <c r="U22" t="s">
        <v>76</v>
      </c>
      <c r="V22">
        <v>60000</v>
      </c>
      <c r="W22">
        <v>60000</v>
      </c>
      <c r="X22" s="7">
        <f>W22-V22</f>
        <v>0</v>
      </c>
    </row>
    <row r="23" spans="1:25" x14ac:dyDescent="0.25">
      <c r="F23" s="7"/>
      <c r="G23" s="7"/>
      <c r="I23" s="7"/>
      <c r="J23" s="7"/>
      <c r="K23" s="7"/>
      <c r="M23" s="7"/>
      <c r="Q23" s="1"/>
      <c r="U23" t="s">
        <v>77</v>
      </c>
      <c r="V23">
        <v>60000</v>
      </c>
      <c r="W23">
        <f>W22*1.07</f>
        <v>64200.000000000007</v>
      </c>
      <c r="X23" s="7">
        <f t="shared" ref="X23:X25" si="4">W23-V23</f>
        <v>4200.0000000000073</v>
      </c>
    </row>
    <row r="24" spans="1:25" x14ac:dyDescent="0.25">
      <c r="A24" s="12" t="s">
        <v>10</v>
      </c>
      <c r="B24" s="7">
        <f>SUM(B4:B8)</f>
        <v>107606.59</v>
      </c>
      <c r="C24" s="7">
        <f>SUM(C4:C8)</f>
        <v>107606.59</v>
      </c>
      <c r="E24" s="7">
        <f t="shared" ref="E24:G24" si="5">SUM(E4:E8)</f>
        <v>165600</v>
      </c>
      <c r="F24" s="7">
        <f t="shared" si="5"/>
        <v>194600</v>
      </c>
      <c r="G24" s="7">
        <f t="shared" si="5"/>
        <v>258155</v>
      </c>
      <c r="H24" s="7">
        <f t="shared" ref="H24" si="6">SUM(H4:H8)</f>
        <v>227873.5788935326</v>
      </c>
      <c r="I24" s="7">
        <f t="shared" ref="I24:J24" si="7">SUM(I4:I8)</f>
        <v>256155</v>
      </c>
      <c r="J24" s="7">
        <f t="shared" si="7"/>
        <v>256155</v>
      </c>
      <c r="K24" s="7"/>
      <c r="M24" s="7"/>
      <c r="P24" s="7">
        <f>G24-B24</f>
        <v>150548.41</v>
      </c>
      <c r="Q24" s="1">
        <f>(G24-B24)/B24</f>
        <v>1.3990631057075595</v>
      </c>
      <c r="U24" t="s">
        <v>78</v>
      </c>
      <c r="V24">
        <v>60000</v>
      </c>
      <c r="W24">
        <f t="shared" ref="W24:W25" si="8">W23*1.07</f>
        <v>68694.000000000015</v>
      </c>
      <c r="X24" s="7">
        <f t="shared" si="4"/>
        <v>8694.0000000000146</v>
      </c>
    </row>
    <row r="25" spans="1:25" x14ac:dyDescent="0.25">
      <c r="F25" s="7"/>
      <c r="G25" s="7"/>
      <c r="I25" s="7"/>
      <c r="J25" s="7"/>
      <c r="K25" s="7"/>
      <c r="M25" s="7"/>
      <c r="Q25" s="1"/>
      <c r="U25" t="s">
        <v>79</v>
      </c>
      <c r="V25">
        <v>60000</v>
      </c>
      <c r="W25">
        <f t="shared" si="8"/>
        <v>73502.580000000016</v>
      </c>
      <c r="X25" s="7">
        <f t="shared" si="4"/>
        <v>13502.580000000016</v>
      </c>
    </row>
    <row r="26" spans="1:25" x14ac:dyDescent="0.25">
      <c r="A26" s="12" t="s">
        <v>12</v>
      </c>
      <c r="F26" s="7"/>
      <c r="G26" s="7"/>
      <c r="I26" s="7"/>
      <c r="J26" s="7"/>
      <c r="K26" s="7"/>
      <c r="M26" s="7"/>
      <c r="Q26" s="1"/>
      <c r="V26">
        <f>SUM(V22:V25)</f>
        <v>240000</v>
      </c>
      <c r="W26">
        <f>SUM(W22:W25)</f>
        <v>266396.58</v>
      </c>
      <c r="X26" s="7">
        <f>W26-V26</f>
        <v>26396.580000000016</v>
      </c>
      <c r="Y26" s="1">
        <f>(X26/V26)</f>
        <v>0.10998575000000006</v>
      </c>
    </row>
    <row r="27" spans="1:25" x14ac:dyDescent="0.25">
      <c r="A27" s="11" t="s">
        <v>4</v>
      </c>
      <c r="B27" s="7">
        <f>-(1100*12)</f>
        <v>-13200</v>
      </c>
      <c r="C27" s="7">
        <f>-(1100*12)</f>
        <v>-13200</v>
      </c>
      <c r="E27" s="7">
        <f t="shared" ref="E27:J27" si="9">-(1600*12)</f>
        <v>-19200</v>
      </c>
      <c r="F27" s="7">
        <f t="shared" si="9"/>
        <v>-19200</v>
      </c>
      <c r="G27" s="7">
        <f t="shared" si="9"/>
        <v>-19200</v>
      </c>
      <c r="H27" s="7">
        <f t="shared" si="9"/>
        <v>-19200</v>
      </c>
      <c r="I27" s="7">
        <f t="shared" si="9"/>
        <v>-19200</v>
      </c>
      <c r="J27" s="7">
        <f t="shared" si="9"/>
        <v>-19200</v>
      </c>
      <c r="K27" s="7"/>
      <c r="M27" s="7"/>
      <c r="P27" s="7">
        <f>G27-B27</f>
        <v>-6000</v>
      </c>
      <c r="Q27" s="1">
        <f>(G27-B27)/B27</f>
        <v>0.45454545454545453</v>
      </c>
    </row>
    <row r="28" spans="1:25" x14ac:dyDescent="0.25">
      <c r="A28" s="11" t="s">
        <v>5</v>
      </c>
      <c r="B28" s="7">
        <f>-(200*12)</f>
        <v>-2400</v>
      </c>
      <c r="C28" s="7">
        <f>-(200*12)</f>
        <v>-2400</v>
      </c>
      <c r="E28" s="7">
        <f t="shared" ref="E28:J28" si="10">-(240*12)</f>
        <v>-2880</v>
      </c>
      <c r="F28" s="7">
        <f t="shared" si="10"/>
        <v>-2880</v>
      </c>
      <c r="G28" s="7">
        <f t="shared" si="10"/>
        <v>-2880</v>
      </c>
      <c r="H28" s="7">
        <f t="shared" si="10"/>
        <v>-2880</v>
      </c>
      <c r="I28" s="7">
        <f t="shared" si="10"/>
        <v>-2880</v>
      </c>
      <c r="J28" s="7">
        <f t="shared" si="10"/>
        <v>-2880</v>
      </c>
      <c r="K28" s="7"/>
      <c r="M28" s="7"/>
      <c r="P28" s="7">
        <f>G28-B28</f>
        <v>-480</v>
      </c>
      <c r="Q28" s="1">
        <f>(G28-B28)/B28</f>
        <v>0.2</v>
      </c>
    </row>
    <row r="29" spans="1:25" x14ac:dyDescent="0.25">
      <c r="A29" s="11" t="s">
        <v>6</v>
      </c>
      <c r="B29" s="7">
        <f>-($X$5)</f>
        <v>-960</v>
      </c>
      <c r="C29" s="7">
        <f>-($X$5)</f>
        <v>-960</v>
      </c>
      <c r="E29" s="7">
        <f t="shared" ref="E29:J29" si="11">-($X$4+$X$5)</f>
        <v>-3560</v>
      </c>
      <c r="F29" s="7">
        <f t="shared" si="11"/>
        <v>-3560</v>
      </c>
      <c r="G29" s="7">
        <f t="shared" si="11"/>
        <v>-3560</v>
      </c>
      <c r="H29" s="7">
        <f t="shared" si="11"/>
        <v>-3560</v>
      </c>
      <c r="I29" s="7">
        <f t="shared" si="11"/>
        <v>-3560</v>
      </c>
      <c r="J29" s="7">
        <f t="shared" si="11"/>
        <v>-3560</v>
      </c>
      <c r="K29" s="7"/>
      <c r="M29" s="7"/>
      <c r="P29" s="7">
        <f>G29-B29</f>
        <v>-2600</v>
      </c>
      <c r="Q29" s="1">
        <f>(G29-B29)/B29</f>
        <v>2.7083333333333335</v>
      </c>
    </row>
    <row r="30" spans="1:25" x14ac:dyDescent="0.25">
      <c r="F30" s="7"/>
      <c r="G30" s="7"/>
      <c r="I30" s="7"/>
      <c r="J30" s="7"/>
      <c r="K30" s="7"/>
      <c r="M30" s="7"/>
      <c r="Q30" s="1"/>
    </row>
    <row r="31" spans="1:25" x14ac:dyDescent="0.25">
      <c r="A31" s="12" t="s">
        <v>33</v>
      </c>
      <c r="F31" s="7"/>
      <c r="G31" s="7"/>
      <c r="I31" s="7"/>
      <c r="J31" s="7"/>
      <c r="K31" s="7"/>
      <c r="M31" s="7"/>
      <c r="Q31" s="1"/>
    </row>
    <row r="32" spans="1:25" x14ac:dyDescent="0.25">
      <c r="A32" s="11" t="s">
        <v>31</v>
      </c>
      <c r="B32" s="7">
        <f>SUM(B4:B20)</f>
        <v>122410.75</v>
      </c>
      <c r="C32" s="7">
        <f>SUM(C4:C20)</f>
        <v>122410.75</v>
      </c>
      <c r="E32" s="7">
        <f t="shared" ref="E32:I32" si="12">SUM(E4:E20)</f>
        <v>178004.16</v>
      </c>
      <c r="F32" s="7">
        <f t="shared" si="12"/>
        <v>207004.16</v>
      </c>
      <c r="G32" s="7">
        <f t="shared" si="12"/>
        <v>270775.15999999997</v>
      </c>
      <c r="H32" s="7">
        <f t="shared" si="12"/>
        <v>240493.7388935326</v>
      </c>
      <c r="I32" s="7">
        <f t="shared" si="12"/>
        <v>268775.15999999997</v>
      </c>
      <c r="J32" s="7">
        <f t="shared" ref="J32" si="13">SUM(J4:J20)</f>
        <v>268775.15999999997</v>
      </c>
      <c r="K32" s="7"/>
      <c r="M32" s="7"/>
      <c r="P32" s="7">
        <f>G32-B32</f>
        <v>148364.40999999997</v>
      </c>
      <c r="Q32" s="1">
        <f>(G32-B32)/B32</f>
        <v>1.212021084749501</v>
      </c>
    </row>
    <row r="33" spans="1:17" x14ac:dyDescent="0.25">
      <c r="A33" s="11" t="s">
        <v>32</v>
      </c>
      <c r="B33" s="7">
        <f>SUM(B27:B29)</f>
        <v>-16560</v>
      </c>
      <c r="C33" s="7">
        <f>SUM(C27:C29)</f>
        <v>-16560</v>
      </c>
      <c r="E33" s="7">
        <f t="shared" ref="E33:I33" si="14">SUM(E27:E29)</f>
        <v>-25640</v>
      </c>
      <c r="F33" s="7">
        <f t="shared" si="14"/>
        <v>-25640</v>
      </c>
      <c r="G33" s="7">
        <f t="shared" si="14"/>
        <v>-25640</v>
      </c>
      <c r="H33" s="7">
        <f t="shared" si="14"/>
        <v>-25640</v>
      </c>
      <c r="I33" s="7">
        <f t="shared" si="14"/>
        <v>-25640</v>
      </c>
      <c r="J33" s="7">
        <f t="shared" ref="J33" si="15">SUM(J27:J29)</f>
        <v>-25640</v>
      </c>
      <c r="K33" s="1"/>
      <c r="M33" s="7"/>
      <c r="P33" s="7">
        <f>G33-B33</f>
        <v>-9080</v>
      </c>
      <c r="Q33" s="1">
        <f>(G33-B33)/B33</f>
        <v>0.54830917874396135</v>
      </c>
    </row>
    <row r="34" spans="1:17" x14ac:dyDescent="0.25">
      <c r="A34" s="12" t="s">
        <v>11</v>
      </c>
      <c r="B34" s="7">
        <f>SUM(B32:B33)</f>
        <v>105850.75</v>
      </c>
      <c r="C34" s="7">
        <f>SUM(C32:C33)</f>
        <v>105850.75</v>
      </c>
      <c r="E34" s="7">
        <f t="shared" ref="E34:J34" si="16">SUM(E32:E33)</f>
        <v>152364.16</v>
      </c>
      <c r="F34" s="7">
        <f t="shared" si="16"/>
        <v>181364.16</v>
      </c>
      <c r="G34" s="7">
        <f t="shared" si="16"/>
        <v>245135.15999999997</v>
      </c>
      <c r="H34" s="7">
        <f t="shared" si="16"/>
        <v>214853.7388935326</v>
      </c>
      <c r="I34" s="7">
        <f t="shared" si="16"/>
        <v>243135.15999999997</v>
      </c>
      <c r="J34" s="7">
        <f t="shared" si="16"/>
        <v>243135.15999999997</v>
      </c>
      <c r="K34" s="7"/>
      <c r="M34" s="7"/>
      <c r="P34" s="7">
        <f>G34-B34</f>
        <v>139284.40999999997</v>
      </c>
      <c r="Q34" s="1">
        <f>(G34-B34)/B34</f>
        <v>1.3158566188713823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2"/>
  <sheetViews>
    <sheetView workbookViewId="0">
      <selection activeCell="F9" sqref="F9"/>
    </sheetView>
  </sheetViews>
  <sheetFormatPr defaultRowHeight="15" x14ac:dyDescent="0.25"/>
  <cols>
    <col min="1" max="1" width="18" bestFit="1" customWidth="1"/>
    <col min="2" max="2" width="9" bestFit="1" customWidth="1"/>
    <col min="3" max="3" width="13.140625" bestFit="1" customWidth="1"/>
    <col min="4" max="4" width="19.7109375" customWidth="1"/>
    <col min="5" max="5" width="18" bestFit="1" customWidth="1"/>
    <col min="6" max="6" width="17.85546875" bestFit="1" customWidth="1"/>
    <col min="7" max="7" width="17.85546875" customWidth="1"/>
    <col min="8" max="8" width="17.42578125" bestFit="1" customWidth="1"/>
    <col min="9" max="10" width="19.7109375" customWidth="1"/>
    <col min="11" max="11" width="11.85546875" bestFit="1" customWidth="1"/>
  </cols>
  <sheetData>
    <row r="1" spans="1:11" ht="18.75" thickBot="1" x14ac:dyDescent="0.3">
      <c r="A1" s="15" t="s">
        <v>34</v>
      </c>
      <c r="B1" s="16" t="s">
        <v>35</v>
      </c>
      <c r="C1" s="16" t="s">
        <v>36</v>
      </c>
      <c r="E1" s="33" t="s">
        <v>45</v>
      </c>
      <c r="J1" s="33" t="s">
        <v>54</v>
      </c>
    </row>
    <row r="2" spans="1:11" ht="16.5" thickTop="1" thickBot="1" x14ac:dyDescent="0.3">
      <c r="A2" s="17" t="s">
        <v>37</v>
      </c>
      <c r="B2" s="18">
        <v>0</v>
      </c>
      <c r="C2" s="19">
        <v>2596.15</v>
      </c>
      <c r="E2" s="15" t="s">
        <v>34</v>
      </c>
      <c r="F2" s="16" t="s">
        <v>46</v>
      </c>
      <c r="G2" s="16"/>
      <c r="H2" s="16" t="s">
        <v>47</v>
      </c>
      <c r="J2" s="15" t="s">
        <v>34</v>
      </c>
      <c r="K2" s="16" t="s">
        <v>36</v>
      </c>
    </row>
    <row r="3" spans="1:11" ht="29.25" thickTop="1" x14ac:dyDescent="0.25">
      <c r="A3" s="20" t="s">
        <v>38</v>
      </c>
      <c r="B3" s="21">
        <v>0</v>
      </c>
      <c r="C3" s="22">
        <v>500</v>
      </c>
      <c r="E3" s="27" t="s">
        <v>25</v>
      </c>
      <c r="F3" s="28">
        <v>0</v>
      </c>
      <c r="G3" s="28"/>
      <c r="H3" s="28">
        <v>3286.59</v>
      </c>
      <c r="J3" s="27" t="s">
        <v>55</v>
      </c>
      <c r="K3" s="28">
        <v>849.48</v>
      </c>
    </row>
    <row r="4" spans="1:11" ht="28.5" x14ac:dyDescent="0.25">
      <c r="A4" s="17" t="s">
        <v>39</v>
      </c>
      <c r="B4" s="18">
        <v>0</v>
      </c>
      <c r="C4" s="19">
        <v>5738.36</v>
      </c>
      <c r="E4" s="29" t="s">
        <v>48</v>
      </c>
      <c r="F4" s="30">
        <v>13027.87</v>
      </c>
      <c r="G4" s="30"/>
      <c r="H4" s="30">
        <v>0</v>
      </c>
      <c r="J4" s="29" t="s">
        <v>56</v>
      </c>
      <c r="K4" s="30">
        <v>4806.21</v>
      </c>
    </row>
    <row r="5" spans="1:11" x14ac:dyDescent="0.25">
      <c r="A5" s="20" t="s">
        <v>40</v>
      </c>
      <c r="B5" s="21">
        <v>8</v>
      </c>
      <c r="C5" s="22">
        <v>346.15</v>
      </c>
      <c r="E5" s="27" t="s">
        <v>38</v>
      </c>
      <c r="F5" s="28">
        <v>500</v>
      </c>
      <c r="G5" s="28"/>
      <c r="H5" s="28">
        <v>0</v>
      </c>
      <c r="J5" s="27" t="s">
        <v>57</v>
      </c>
      <c r="K5" s="28">
        <v>13533.22</v>
      </c>
    </row>
    <row r="6" spans="1:11" x14ac:dyDescent="0.25">
      <c r="A6" s="17" t="s">
        <v>41</v>
      </c>
      <c r="B6" s="18">
        <v>48</v>
      </c>
      <c r="C6" s="19">
        <v>2097.69</v>
      </c>
      <c r="E6" s="29" t="s">
        <v>49</v>
      </c>
      <c r="F6" s="30">
        <v>0</v>
      </c>
      <c r="G6" s="30"/>
      <c r="H6" s="30">
        <v>390.24</v>
      </c>
      <c r="J6" s="29" t="s">
        <v>58</v>
      </c>
      <c r="K6" s="30">
        <v>1368.5</v>
      </c>
    </row>
    <row r="7" spans="1:11" ht="28.5" x14ac:dyDescent="0.25">
      <c r="A7" s="20" t="s">
        <v>42</v>
      </c>
      <c r="B7" s="21">
        <v>40</v>
      </c>
      <c r="C7" s="22">
        <v>1730.77</v>
      </c>
      <c r="E7" s="27" t="s">
        <v>50</v>
      </c>
      <c r="F7" s="28">
        <v>300</v>
      </c>
      <c r="G7" s="28"/>
      <c r="H7" s="28">
        <v>0</v>
      </c>
      <c r="J7" s="27" t="s">
        <v>59</v>
      </c>
      <c r="K7" s="28">
        <v>5851.53</v>
      </c>
    </row>
    <row r="8" spans="1:11" x14ac:dyDescent="0.25">
      <c r="A8" s="17" t="s">
        <v>43</v>
      </c>
      <c r="B8" s="23">
        <v>1944</v>
      </c>
      <c r="C8" s="19">
        <v>84648.78</v>
      </c>
      <c r="E8" s="29" t="s">
        <v>51</v>
      </c>
      <c r="F8" s="30">
        <v>0</v>
      </c>
      <c r="G8" s="30"/>
      <c r="H8" s="30">
        <v>32.64</v>
      </c>
      <c r="J8" s="31" t="s">
        <v>9</v>
      </c>
      <c r="K8" s="32">
        <v>26408.94</v>
      </c>
    </row>
    <row r="9" spans="1:11" x14ac:dyDescent="0.25">
      <c r="A9" s="20" t="s">
        <v>44</v>
      </c>
      <c r="B9" s="21">
        <v>0</v>
      </c>
      <c r="C9" s="22">
        <v>3000</v>
      </c>
      <c r="E9" s="27" t="s">
        <v>52</v>
      </c>
      <c r="F9" s="28">
        <v>240</v>
      </c>
      <c r="G9" s="28"/>
      <c r="H9" s="28">
        <v>5923.92</v>
      </c>
    </row>
    <row r="10" spans="1:11" x14ac:dyDescent="0.25">
      <c r="A10" s="24" t="s">
        <v>9</v>
      </c>
      <c r="B10" s="25">
        <v>2040</v>
      </c>
      <c r="C10" s="26">
        <v>100657.9</v>
      </c>
      <c r="E10" s="29" t="s">
        <v>53</v>
      </c>
      <c r="F10" s="30">
        <v>4972.13</v>
      </c>
      <c r="G10" s="30"/>
      <c r="H10" s="30">
        <v>0</v>
      </c>
    </row>
    <row r="11" spans="1:11" x14ac:dyDescent="0.25">
      <c r="E11" s="27" t="s">
        <v>27</v>
      </c>
      <c r="F11" s="28">
        <v>0</v>
      </c>
      <c r="G11" s="28"/>
      <c r="H11" s="28">
        <v>57.36</v>
      </c>
    </row>
    <row r="12" spans="1:11" x14ac:dyDescent="0.25">
      <c r="E12" s="31" t="s">
        <v>9</v>
      </c>
      <c r="F12" s="32">
        <v>19040</v>
      </c>
      <c r="G12" s="32"/>
      <c r="H12" s="32">
        <v>9690.75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0"/>
  <sheetViews>
    <sheetView tabSelected="1" topLeftCell="A4" zoomScale="85" zoomScaleNormal="85" workbookViewId="0">
      <selection activeCell="H30" sqref="H30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4" width="8.5703125" bestFit="1" customWidth="1"/>
    <col min="5" max="5" width="10.5703125" style="45" bestFit="1" customWidth="1"/>
    <col min="7" max="7" width="8.140625" bestFit="1" customWidth="1"/>
    <col min="8" max="8" width="16.140625" bestFit="1" customWidth="1"/>
  </cols>
  <sheetData>
    <row r="1" spans="1:9" x14ac:dyDescent="0.25">
      <c r="A1" s="3" t="s">
        <v>96</v>
      </c>
    </row>
    <row r="2" spans="1:9" x14ac:dyDescent="0.25">
      <c r="A2" s="36" t="s">
        <v>95</v>
      </c>
      <c r="B2" s="36" t="s">
        <v>105</v>
      </c>
      <c r="C2" s="36" t="s">
        <v>106</v>
      </c>
      <c r="D2" s="36" t="s">
        <v>107</v>
      </c>
      <c r="E2" s="47" t="s">
        <v>104</v>
      </c>
      <c r="H2" t="s">
        <v>115</v>
      </c>
      <c r="I2" t="s">
        <v>118</v>
      </c>
    </row>
    <row r="3" spans="1:9" x14ac:dyDescent="0.25">
      <c r="A3" t="s">
        <v>109</v>
      </c>
      <c r="B3" s="45">
        <v>50</v>
      </c>
      <c r="C3" s="45"/>
      <c r="D3" s="45"/>
      <c r="H3" t="s">
        <v>116</v>
      </c>
      <c r="I3">
        <v>4</v>
      </c>
    </row>
    <row r="4" spans="1:9" x14ac:dyDescent="0.25">
      <c r="A4" s="43" t="s">
        <v>94</v>
      </c>
      <c r="B4" s="46">
        <v>200</v>
      </c>
      <c r="C4" s="46"/>
      <c r="D4" s="46"/>
      <c r="E4" s="45">
        <v>283.61</v>
      </c>
      <c r="H4" t="s">
        <v>117</v>
      </c>
      <c r="I4">
        <v>1</v>
      </c>
    </row>
    <row r="5" spans="1:9" x14ac:dyDescent="0.25">
      <c r="A5" t="s">
        <v>88</v>
      </c>
      <c r="B5" s="45">
        <v>300</v>
      </c>
      <c r="C5" s="45"/>
      <c r="D5" s="45"/>
      <c r="E5" s="45">
        <v>260.3</v>
      </c>
      <c r="H5" t="s">
        <v>119</v>
      </c>
      <c r="I5">
        <v>19</v>
      </c>
    </row>
    <row r="6" spans="1:9" x14ac:dyDescent="0.25">
      <c r="A6" t="s">
        <v>93</v>
      </c>
      <c r="B6" s="45">
        <v>100</v>
      </c>
      <c r="C6" s="45"/>
      <c r="D6" s="45"/>
      <c r="E6" s="45">
        <v>51.02</v>
      </c>
      <c r="H6" t="s">
        <v>120</v>
      </c>
    </row>
    <row r="7" spans="1:9" x14ac:dyDescent="0.25">
      <c r="A7" t="s">
        <v>110</v>
      </c>
      <c r="B7" s="45">
        <v>50</v>
      </c>
      <c r="C7" s="45"/>
      <c r="D7" s="45"/>
    </row>
    <row r="8" spans="1:9" x14ac:dyDescent="0.25">
      <c r="A8" t="s">
        <v>18</v>
      </c>
      <c r="B8" s="45">
        <v>50</v>
      </c>
      <c r="C8" s="45"/>
      <c r="D8" s="45"/>
    </row>
    <row r="9" spans="1:9" x14ac:dyDescent="0.25">
      <c r="A9" t="s">
        <v>5</v>
      </c>
      <c r="B9" s="45">
        <f>60*3</f>
        <v>180</v>
      </c>
      <c r="C9" s="45"/>
      <c r="D9" s="45"/>
    </row>
    <row r="10" spans="1:9" x14ac:dyDescent="0.25">
      <c r="A10" t="s">
        <v>9</v>
      </c>
      <c r="B10" s="45">
        <f>SUM(B3:B9)</f>
        <v>930</v>
      </c>
      <c r="C10" s="45"/>
      <c r="D10" s="45"/>
    </row>
    <row r="11" spans="1:9" x14ac:dyDescent="0.25">
      <c r="B11" s="45"/>
      <c r="C11" s="45"/>
      <c r="D11" s="45"/>
    </row>
    <row r="13" spans="1:9" x14ac:dyDescent="0.25">
      <c r="A13" s="36" t="s">
        <v>92</v>
      </c>
      <c r="B13" s="36" t="s">
        <v>16</v>
      </c>
      <c r="C13" s="36"/>
      <c r="D13" s="36"/>
    </row>
    <row r="14" spans="1:9" x14ac:dyDescent="0.25">
      <c r="A14" s="43" t="s">
        <v>108</v>
      </c>
      <c r="B14" s="43">
        <v>100</v>
      </c>
      <c r="C14" s="36"/>
      <c r="D14" s="36"/>
      <c r="E14" s="46">
        <v>100</v>
      </c>
    </row>
    <row r="15" spans="1:9" x14ac:dyDescent="0.25">
      <c r="A15" t="s">
        <v>91</v>
      </c>
      <c r="B15">
        <v>500</v>
      </c>
    </row>
    <row r="16" spans="1:9" x14ac:dyDescent="0.25">
      <c r="A16" t="s">
        <v>18</v>
      </c>
      <c r="B16">
        <f>((1200+600)/25)*3</f>
        <v>216</v>
      </c>
    </row>
    <row r="17" spans="1:8" x14ac:dyDescent="0.25">
      <c r="A17" t="s">
        <v>90</v>
      </c>
    </row>
    <row r="18" spans="1:8" x14ac:dyDescent="0.25">
      <c r="A18" t="s">
        <v>89</v>
      </c>
      <c r="B18">
        <v>200</v>
      </c>
    </row>
    <row r="19" spans="1:8" x14ac:dyDescent="0.25">
      <c r="A19" t="s">
        <v>88</v>
      </c>
      <c r="B19">
        <f>3*150</f>
        <v>450</v>
      </c>
    </row>
    <row r="20" spans="1:8" x14ac:dyDescent="0.25">
      <c r="A20" t="s">
        <v>5</v>
      </c>
      <c r="B20">
        <f>4*60</f>
        <v>240</v>
      </c>
    </row>
    <row r="22" spans="1:8" x14ac:dyDescent="0.25">
      <c r="A22" t="s">
        <v>101</v>
      </c>
      <c r="B22">
        <v>2000</v>
      </c>
    </row>
    <row r="23" spans="1:8" x14ac:dyDescent="0.25">
      <c r="A23" t="s">
        <v>102</v>
      </c>
      <c r="B23">
        <v>1500</v>
      </c>
      <c r="E23" s="45">
        <v>1451.66</v>
      </c>
    </row>
    <row r="24" spans="1:8" x14ac:dyDescent="0.25">
      <c r="A24" t="s">
        <v>103</v>
      </c>
    </row>
    <row r="26" spans="1:8" x14ac:dyDescent="0.25">
      <c r="A26" t="s">
        <v>111</v>
      </c>
      <c r="B26">
        <v>600</v>
      </c>
    </row>
    <row r="27" spans="1:8" x14ac:dyDescent="0.25">
      <c r="A27" t="s">
        <v>112</v>
      </c>
      <c r="B27">
        <v>400</v>
      </c>
    </row>
    <row r="28" spans="1:8" x14ac:dyDescent="0.25">
      <c r="A28" t="s">
        <v>114</v>
      </c>
      <c r="B28">
        <v>400</v>
      </c>
    </row>
    <row r="29" spans="1:8" x14ac:dyDescent="0.25">
      <c r="G29" t="s">
        <v>90</v>
      </c>
      <c r="H29" t="s">
        <v>113</v>
      </c>
    </row>
    <row r="30" spans="1:8" x14ac:dyDescent="0.25">
      <c r="G30">
        <v>475</v>
      </c>
      <c r="H30">
        <v>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"/>
  <sheetViews>
    <sheetView workbookViewId="0">
      <selection activeCell="E15" sqref="E15"/>
    </sheetView>
  </sheetViews>
  <sheetFormatPr defaultRowHeight="15" x14ac:dyDescent="0.25"/>
  <cols>
    <col min="1" max="1" width="5" bestFit="1" customWidth="1"/>
    <col min="2" max="2" width="9.28515625" bestFit="1" customWidth="1"/>
    <col min="3" max="3" width="12.5703125" bestFit="1" customWidth="1"/>
    <col min="4" max="4" width="8.42578125" bestFit="1" customWidth="1"/>
    <col min="5" max="5" width="10.42578125" bestFit="1" customWidth="1"/>
  </cols>
  <sheetData>
    <row r="1" spans="1:5" x14ac:dyDescent="0.25">
      <c r="A1" t="s">
        <v>80</v>
      </c>
      <c r="B1" t="s">
        <v>97</v>
      </c>
      <c r="C1" s="44" t="s">
        <v>0</v>
      </c>
      <c r="D1" t="s">
        <v>66</v>
      </c>
      <c r="E1" t="s">
        <v>98</v>
      </c>
    </row>
    <row r="2" spans="1:5" x14ac:dyDescent="0.25">
      <c r="A2">
        <v>2013</v>
      </c>
      <c r="B2" t="s">
        <v>99</v>
      </c>
      <c r="C2" s="44">
        <v>45000</v>
      </c>
      <c r="D2" s="1" t="e">
        <f t="shared" ref="D2:D7" si="0">(C2-C1)/C1</f>
        <v>#VALUE!</v>
      </c>
      <c r="E2" s="1">
        <f t="shared" ref="E2:E7" si="1">(C2-$C$2)/$C$2</f>
        <v>0</v>
      </c>
    </row>
    <row r="3" spans="1:5" x14ac:dyDescent="0.25">
      <c r="A3">
        <f>A2+1</f>
        <v>2014</v>
      </c>
      <c r="B3" t="s">
        <v>99</v>
      </c>
      <c r="C3" s="44">
        <v>55000</v>
      </c>
      <c r="D3" s="1">
        <f t="shared" si="0"/>
        <v>0.22222222222222221</v>
      </c>
      <c r="E3" s="1">
        <f t="shared" si="1"/>
        <v>0.22222222222222221</v>
      </c>
    </row>
    <row r="4" spans="1:5" x14ac:dyDescent="0.25">
      <c r="A4">
        <f>A3+1</f>
        <v>2015</v>
      </c>
      <c r="B4" t="s">
        <v>99</v>
      </c>
      <c r="C4" s="44">
        <v>66000</v>
      </c>
      <c r="D4" s="1">
        <f t="shared" si="0"/>
        <v>0.2</v>
      </c>
      <c r="E4" s="1">
        <f t="shared" si="1"/>
        <v>0.46666666666666667</v>
      </c>
    </row>
    <row r="5" spans="1:5" x14ac:dyDescent="0.25">
      <c r="A5">
        <f>A4+1</f>
        <v>2016</v>
      </c>
      <c r="B5" t="s">
        <v>2</v>
      </c>
      <c r="C5" s="44">
        <v>90000</v>
      </c>
      <c r="D5" s="1">
        <f t="shared" si="0"/>
        <v>0.36363636363636365</v>
      </c>
      <c r="E5" s="1">
        <f t="shared" si="1"/>
        <v>1</v>
      </c>
    </row>
    <row r="6" spans="1:5" x14ac:dyDescent="0.25">
      <c r="A6">
        <f>A5+1</f>
        <v>2017</v>
      </c>
      <c r="B6" t="s">
        <v>2</v>
      </c>
      <c r="C6" s="44">
        <v>107607</v>
      </c>
      <c r="D6" s="1">
        <f t="shared" si="0"/>
        <v>0.19563333333333333</v>
      </c>
      <c r="E6" s="1">
        <f t="shared" si="1"/>
        <v>1.3912666666666667</v>
      </c>
    </row>
    <row r="7" spans="1:5" x14ac:dyDescent="0.25">
      <c r="A7">
        <f>A6+1</f>
        <v>2018</v>
      </c>
      <c r="B7" t="s">
        <v>100</v>
      </c>
      <c r="C7" s="44">
        <v>261155</v>
      </c>
      <c r="D7" s="1">
        <f t="shared" si="0"/>
        <v>1.4269331920785822</v>
      </c>
      <c r="E7" s="1">
        <f t="shared" si="1"/>
        <v>4.8034444444444446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Data_ELVT</vt:lpstr>
      <vt:lpstr>Moving</vt:lpstr>
      <vt:lpstr>Change</vt:lpstr>
      <vt:lpstr>Sheet3</vt:lpstr>
    </vt:vector>
  </TitlesOfParts>
  <Company>Elevate Credit,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Seto</dc:creator>
  <cp:lastModifiedBy>Jason Seto</cp:lastModifiedBy>
  <dcterms:created xsi:type="dcterms:W3CDTF">2017-07-31T19:37:54Z</dcterms:created>
  <dcterms:modified xsi:type="dcterms:W3CDTF">2017-08-29T22:46:35Z</dcterms:modified>
</cp:coreProperties>
</file>