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geuser\Desktop\Business-Valuation-Machine\output\"/>
    </mc:Choice>
  </mc:AlternateContent>
  <bookViews>
    <workbookView xWindow="0" yWindow="0" windowWidth="23040" windowHeight="9372" activeTab="2"/>
  </bookViews>
  <sheets>
    <sheet name="Income Statement" sheetId="2" r:id="rId1"/>
    <sheet name="Balance Sheet" sheetId="3" r:id="rId2"/>
    <sheet name="Cashflow Statement" sheetId="4" r:id="rId3"/>
  </sheets>
  <calcPr calcId="152511"/>
</workbook>
</file>

<file path=xl/calcChain.xml><?xml version="1.0" encoding="utf-8"?>
<calcChain xmlns="http://schemas.openxmlformats.org/spreadsheetml/2006/main">
  <c r="G34" i="4" l="1"/>
  <c r="F34" i="4"/>
  <c r="E34" i="4"/>
  <c r="D34" i="4"/>
  <c r="C34" i="4"/>
  <c r="H34" i="4" s="1"/>
  <c r="G31" i="4"/>
  <c r="D30" i="4"/>
  <c r="G26" i="4"/>
  <c r="F26" i="4"/>
  <c r="E26" i="4"/>
  <c r="D26" i="4"/>
  <c r="C26" i="4"/>
  <c r="L24" i="4"/>
  <c r="K24" i="4"/>
  <c r="J24" i="4"/>
  <c r="I24" i="4"/>
  <c r="I26" i="4" s="1"/>
  <c r="H24" i="4"/>
  <c r="L22" i="4"/>
  <c r="L26" i="4" s="1"/>
  <c r="K22" i="4"/>
  <c r="K26" i="4" s="1"/>
  <c r="J22" i="4"/>
  <c r="J26" i="4" s="1"/>
  <c r="I22" i="4"/>
  <c r="H22" i="4"/>
  <c r="H26" i="4" s="1"/>
  <c r="G20" i="4"/>
  <c r="F20" i="4"/>
  <c r="E20" i="4"/>
  <c r="D20" i="4"/>
  <c r="C20" i="4"/>
  <c r="G13" i="4"/>
  <c r="G35" i="4" s="1"/>
  <c r="F13" i="4"/>
  <c r="F35" i="4" s="1"/>
  <c r="E13" i="4"/>
  <c r="E36" i="4" s="1"/>
  <c r="E37" i="4" s="1"/>
  <c r="D13" i="4"/>
  <c r="D36" i="4" s="1"/>
  <c r="C13" i="4"/>
  <c r="C36" i="4" s="1"/>
  <c r="H49" i="3"/>
  <c r="H25" i="3" s="1"/>
  <c r="G49" i="3"/>
  <c r="F49" i="3"/>
  <c r="E49" i="3"/>
  <c r="D49" i="3"/>
  <c r="K46" i="3"/>
  <c r="H46" i="3"/>
  <c r="H11" i="3" s="1"/>
  <c r="G46" i="3"/>
  <c r="F46" i="3"/>
  <c r="E46" i="3"/>
  <c r="D46" i="3"/>
  <c r="L45" i="3"/>
  <c r="K45" i="3"/>
  <c r="J45" i="3"/>
  <c r="I45" i="3"/>
  <c r="G45" i="3"/>
  <c r="F45" i="3"/>
  <c r="H45" i="3" s="1"/>
  <c r="H9" i="3" s="1"/>
  <c r="E45" i="3"/>
  <c r="D45" i="3"/>
  <c r="C45" i="3"/>
  <c r="G42" i="3"/>
  <c r="F42" i="3"/>
  <c r="E42" i="3"/>
  <c r="D42" i="3"/>
  <c r="C42" i="3"/>
  <c r="F40" i="3"/>
  <c r="E40" i="3"/>
  <c r="G38" i="3"/>
  <c r="G40" i="3" s="1"/>
  <c r="F38" i="3"/>
  <c r="E38" i="3"/>
  <c r="D38" i="3"/>
  <c r="D40" i="3" s="1"/>
  <c r="C38" i="3"/>
  <c r="C40" i="3" s="1"/>
  <c r="G59" i="2"/>
  <c r="F59" i="2"/>
  <c r="E59" i="2"/>
  <c r="D59" i="2"/>
  <c r="C59" i="2"/>
  <c r="G58" i="2"/>
  <c r="G56" i="2"/>
  <c r="F56" i="2"/>
  <c r="H56" i="2" s="1"/>
  <c r="E56" i="2"/>
  <c r="D56" i="2"/>
  <c r="C56" i="2"/>
  <c r="C54" i="2"/>
  <c r="L50" i="2"/>
  <c r="L51" i="2" s="1"/>
  <c r="L52" i="2" s="1"/>
  <c r="L49" i="2"/>
  <c r="L48" i="2" s="1"/>
  <c r="G47" i="2"/>
  <c r="K50" i="2" s="1"/>
  <c r="F47" i="2"/>
  <c r="E47" i="2"/>
  <c r="D47" i="2"/>
  <c r="C47" i="2"/>
  <c r="L38" i="2"/>
  <c r="K38" i="2"/>
  <c r="L37" i="2"/>
  <c r="K37" i="2"/>
  <c r="J37" i="2"/>
  <c r="J38" i="2" s="1"/>
  <c r="I37" i="2"/>
  <c r="I38" i="2" s="1"/>
  <c r="H37" i="2"/>
  <c r="H38" i="2" s="1"/>
  <c r="L35" i="2"/>
  <c r="K35" i="2"/>
  <c r="J35" i="2"/>
  <c r="I35" i="2"/>
  <c r="I34" i="2" s="1"/>
  <c r="H35" i="2"/>
  <c r="H34" i="2" s="1"/>
  <c r="L34" i="2"/>
  <c r="K34" i="2"/>
  <c r="J34" i="2"/>
  <c r="L33" i="2"/>
  <c r="K33" i="2"/>
  <c r="J33" i="2"/>
  <c r="I33" i="2"/>
  <c r="H33" i="2"/>
  <c r="G33" i="2"/>
  <c r="F33" i="2"/>
  <c r="E33" i="2"/>
  <c r="D33" i="2"/>
  <c r="G21" i="2"/>
  <c r="G17" i="2"/>
  <c r="F17" i="2"/>
  <c r="F58" i="2" s="1"/>
  <c r="E17" i="2"/>
  <c r="E58" i="2" s="1"/>
  <c r="D17" i="2"/>
  <c r="D58" i="2" s="1"/>
  <c r="C17" i="2"/>
  <c r="C58" i="2" s="1"/>
  <c r="G10" i="2"/>
  <c r="H54" i="2" s="1"/>
  <c r="F10" i="2"/>
  <c r="F54" i="2" s="1"/>
  <c r="E10" i="2"/>
  <c r="E29" i="2" s="1"/>
  <c r="D10" i="2"/>
  <c r="D29" i="2" s="1"/>
  <c r="C10" i="2"/>
  <c r="C29" i="2" s="1"/>
  <c r="C60" i="2" s="1"/>
  <c r="F8" i="2"/>
  <c r="F48" i="3" s="1"/>
  <c r="C8" i="2"/>
  <c r="C48" i="3" s="1"/>
  <c r="H7" i="2"/>
  <c r="H15" i="4" s="1"/>
  <c r="H20" i="4" s="1"/>
  <c r="L56" i="2" l="1"/>
  <c r="K56" i="2"/>
  <c r="J56" i="2"/>
  <c r="I56" i="2"/>
  <c r="K47" i="2"/>
  <c r="K51" i="2"/>
  <c r="K52" i="2" s="1"/>
  <c r="K49" i="2"/>
  <c r="K48" i="2" s="1"/>
  <c r="D37" i="4"/>
  <c r="I34" i="4"/>
  <c r="K34" i="4"/>
  <c r="J34" i="4"/>
  <c r="L34" i="4"/>
  <c r="D60" i="2"/>
  <c r="E60" i="2"/>
  <c r="H58" i="2"/>
  <c r="H10" i="2"/>
  <c r="D8" i="2"/>
  <c r="E21" i="2"/>
  <c r="F29" i="2"/>
  <c r="L47" i="2"/>
  <c r="I54" i="2"/>
  <c r="I46" i="3"/>
  <c r="I11" i="3" s="1"/>
  <c r="J11" i="3" s="1"/>
  <c r="K11" i="3" s="1"/>
  <c r="L11" i="3" s="1"/>
  <c r="F36" i="4"/>
  <c r="F37" i="4" s="1"/>
  <c r="I7" i="2"/>
  <c r="E8" i="2"/>
  <c r="F21" i="2"/>
  <c r="G29" i="2"/>
  <c r="J54" i="2"/>
  <c r="J46" i="3"/>
  <c r="F51" i="3"/>
  <c r="C30" i="4"/>
  <c r="G36" i="4"/>
  <c r="G37" i="4" s="1"/>
  <c r="H50" i="2"/>
  <c r="D54" i="2"/>
  <c r="L54" i="2"/>
  <c r="L46" i="3"/>
  <c r="I49" i="3"/>
  <c r="I25" i="3" s="1"/>
  <c r="J25" i="3" s="1"/>
  <c r="K25" i="3" s="1"/>
  <c r="L25" i="3" s="1"/>
  <c r="E30" i="4"/>
  <c r="C35" i="4"/>
  <c r="C40" i="2"/>
  <c r="I50" i="2"/>
  <c r="E54" i="2"/>
  <c r="J49" i="3"/>
  <c r="F30" i="4"/>
  <c r="D35" i="4"/>
  <c r="J50" i="2"/>
  <c r="K49" i="3"/>
  <c r="G30" i="4"/>
  <c r="E35" i="4"/>
  <c r="C21" i="2"/>
  <c r="G54" i="2"/>
  <c r="L49" i="3"/>
  <c r="K54" i="2"/>
  <c r="G8" i="2"/>
  <c r="D21" i="2"/>
  <c r="F40" i="2"/>
  <c r="G48" i="3" l="1"/>
  <c r="G40" i="2"/>
  <c r="G51" i="3"/>
  <c r="E48" i="3"/>
  <c r="E40" i="2"/>
  <c r="E51" i="3"/>
  <c r="F60" i="2"/>
  <c r="L58" i="2"/>
  <c r="K58" i="2"/>
  <c r="J58" i="2"/>
  <c r="I58" i="2"/>
  <c r="H49" i="2"/>
  <c r="H48" i="2" s="1"/>
  <c r="H47" i="2"/>
  <c r="H11" i="2" s="1"/>
  <c r="H51" i="2"/>
  <c r="H52" i="2" s="1"/>
  <c r="H35" i="4"/>
  <c r="J51" i="2"/>
  <c r="J52" i="2" s="1"/>
  <c r="J47" i="2"/>
  <c r="J49" i="2"/>
  <c r="J48" i="2" s="1"/>
  <c r="I15" i="4"/>
  <c r="I20" i="4" s="1"/>
  <c r="I10" i="2"/>
  <c r="J7" i="2"/>
  <c r="I9" i="3"/>
  <c r="D51" i="3"/>
  <c r="H51" i="3" s="1"/>
  <c r="D48" i="3"/>
  <c r="D40" i="2"/>
  <c r="H9" i="4"/>
  <c r="H14" i="3" s="1"/>
  <c r="G60" i="2"/>
  <c r="I49" i="2"/>
  <c r="I48" i="2" s="1"/>
  <c r="I47" i="2"/>
  <c r="I11" i="2" s="1"/>
  <c r="I51" i="2"/>
  <c r="I52" i="2" s="1"/>
  <c r="J10" i="2" l="1"/>
  <c r="K7" i="2"/>
  <c r="J9" i="3"/>
  <c r="J15" i="4"/>
  <c r="J20" i="4" s="1"/>
  <c r="J11" i="2"/>
  <c r="H48" i="3"/>
  <c r="I9" i="4"/>
  <c r="I14" i="3" s="1"/>
  <c r="J43" i="2"/>
  <c r="L43" i="2"/>
  <c r="I43" i="2"/>
  <c r="H43" i="2"/>
  <c r="K43" i="2"/>
  <c r="L51" i="3"/>
  <c r="K51" i="3"/>
  <c r="J51" i="3"/>
  <c r="I51" i="3"/>
  <c r="L35" i="4"/>
  <c r="K35" i="4"/>
  <c r="I35" i="4"/>
  <c r="J35" i="4"/>
  <c r="J14" i="3" l="1"/>
  <c r="J9" i="4"/>
  <c r="I48" i="3"/>
  <c r="L48" i="3"/>
  <c r="K48" i="3"/>
  <c r="J48" i="3"/>
  <c r="J23" i="3" s="1"/>
  <c r="J26" i="3" s="1"/>
  <c r="J32" i="3" s="1"/>
  <c r="K8" i="2"/>
  <c r="K9" i="2" s="1"/>
  <c r="K13" i="2" s="1"/>
  <c r="K11" i="2"/>
  <c r="K10" i="2"/>
  <c r="L7" i="2"/>
  <c r="K15" i="4"/>
  <c r="K20" i="4" s="1"/>
  <c r="K9" i="3"/>
  <c r="I44" i="2"/>
  <c r="I45" i="2" s="1"/>
  <c r="I40" i="2"/>
  <c r="I8" i="2" s="1"/>
  <c r="I9" i="2" s="1"/>
  <c r="I42" i="2"/>
  <c r="I41" i="2" s="1"/>
  <c r="H44" i="2"/>
  <c r="H45" i="2" s="1"/>
  <c r="H42" i="2"/>
  <c r="H41" i="2" s="1"/>
  <c r="H40" i="2"/>
  <c r="H8" i="2" s="1"/>
  <c r="H9" i="2" s="1"/>
  <c r="K42" i="2"/>
  <c r="K41" i="2" s="1"/>
  <c r="K40" i="2"/>
  <c r="K44" i="2"/>
  <c r="K45" i="2" s="1"/>
  <c r="L42" i="2"/>
  <c r="L41" i="2" s="1"/>
  <c r="L40" i="2"/>
  <c r="L44" i="2"/>
  <c r="L45" i="2" s="1"/>
  <c r="J44" i="2"/>
  <c r="J45" i="2" s="1"/>
  <c r="J42" i="2"/>
  <c r="J41" i="2" s="1"/>
  <c r="J40" i="2"/>
  <c r="J8" i="2" s="1"/>
  <c r="J9" i="2" s="1"/>
  <c r="K17" i="2" l="1"/>
  <c r="K16" i="2"/>
  <c r="K23" i="3"/>
  <c r="K26" i="3" s="1"/>
  <c r="K32" i="3" s="1"/>
  <c r="I13" i="2"/>
  <c r="I23" i="3"/>
  <c r="H13" i="2"/>
  <c r="H23" i="3"/>
  <c r="K29" i="2"/>
  <c r="K60" i="2" s="1"/>
  <c r="K9" i="4"/>
  <c r="K14" i="3" s="1"/>
  <c r="J13" i="2"/>
  <c r="L10" i="2"/>
  <c r="L9" i="2"/>
  <c r="L11" i="2"/>
  <c r="L15" i="4"/>
  <c r="L20" i="4" s="1"/>
  <c r="L8" i="2"/>
  <c r="L23" i="3" s="1"/>
  <c r="L26" i="3" s="1"/>
  <c r="L32" i="3" s="1"/>
  <c r="L9" i="3"/>
  <c r="L12" i="4" s="1"/>
  <c r="I16" i="2" l="1"/>
  <c r="I17" i="2"/>
  <c r="I29" i="2"/>
  <c r="L13" i="2"/>
  <c r="L29" i="2" s="1"/>
  <c r="L60" i="2" s="1"/>
  <c r="L9" i="4"/>
  <c r="L14" i="3" s="1"/>
  <c r="H26" i="3"/>
  <c r="H32" i="3" s="1"/>
  <c r="H12" i="4"/>
  <c r="H17" i="2"/>
  <c r="H16" i="2"/>
  <c r="H29" i="2"/>
  <c r="J16" i="2"/>
  <c r="J17" i="2" s="1"/>
  <c r="J29" i="2"/>
  <c r="I26" i="3"/>
  <c r="I32" i="3" s="1"/>
  <c r="I12" i="4"/>
  <c r="J12" i="4"/>
  <c r="K12" i="4"/>
  <c r="K18" i="2"/>
  <c r="K21" i="2" s="1"/>
  <c r="K26" i="2" l="1"/>
  <c r="K59" i="2" s="1"/>
  <c r="K8" i="4"/>
  <c r="K11" i="4" s="1"/>
  <c r="K13" i="4" s="1"/>
  <c r="J18" i="2"/>
  <c r="J21" i="2" s="1"/>
  <c r="J60" i="2"/>
  <c r="H60" i="2"/>
  <c r="L16" i="2"/>
  <c r="L17" i="2" s="1"/>
  <c r="I60" i="2"/>
  <c r="I18" i="2"/>
  <c r="I21" i="2"/>
  <c r="H18" i="2"/>
  <c r="H21" i="2" s="1"/>
  <c r="L18" i="2" l="1"/>
  <c r="L21" i="2" s="1"/>
  <c r="H37" i="3"/>
  <c r="H8" i="4"/>
  <c r="H11" i="4" s="1"/>
  <c r="H13" i="4" s="1"/>
  <c r="H26" i="2"/>
  <c r="J8" i="4"/>
  <c r="J11" i="4" s="1"/>
  <c r="J13" i="4" s="1"/>
  <c r="J26" i="2"/>
  <c r="I8" i="4"/>
  <c r="I11" i="4" s="1"/>
  <c r="I13" i="4" s="1"/>
  <c r="I26" i="2"/>
  <c r="K36" i="4"/>
  <c r="K30" i="4"/>
  <c r="L8" i="4" l="1"/>
  <c r="L11" i="4" s="1"/>
  <c r="L13" i="4" s="1"/>
  <c r="L26" i="2"/>
  <c r="L59" i="2" s="1"/>
  <c r="H36" i="4"/>
  <c r="H30" i="4"/>
  <c r="H31" i="4" s="1"/>
  <c r="H59" i="2"/>
  <c r="I30" i="4"/>
  <c r="I36" i="4"/>
  <c r="J59" i="2"/>
  <c r="I59" i="2"/>
  <c r="I37" i="3"/>
  <c r="H38" i="3"/>
  <c r="J36" i="4"/>
  <c r="J37" i="4" s="1"/>
  <c r="J30" i="4"/>
  <c r="I31" i="4" l="1"/>
  <c r="H8" i="3"/>
  <c r="H12" i="3" s="1"/>
  <c r="H37" i="4"/>
  <c r="J37" i="3"/>
  <c r="I38" i="3"/>
  <c r="I37" i="4"/>
  <c r="K37" i="4"/>
  <c r="L36" i="4"/>
  <c r="L30" i="4"/>
  <c r="K37" i="3" l="1"/>
  <c r="J38" i="3"/>
  <c r="H20" i="3"/>
  <c r="H42" i="3"/>
  <c r="L37" i="4"/>
  <c r="J31" i="4"/>
  <c r="I8" i="3"/>
  <c r="I12" i="3" s="1"/>
  <c r="K31" i="4" l="1"/>
  <c r="J8" i="3"/>
  <c r="J12" i="3" s="1"/>
  <c r="H40" i="3"/>
  <c r="I20" i="3"/>
  <c r="I42" i="3"/>
  <c r="L37" i="3"/>
  <c r="L38" i="3" s="1"/>
  <c r="K38" i="3"/>
  <c r="I40" i="3" l="1"/>
  <c r="J20" i="3"/>
  <c r="J42" i="3"/>
  <c r="K8" i="3"/>
  <c r="K12" i="3" s="1"/>
  <c r="L31" i="4"/>
  <c r="L8" i="3" s="1"/>
  <c r="L12" i="3" s="1"/>
  <c r="L20" i="3" l="1"/>
  <c r="L40" i="3" s="1"/>
  <c r="L42" i="3"/>
  <c r="K42" i="3"/>
  <c r="K20" i="3"/>
  <c r="K40" i="3" s="1"/>
  <c r="J40" i="3"/>
</calcChain>
</file>

<file path=xl/sharedStrings.xml><?xml version="1.0" encoding="utf-8"?>
<sst xmlns="http://schemas.openxmlformats.org/spreadsheetml/2006/main" count="136" uniqueCount="106">
  <si>
    <t>($ in millions of U.S. Dollar)</t>
  </si>
  <si>
    <t>FYE DEC '18</t>
  </si>
  <si>
    <t>2019E</t>
  </si>
  <si>
    <t>2020E</t>
  </si>
  <si>
    <t>2021E</t>
  </si>
  <si>
    <t>EBITDA</t>
  </si>
  <si>
    <t>Bull</t>
  </si>
  <si>
    <t>Upside</t>
  </si>
  <si>
    <t>Base</t>
  </si>
  <si>
    <t>Downside</t>
  </si>
  <si>
    <t>Bear</t>
  </si>
  <si>
    <t>1 - Bull</t>
  </si>
  <si>
    <t>Income Statement</t>
  </si>
  <si>
    <t>Case</t>
  </si>
  <si>
    <t>2 - Upside</t>
  </si>
  <si>
    <t>Annual</t>
  </si>
  <si>
    <t>3 - Base</t>
  </si>
  <si>
    <t>4 - Downside</t>
  </si>
  <si>
    <t>2022E</t>
  </si>
  <si>
    <t>2023E</t>
  </si>
  <si>
    <t>5 - Bear</t>
  </si>
  <si>
    <t>Sales</t>
  </si>
  <si>
    <t>Cost of Goods Sold (COGS) excl. D&amp;A</t>
  </si>
  <si>
    <t>Gross Income</t>
  </si>
  <si>
    <t>Depreciation &amp; Amortization Expense</t>
  </si>
  <si>
    <t>SG&amp;A Expense</t>
  </si>
  <si>
    <t>Other Operating Expense</t>
  </si>
  <si>
    <t>EBIT (Operating Income)</t>
  </si>
  <si>
    <t>Nonoperating Income - Net</t>
  </si>
  <si>
    <t>Interest Expense</t>
  </si>
  <si>
    <t>Unusual Expense - Net</t>
  </si>
  <si>
    <t>Pretax Income</t>
  </si>
  <si>
    <t>Income Taxes</t>
  </si>
  <si>
    <t>Net Income</t>
  </si>
  <si>
    <t>Per Share</t>
  </si>
  <si>
    <t>EPS (diluted)</t>
  </si>
  <si>
    <t>Dividends per Share</t>
  </si>
  <si>
    <t>Diluted Shares Outstanding</t>
  </si>
  <si>
    <t>Driver Ratios</t>
  </si>
  <si>
    <t>Sales Growth %</t>
  </si>
  <si>
    <t>COGS Sales Ratio</t>
  </si>
  <si>
    <t>SG&amp;A Sales Ratio</t>
  </si>
  <si>
    <t>D&amp;A Sales Ratio</t>
  </si>
  <si>
    <t>Unusual Expense EBIT Ratio</t>
  </si>
  <si>
    <t>Effective Tax Rate</t>
  </si>
  <si>
    <t>Dividend Payout Ratio</t>
  </si>
  <si>
    <t>EBITDA Margin</t>
  </si>
  <si>
    <t>Balance Sheet</t>
  </si>
  <si>
    <t>Assets</t>
  </si>
  <si>
    <t>Cash &amp; Short-Term Investments</t>
  </si>
  <si>
    <t>Short-Term Receivables</t>
  </si>
  <si>
    <t>Inventories</t>
  </si>
  <si>
    <t>Other Current Assets</t>
  </si>
  <si>
    <t>Total Current Assets</t>
  </si>
  <si>
    <t>Net Property, Plant &amp; Equipment</t>
  </si>
  <si>
    <t>Total Investments and Advances</t>
  </si>
  <si>
    <t>Long-Term Note Receivable</t>
  </si>
  <si>
    <t>Intangible Assets</t>
  </si>
  <si>
    <t>Deferred Tax Assets</t>
  </si>
  <si>
    <t>Other Assets</t>
  </si>
  <si>
    <t>Total Assets</t>
  </si>
  <si>
    <t>Liabilities &amp; Shareholders' Equity</t>
  </si>
  <si>
    <t>ST Debt &amp; Curr. Portion LT Debt</t>
  </si>
  <si>
    <t>Accounts Payable</t>
  </si>
  <si>
    <t>Income Tax Payable</t>
  </si>
  <si>
    <t>Other Current Liabilities</t>
  </si>
  <si>
    <t>Total Current Liabilities</t>
  </si>
  <si>
    <t>Long-Term Debt</t>
  </si>
  <si>
    <t>Provision for Risks &amp; Charges</t>
  </si>
  <si>
    <t>Deferred Tax Liabilities</t>
  </si>
  <si>
    <t>Other Liabilities</t>
  </si>
  <si>
    <t>Total Liabilities</t>
  </si>
  <si>
    <t>Total Equity</t>
  </si>
  <si>
    <t>Total Liabilities &amp; Shareholders' Equity</t>
  </si>
  <si>
    <t>Balance</t>
  </si>
  <si>
    <t>Working Capital</t>
  </si>
  <si>
    <t>DSO</t>
  </si>
  <si>
    <t>Other Current Assets Growth %</t>
  </si>
  <si>
    <t>DPO</t>
  </si>
  <si>
    <t>Miscellaneous Current Liabilities Growth %</t>
  </si>
  <si>
    <t>Inventory Turnover Ratio</t>
  </si>
  <si>
    <t>Cashflow Statement</t>
  </si>
  <si>
    <t>Operating Activities</t>
  </si>
  <si>
    <t>Net Income / Starting Line</t>
  </si>
  <si>
    <t>Depreciation, Depletion &amp; Amortization</t>
  </si>
  <si>
    <t>Other Funds</t>
  </si>
  <si>
    <t>Funds from Operations</t>
  </si>
  <si>
    <t>Changes in Working Capital</t>
  </si>
  <si>
    <t>Net Operating Cash Flow</t>
  </si>
  <si>
    <t>Investing Activities</t>
  </si>
  <si>
    <t>Capital Expenditures</t>
  </si>
  <si>
    <t>Net Assets from Acquisitions</t>
  </si>
  <si>
    <t>Sale of Fixed Assets &amp; Businesses</t>
  </si>
  <si>
    <t>Purchase/Sale of Investments</t>
  </si>
  <si>
    <t>Net Investing Cash Flow</t>
  </si>
  <si>
    <t>Financing Activities</t>
  </si>
  <si>
    <t>Cash Dividends Paid</t>
  </si>
  <si>
    <t>Change in Capital Stock</t>
  </si>
  <si>
    <t>Issuance/Reduction of Debt, Net</t>
  </si>
  <si>
    <t>Net Financing Cash Flow</t>
  </si>
  <si>
    <t>Net Change in Cash</t>
  </si>
  <si>
    <t>Cash Balance</t>
  </si>
  <si>
    <t>Capital Expenditure Revenue Ratio</t>
  </si>
  <si>
    <t>Other Funds Net Operating CF Ratio</t>
  </si>
  <si>
    <t>Levered Free Cash Flow</t>
  </si>
  <si>
    <t>Levered Free Cash Flow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</si>
</sst>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#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name val="Calibri"/>
    </font>
    <font>
      <b/>
      <u/>
      <sz val="11"/>
      <name val="Calibri"/>
    </font>
    <font>
      <b/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ABABA"/>
      </patternFill>
    </fill>
    <fill>
      <patternFill patternType="solid">
        <fgColor rgb="FFDDDDDD"/>
      </patternFill>
    </fill>
    <fill>
      <patternFill patternType="solid">
        <fgColor rgb="FFFFF2CC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Continuous"/>
    </xf>
    <xf numFmtId="164" fontId="1" fillId="0" borderId="0" xfId="0" applyNumberFormat="1" applyFont="1"/>
    <xf numFmtId="10" fontId="2" fillId="0" borderId="0" xfId="0" applyNumberFormat="1" applyFont="1"/>
    <xf numFmtId="0" fontId="0" fillId="3" borderId="0" xfId="0" applyFill="1"/>
    <xf numFmtId="0" fontId="1" fillId="0" borderId="0" xfId="0" applyFont="1"/>
    <xf numFmtId="0" fontId="4" fillId="4" borderId="3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1" xfId="0" applyFont="1" applyBorder="1" applyAlignment="1">
      <alignment horizontal="center" vertical="center"/>
    </xf>
    <xf numFmtId="0" fontId="1" fillId="3" borderId="0" xfId="0" applyFont="1" applyFill="1"/>
    <xf numFmtId="164" fontId="1" fillId="0" borderId="2" xfId="0" applyNumberFormat="1" applyFont="1" applyBorder="1"/>
    <xf numFmtId="0" fontId="3" fillId="3" borderId="0" xfId="0" applyFont="1" applyFill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0"/>
  <sheetViews>
    <sheetView showGridLines="0" workbookViewId="0"/>
  </sheetViews>
  <sheetFormatPr defaultRowHeight="14.4" x14ac:dyDescent="0.3"/>
  <cols>
    <col min="2" max="2" width="50" customWidth="1"/>
  </cols>
  <sheetData>
    <row r="1" spans="2:13" x14ac:dyDescent="0.3">
      <c r="M1" t="s">
        <v>11</v>
      </c>
    </row>
    <row r="2" spans="2:13" x14ac:dyDescent="0.3">
      <c r="B2" s="1" t="s">
        <v>12</v>
      </c>
      <c r="K2" s="7" t="s">
        <v>13</v>
      </c>
      <c r="L2" s="8">
        <v>3</v>
      </c>
      <c r="M2" t="s">
        <v>14</v>
      </c>
    </row>
    <row r="3" spans="2:13" x14ac:dyDescent="0.3">
      <c r="B3" s="2" t="s">
        <v>0</v>
      </c>
      <c r="C3" s="9"/>
      <c r="D3" s="9"/>
      <c r="E3" s="9"/>
      <c r="F3" s="9"/>
      <c r="G3" s="3" t="s">
        <v>15</v>
      </c>
      <c r="H3" s="10"/>
      <c r="I3" s="9"/>
      <c r="J3" s="9"/>
      <c r="K3" s="9"/>
      <c r="L3" s="9"/>
      <c r="M3" t="s">
        <v>16</v>
      </c>
    </row>
    <row r="4" spans="2:13" x14ac:dyDescent="0.3">
      <c r="G4" s="11" t="s">
        <v>1</v>
      </c>
      <c r="H4" s="11"/>
      <c r="M4" t="s">
        <v>17</v>
      </c>
    </row>
    <row r="5" spans="2:13" x14ac:dyDescent="0.3">
      <c r="C5" s="12">
        <v>2014</v>
      </c>
      <c r="D5" s="12">
        <v>2015</v>
      </c>
      <c r="E5" s="12">
        <v>2016</v>
      </c>
      <c r="F5" s="12">
        <v>2017</v>
      </c>
      <c r="G5" s="12">
        <v>2018</v>
      </c>
      <c r="H5" s="12" t="s">
        <v>2</v>
      </c>
      <c r="I5" s="12" t="s">
        <v>3</v>
      </c>
      <c r="J5" s="12" t="s">
        <v>4</v>
      </c>
      <c r="K5" s="12" t="s">
        <v>18</v>
      </c>
      <c r="L5" s="12" t="s">
        <v>19</v>
      </c>
      <c r="M5" t="s">
        <v>20</v>
      </c>
    </row>
    <row r="7" spans="2:13" x14ac:dyDescent="0.3">
      <c r="B7" s="13" t="s">
        <v>21</v>
      </c>
      <c r="C7" s="4">
        <v>14534</v>
      </c>
      <c r="D7" s="4">
        <v>16915</v>
      </c>
      <c r="E7" s="4">
        <v>19291</v>
      </c>
      <c r="F7" s="4">
        <v>21218</v>
      </c>
      <c r="G7" s="4">
        <v>21915</v>
      </c>
      <c r="H7" s="4">
        <f>G7*(1+H33)</f>
        <v>26298</v>
      </c>
      <c r="I7" s="4">
        <f>H7*(1+I33)</f>
        <v>31557.599999999999</v>
      </c>
      <c r="J7" s="4">
        <f>I7*(1+J33)</f>
        <v>37869.119999999995</v>
      </c>
      <c r="K7" s="4">
        <f>J7*(1+K33)</f>
        <v>45442.943999999996</v>
      </c>
      <c r="L7" s="4">
        <f>K7*(1+L33)</f>
        <v>54531.532799999994</v>
      </c>
    </row>
    <row r="8" spans="2:13" x14ac:dyDescent="0.3">
      <c r="B8" s="6" t="s">
        <v>22</v>
      </c>
      <c r="C8">
        <f>7924-C10</f>
        <v>7608</v>
      </c>
      <c r="D8">
        <f>9084-D10</f>
        <v>8745</v>
      </c>
      <c r="E8">
        <f>10281-E10</f>
        <v>9909</v>
      </c>
      <c r="F8">
        <f>10933-F10</f>
        <v>10512</v>
      </c>
      <c r="G8">
        <f>11019-G10</f>
        <v>10549</v>
      </c>
      <c r="H8">
        <f>H7*H40</f>
        <v>12658.800000000001</v>
      </c>
      <c r="I8">
        <f>I7*I40</f>
        <v>15190.56</v>
      </c>
      <c r="J8">
        <f>J7*J40</f>
        <v>18228.671999999999</v>
      </c>
      <c r="K8">
        <f>K7*K40</f>
        <v>21874.4064</v>
      </c>
      <c r="L8">
        <f>L7*L40</f>
        <v>26249.287679999998</v>
      </c>
    </row>
    <row r="9" spans="2:13" x14ac:dyDescent="0.3">
      <c r="B9" s="13" t="s">
        <v>23</v>
      </c>
      <c r="C9" s="14">
        <v>6610</v>
      </c>
      <c r="D9" s="14">
        <v>7831</v>
      </c>
      <c r="E9" s="14">
        <v>9010</v>
      </c>
      <c r="F9" s="14">
        <v>10285</v>
      </c>
      <c r="G9" s="14">
        <v>10896</v>
      </c>
      <c r="H9" s="14">
        <f>H7-H8</f>
        <v>13639.199999999999</v>
      </c>
      <c r="I9" s="14">
        <f>I7-I8</f>
        <v>16367.039999999999</v>
      </c>
      <c r="J9" s="14">
        <f>J7-J8</f>
        <v>19640.447999999997</v>
      </c>
      <c r="K9" s="14">
        <f>K7-K8</f>
        <v>23568.537599999996</v>
      </c>
      <c r="L9" s="14">
        <f>L7-L8</f>
        <v>28282.245119999996</v>
      </c>
    </row>
    <row r="10" spans="2:13" x14ac:dyDescent="0.3">
      <c r="B10" s="6" t="s">
        <v>24</v>
      </c>
      <c r="C10">
        <f>'Cashflow Statement'!C9</f>
        <v>316</v>
      </c>
      <c r="D10">
        <f>'Cashflow Statement'!D9</f>
        <v>339</v>
      </c>
      <c r="E10">
        <f>'Cashflow Statement'!E9</f>
        <v>372</v>
      </c>
      <c r="F10">
        <f>'Cashflow Statement'!F9</f>
        <v>421</v>
      </c>
      <c r="G10">
        <f>'Cashflow Statement'!G9</f>
        <v>470</v>
      </c>
      <c r="H10">
        <f>H7*H54</f>
        <v>564</v>
      </c>
      <c r="I10">
        <f>I7*I54</f>
        <v>676.8</v>
      </c>
      <c r="J10">
        <f>J7*J54</f>
        <v>812.15999999999985</v>
      </c>
      <c r="K10">
        <f>K7*K54</f>
        <v>974.59199999999987</v>
      </c>
      <c r="L10">
        <f>L7*L54</f>
        <v>1169.5103999999999</v>
      </c>
    </row>
    <row r="11" spans="2:13" x14ac:dyDescent="0.3">
      <c r="B11" s="6" t="s">
        <v>25</v>
      </c>
      <c r="C11">
        <v>5870</v>
      </c>
      <c r="D11">
        <v>6469</v>
      </c>
      <c r="E11">
        <v>7868.4</v>
      </c>
      <c r="F11">
        <v>8437.6</v>
      </c>
      <c r="G11">
        <v>8601</v>
      </c>
      <c r="H11">
        <f>H7*H47</f>
        <v>10321.200000000001</v>
      </c>
      <c r="I11">
        <f>I7*I47</f>
        <v>12385.439999999999</v>
      </c>
      <c r="J11">
        <f>J7*J47</f>
        <v>14862.527999999998</v>
      </c>
      <c r="K11">
        <f>K7*K47</f>
        <v>17835.033599999999</v>
      </c>
      <c r="L11">
        <f>L7*L47</f>
        <v>21402.040319999996</v>
      </c>
    </row>
    <row r="12" spans="2:13" x14ac:dyDescent="0.3">
      <c r="B12" s="6" t="s">
        <v>26</v>
      </c>
      <c r="C12">
        <v>-89</v>
      </c>
      <c r="D12">
        <v>-50</v>
      </c>
      <c r="E12">
        <v>-55</v>
      </c>
      <c r="F12">
        <v>-60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3" x14ac:dyDescent="0.3">
      <c r="B13" s="13" t="s">
        <v>27</v>
      </c>
      <c r="C13" s="14">
        <v>829</v>
      </c>
      <c r="D13" s="14">
        <v>1412</v>
      </c>
      <c r="E13" s="14">
        <v>1196.5999999999999</v>
      </c>
      <c r="F13" s="14">
        <v>1907.4</v>
      </c>
      <c r="G13" s="14">
        <v>2295</v>
      </c>
      <c r="H13" s="14">
        <f>H9-SUM(H10:H12)</f>
        <v>2753.9999999999982</v>
      </c>
      <c r="I13" s="14">
        <f>I9-SUM(I10:I12)</f>
        <v>3304.8000000000011</v>
      </c>
      <c r="J13" s="14">
        <f>J9-SUM(J10:J12)</f>
        <v>3965.7599999999984</v>
      </c>
      <c r="K13" s="14">
        <f>K9-SUM(K10:K12)</f>
        <v>4758.9119999999966</v>
      </c>
      <c r="L13" s="14">
        <f>L9-SUM(L10:L12)</f>
        <v>5710.6944000000003</v>
      </c>
    </row>
    <row r="14" spans="2:13" x14ac:dyDescent="0.3">
      <c r="B14" s="6" t="s">
        <v>28</v>
      </c>
      <c r="C14">
        <v>161</v>
      </c>
      <c r="D14">
        <v>-255</v>
      </c>
      <c r="E14">
        <v>274</v>
      </c>
      <c r="F14">
        <v>230</v>
      </c>
      <c r="G14">
        <v>146</v>
      </c>
      <c r="H14">
        <v>146</v>
      </c>
      <c r="I14">
        <v>146</v>
      </c>
      <c r="J14">
        <v>146</v>
      </c>
      <c r="K14">
        <v>146</v>
      </c>
      <c r="L14">
        <v>146</v>
      </c>
    </row>
    <row r="15" spans="2:13" x14ac:dyDescent="0.3">
      <c r="B15" s="6" t="s">
        <v>29</v>
      </c>
      <c r="C15">
        <v>59</v>
      </c>
      <c r="D15">
        <v>65</v>
      </c>
      <c r="E15">
        <v>70</v>
      </c>
      <c r="F15">
        <v>62</v>
      </c>
      <c r="G15">
        <v>47</v>
      </c>
      <c r="H15">
        <v>47</v>
      </c>
      <c r="I15">
        <v>47</v>
      </c>
      <c r="J15">
        <v>47</v>
      </c>
      <c r="K15">
        <v>47</v>
      </c>
      <c r="L15">
        <v>47</v>
      </c>
    </row>
    <row r="16" spans="2:13" x14ac:dyDescent="0.3">
      <c r="B16" s="6" t="s">
        <v>30</v>
      </c>
      <c r="C16">
        <v>96</v>
      </c>
      <c r="D16">
        <v>53</v>
      </c>
      <c r="E16">
        <v>-44.4</v>
      </c>
      <c r="F16">
        <v>52.4</v>
      </c>
      <c r="G16">
        <v>16</v>
      </c>
      <c r="H16">
        <f>H13*H56</f>
        <v>82.992384730596129</v>
      </c>
      <c r="I16">
        <f>I13*I56</f>
        <v>99.590861676715448</v>
      </c>
      <c r="J16">
        <f>J13*J56</f>
        <v>119.50903401205846</v>
      </c>
      <c r="K16">
        <f>K13*K56</f>
        <v>143.41084081447011</v>
      </c>
      <c r="L16">
        <f>L13*L56</f>
        <v>172.09300897736426</v>
      </c>
    </row>
    <row r="17" spans="2:12" x14ac:dyDescent="0.3">
      <c r="B17" s="13" t="s">
        <v>31</v>
      </c>
      <c r="C17" s="14">
        <f>C12+C13-C14-C15</f>
        <v>520</v>
      </c>
      <c r="D17" s="14">
        <f>D12+D13-D14-D15</f>
        <v>1552</v>
      </c>
      <c r="E17" s="14">
        <f>E12+E13-E14-E15</f>
        <v>797.59999999999991</v>
      </c>
      <c r="F17" s="14">
        <f>F12+F13-F14-F15</f>
        <v>1555.4</v>
      </c>
      <c r="G17" s="14">
        <f>G12+G13-G14-G15</f>
        <v>2102</v>
      </c>
      <c r="H17" s="14">
        <f>H13+H14-H15-H16</f>
        <v>2770.0076152694019</v>
      </c>
      <c r="I17" s="14">
        <f>I13+I14-I15-I16</f>
        <v>3304.2091383232855</v>
      </c>
      <c r="J17" s="14">
        <f>J13+J14-J15-J16</f>
        <v>3945.2509659879397</v>
      </c>
      <c r="K17" s="14">
        <f>K13+K14-K15-K16</f>
        <v>4714.5011591855264</v>
      </c>
      <c r="L17" s="14">
        <f>L13+L14-L15-L16</f>
        <v>5637.6013910226357</v>
      </c>
    </row>
    <row r="18" spans="2:12" x14ac:dyDescent="0.3">
      <c r="B18" s="6" t="s">
        <v>32</v>
      </c>
      <c r="C18">
        <v>271</v>
      </c>
      <c r="D18">
        <v>353</v>
      </c>
      <c r="E18">
        <v>426</v>
      </c>
      <c r="F18">
        <v>669</v>
      </c>
      <c r="G18">
        <v>669</v>
      </c>
      <c r="H18">
        <f>H17*H58</f>
        <v>1125.2254923291937</v>
      </c>
      <c r="I18">
        <f>I17*I58</f>
        <v>1342.2274848391858</v>
      </c>
      <c r="J18">
        <f>J17*J58</f>
        <v>1602.6298758511734</v>
      </c>
      <c r="K18">
        <f>K17*K58</f>
        <v>1915.1127450655595</v>
      </c>
      <c r="L18">
        <f>L17*L58</f>
        <v>2290.0921881228251</v>
      </c>
    </row>
    <row r="19" spans="2:12" x14ac:dyDescent="0.3">
      <c r="B19" s="6"/>
    </row>
    <row r="20" spans="2:12" x14ac:dyDescent="0.3">
      <c r="B20" s="6"/>
    </row>
    <row r="21" spans="2:12" x14ac:dyDescent="0.3">
      <c r="B21" s="13" t="s">
        <v>33</v>
      </c>
      <c r="C21" s="14">
        <f t="shared" ref="C21:L21" si="0">C17-C18</f>
        <v>249</v>
      </c>
      <c r="D21" s="14">
        <f t="shared" si="0"/>
        <v>1199</v>
      </c>
      <c r="E21" s="14">
        <f t="shared" si="0"/>
        <v>371.59999999999991</v>
      </c>
      <c r="F21" s="14">
        <f t="shared" si="0"/>
        <v>886.40000000000009</v>
      </c>
      <c r="G21" s="14">
        <f t="shared" si="0"/>
        <v>1433</v>
      </c>
      <c r="H21" s="14">
        <f t="shared" si="0"/>
        <v>1644.7821229402082</v>
      </c>
      <c r="I21" s="14">
        <f t="shared" si="0"/>
        <v>1961.9816534840998</v>
      </c>
      <c r="J21" s="14">
        <f t="shared" si="0"/>
        <v>2342.6210901367663</v>
      </c>
      <c r="K21" s="14">
        <f t="shared" si="0"/>
        <v>2799.3884141199669</v>
      </c>
      <c r="L21" s="14">
        <f t="shared" si="0"/>
        <v>3347.5092028998106</v>
      </c>
    </row>
    <row r="22" spans="2:12" x14ac:dyDescent="0.3">
      <c r="B22" s="6"/>
    </row>
    <row r="23" spans="2:12" x14ac:dyDescent="0.3">
      <c r="B23" s="6"/>
    </row>
    <row r="24" spans="2:12" x14ac:dyDescent="0.3">
      <c r="B24" s="6" t="s">
        <v>34</v>
      </c>
    </row>
    <row r="25" spans="2:12" x14ac:dyDescent="0.3">
      <c r="B25" s="6"/>
    </row>
    <row r="26" spans="2:12" x14ac:dyDescent="0.3">
      <c r="B26" s="6" t="s">
        <v>35</v>
      </c>
      <c r="C26">
        <v>2.35</v>
      </c>
      <c r="D26">
        <v>3.3</v>
      </c>
      <c r="E26">
        <v>4.99</v>
      </c>
      <c r="F26">
        <v>6.63</v>
      </c>
      <c r="G26">
        <v>8.4238999999999997</v>
      </c>
      <c r="H26">
        <f>H21/H30</f>
        <v>30.572158418962978</v>
      </c>
      <c r="I26">
        <f>I21/I30</f>
        <v>36.468060473682151</v>
      </c>
      <c r="J26">
        <f>J21/J30</f>
        <v>43.543142939345103</v>
      </c>
      <c r="K26">
        <f>K21/K30</f>
        <v>52.033241898140652</v>
      </c>
      <c r="L26">
        <f>L21/L30</f>
        <v>62.221360648695367</v>
      </c>
    </row>
    <row r="27" spans="2:12" x14ac:dyDescent="0.3">
      <c r="B27" s="6"/>
    </row>
    <row r="28" spans="2:12" x14ac:dyDescent="0.3">
      <c r="B28" s="6" t="s">
        <v>36</v>
      </c>
      <c r="C28">
        <v>1.5</v>
      </c>
      <c r="D28">
        <v>1.6</v>
      </c>
      <c r="E28">
        <v>2</v>
      </c>
      <c r="F28">
        <v>2.6</v>
      </c>
      <c r="G28">
        <v>3.35</v>
      </c>
      <c r="H28">
        <v>3.35</v>
      </c>
      <c r="I28">
        <v>3.35</v>
      </c>
      <c r="J28">
        <v>3.35</v>
      </c>
      <c r="K28">
        <v>3.35</v>
      </c>
      <c r="L28">
        <v>3.35</v>
      </c>
    </row>
    <row r="29" spans="2:12" x14ac:dyDescent="0.3">
      <c r="B29" s="6" t="s">
        <v>5</v>
      </c>
      <c r="C29">
        <f t="shared" ref="C29:L29" si="1">C10+C13</f>
        <v>1145</v>
      </c>
      <c r="D29">
        <f t="shared" si="1"/>
        <v>1751</v>
      </c>
      <c r="E29">
        <f t="shared" si="1"/>
        <v>1568.6</v>
      </c>
      <c r="F29">
        <f t="shared" si="1"/>
        <v>2328.4</v>
      </c>
      <c r="G29">
        <f t="shared" si="1"/>
        <v>2765</v>
      </c>
      <c r="H29">
        <f t="shared" si="1"/>
        <v>3317.9999999999982</v>
      </c>
      <c r="I29">
        <f t="shared" si="1"/>
        <v>3981.6000000000013</v>
      </c>
      <c r="J29">
        <f t="shared" si="1"/>
        <v>4777.9199999999983</v>
      </c>
      <c r="K29">
        <f t="shared" si="1"/>
        <v>5733.5039999999963</v>
      </c>
      <c r="L29">
        <f t="shared" si="1"/>
        <v>6880.2048000000004</v>
      </c>
    </row>
    <row r="30" spans="2:12" x14ac:dyDescent="0.3">
      <c r="B30" s="6" t="s">
        <v>37</v>
      </c>
      <c r="G30">
        <v>53.8</v>
      </c>
      <c r="H30">
        <v>53.8</v>
      </c>
      <c r="I30">
        <v>53.8</v>
      </c>
      <c r="J30">
        <v>53.8</v>
      </c>
      <c r="K30">
        <v>53.8</v>
      </c>
      <c r="L30">
        <v>53.8</v>
      </c>
    </row>
    <row r="31" spans="2:12" x14ac:dyDescent="0.3">
      <c r="B31" s="6"/>
    </row>
    <row r="32" spans="2:12" x14ac:dyDescent="0.3">
      <c r="B32" s="15" t="s">
        <v>38</v>
      </c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3" x14ac:dyDescent="0.3">
      <c r="B33" s="6" t="s">
        <v>39</v>
      </c>
      <c r="C33" s="16"/>
      <c r="D33" s="16">
        <f>D7/C7-1</f>
        <v>0.16382276042383381</v>
      </c>
      <c r="E33" s="16">
        <f>E7/D7-1</f>
        <v>0.14046704108779196</v>
      </c>
      <c r="F33" s="16">
        <f>F7/E7-1</f>
        <v>9.989114094655549E-2</v>
      </c>
      <c r="G33" s="16">
        <f>G7/F7-1</f>
        <v>3.2849467433311297E-2</v>
      </c>
      <c r="H33" s="16">
        <f>CHOOSE($L$2, H34, H35, H36, H37, H38)</f>
        <v>0.2</v>
      </c>
      <c r="I33" s="16">
        <f>CHOOSE($L$2, I34, I35, I36, I37, I38)</f>
        <v>0.2</v>
      </c>
      <c r="J33" s="16">
        <f>CHOOSE($L$2, J34, J35, J36, J37, J38)</f>
        <v>0.2</v>
      </c>
      <c r="K33" s="16">
        <f>CHOOSE($L$2, K34, K35, K36, K37, K38)</f>
        <v>0.2</v>
      </c>
      <c r="L33" s="16">
        <f>CHOOSE($L$2, L34, L35, L36, L37, L38)</f>
        <v>0.2</v>
      </c>
    </row>
    <row r="34" spans="2:13" x14ac:dyDescent="0.3">
      <c r="B34" s="6" t="s">
        <v>6</v>
      </c>
      <c r="C34" s="5"/>
      <c r="D34" s="5"/>
      <c r="E34" s="5"/>
      <c r="F34" s="5"/>
      <c r="G34" s="5"/>
      <c r="H34" s="5">
        <f t="shared" ref="H34:L35" si="2">H35+$M$36</f>
        <v>0.22000000000000003</v>
      </c>
      <c r="I34" s="5">
        <f t="shared" si="2"/>
        <v>0.22000000000000003</v>
      </c>
      <c r="J34" s="5">
        <f t="shared" si="2"/>
        <v>0.22000000000000003</v>
      </c>
      <c r="K34" s="5">
        <f t="shared" si="2"/>
        <v>0.22000000000000003</v>
      </c>
      <c r="L34" s="5">
        <f t="shared" si="2"/>
        <v>0.22000000000000003</v>
      </c>
    </row>
    <row r="35" spans="2:13" x14ac:dyDescent="0.3">
      <c r="B35" s="6" t="s">
        <v>7</v>
      </c>
      <c r="C35" s="5"/>
      <c r="D35" s="5"/>
      <c r="E35" s="5"/>
      <c r="F35" s="5"/>
      <c r="G35" s="5"/>
      <c r="H35" s="5">
        <f t="shared" si="2"/>
        <v>0.21000000000000002</v>
      </c>
      <c r="I35" s="5">
        <f t="shared" si="2"/>
        <v>0.21000000000000002</v>
      </c>
      <c r="J35" s="5">
        <f t="shared" si="2"/>
        <v>0.21000000000000002</v>
      </c>
      <c r="K35" s="5">
        <f t="shared" si="2"/>
        <v>0.21000000000000002</v>
      </c>
      <c r="L35" s="5">
        <f t="shared" si="2"/>
        <v>0.21000000000000002</v>
      </c>
    </row>
    <row r="36" spans="2:13" x14ac:dyDescent="0.3">
      <c r="B36" s="6" t="s">
        <v>8</v>
      </c>
      <c r="C36" s="5"/>
      <c r="D36" s="5"/>
      <c r="E36" s="5"/>
      <c r="F36" s="5"/>
      <c r="G36" s="5"/>
      <c r="H36" s="5">
        <v>0.2</v>
      </c>
      <c r="I36" s="5">
        <v>0.2</v>
      </c>
      <c r="J36" s="5">
        <v>0.2</v>
      </c>
      <c r="K36" s="5">
        <v>0.2</v>
      </c>
      <c r="L36" s="5">
        <v>0.2</v>
      </c>
      <c r="M36" s="8">
        <v>0.01</v>
      </c>
    </row>
    <row r="37" spans="2:13" x14ac:dyDescent="0.3">
      <c r="B37" s="6" t="s">
        <v>9</v>
      </c>
      <c r="C37" s="5"/>
      <c r="D37" s="5"/>
      <c r="E37" s="5"/>
      <c r="F37" s="5"/>
      <c r="G37" s="5"/>
      <c r="H37" s="5">
        <f t="shared" ref="H37:L38" si="3">H36-$M$36</f>
        <v>0.19</v>
      </c>
      <c r="I37" s="5">
        <f t="shared" si="3"/>
        <v>0.19</v>
      </c>
      <c r="J37" s="5">
        <f t="shared" si="3"/>
        <v>0.19</v>
      </c>
      <c r="K37" s="5">
        <f t="shared" si="3"/>
        <v>0.19</v>
      </c>
      <c r="L37" s="5">
        <f t="shared" si="3"/>
        <v>0.19</v>
      </c>
    </row>
    <row r="38" spans="2:13" x14ac:dyDescent="0.3">
      <c r="B38" s="6" t="s">
        <v>10</v>
      </c>
      <c r="C38" s="5"/>
      <c r="D38" s="5"/>
      <c r="E38" s="5"/>
      <c r="F38" s="5"/>
      <c r="G38" s="5"/>
      <c r="H38" s="5">
        <f t="shared" si="3"/>
        <v>0.18</v>
      </c>
      <c r="I38" s="5">
        <f t="shared" si="3"/>
        <v>0.18</v>
      </c>
      <c r="J38" s="5">
        <f t="shared" si="3"/>
        <v>0.18</v>
      </c>
      <c r="K38" s="5">
        <f t="shared" si="3"/>
        <v>0.18</v>
      </c>
      <c r="L38" s="5">
        <f t="shared" si="3"/>
        <v>0.18</v>
      </c>
    </row>
    <row r="39" spans="2:13" x14ac:dyDescent="0.3">
      <c r="B39" s="6"/>
    </row>
    <row r="40" spans="2:13" x14ac:dyDescent="0.3">
      <c r="B40" s="6" t="s">
        <v>40</v>
      </c>
      <c r="C40" s="16">
        <f>C8/C7</f>
        <v>0.52346222650337138</v>
      </c>
      <c r="D40" s="16">
        <f>D8/D7</f>
        <v>0.51699674844812293</v>
      </c>
      <c r="E40" s="16">
        <f>E8/E7</f>
        <v>0.51365921932507386</v>
      </c>
      <c r="F40" s="16">
        <f>F8/F7</f>
        <v>0.4954284098407013</v>
      </c>
      <c r="G40" s="16">
        <f>G8/G7</f>
        <v>0.48135979922427563</v>
      </c>
      <c r="H40" s="16">
        <f>CHOOSE($L$2, H41, H42, H43, H44, H45)</f>
        <v>0.48135979922427563</v>
      </c>
      <c r="I40" s="16">
        <f>CHOOSE($L$2, I41, I42, I43, I44, I45)</f>
        <v>0.48135979922427563</v>
      </c>
      <c r="J40" s="16">
        <f>CHOOSE($L$2, J41, J42, J43, J44, J45)</f>
        <v>0.48135979922427563</v>
      </c>
      <c r="K40" s="16">
        <f>CHOOSE($L$2, K41, K42, K43, K44, K45)</f>
        <v>0.48135979922427563</v>
      </c>
      <c r="L40" s="16">
        <f>CHOOSE($L$2, L41, L42, L43, L44, L45)</f>
        <v>0.48135979922427563</v>
      </c>
    </row>
    <row r="41" spans="2:13" x14ac:dyDescent="0.3">
      <c r="B41" s="6" t="s">
        <v>6</v>
      </c>
      <c r="C41" s="5"/>
      <c r="D41" s="5"/>
      <c r="E41" s="5"/>
      <c r="F41" s="5"/>
      <c r="G41" s="5"/>
      <c r="H41" s="5">
        <f t="shared" ref="H41:L42" si="4">H42+$M$43</f>
        <v>0.46135979922427561</v>
      </c>
      <c r="I41" s="5">
        <f t="shared" si="4"/>
        <v>0.46135979922427561</v>
      </c>
      <c r="J41" s="5">
        <f t="shared" si="4"/>
        <v>0.46135979922427561</v>
      </c>
      <c r="K41" s="5">
        <f t="shared" si="4"/>
        <v>0.46135979922427561</v>
      </c>
      <c r="L41" s="5">
        <f t="shared" si="4"/>
        <v>0.46135979922427561</v>
      </c>
    </row>
    <row r="42" spans="2:13" x14ac:dyDescent="0.3">
      <c r="B42" s="6" t="s">
        <v>7</v>
      </c>
      <c r="C42" s="5"/>
      <c r="D42" s="5"/>
      <c r="E42" s="5"/>
      <c r="F42" s="5"/>
      <c r="G42" s="5"/>
      <c r="H42" s="5">
        <f t="shared" si="4"/>
        <v>0.47135979922427562</v>
      </c>
      <c r="I42" s="5">
        <f t="shared" si="4"/>
        <v>0.47135979922427562</v>
      </c>
      <c r="J42" s="5">
        <f t="shared" si="4"/>
        <v>0.47135979922427562</v>
      </c>
      <c r="K42" s="5">
        <f t="shared" si="4"/>
        <v>0.47135979922427562</v>
      </c>
      <c r="L42" s="5">
        <f t="shared" si="4"/>
        <v>0.47135979922427562</v>
      </c>
    </row>
    <row r="43" spans="2:13" x14ac:dyDescent="0.3">
      <c r="B43" s="6" t="s">
        <v>8</v>
      </c>
      <c r="C43" s="5"/>
      <c r="D43" s="5"/>
      <c r="E43" s="5"/>
      <c r="F43" s="5"/>
      <c r="G43" s="5"/>
      <c r="H43" s="5">
        <f>G40</f>
        <v>0.48135979922427563</v>
      </c>
      <c r="I43" s="5">
        <f>G40</f>
        <v>0.48135979922427563</v>
      </c>
      <c r="J43" s="5">
        <f>G40</f>
        <v>0.48135979922427563</v>
      </c>
      <c r="K43" s="5">
        <f>G40</f>
        <v>0.48135979922427563</v>
      </c>
      <c r="L43" s="5">
        <f>G40</f>
        <v>0.48135979922427563</v>
      </c>
      <c r="M43" s="8">
        <v>-0.01</v>
      </c>
    </row>
    <row r="44" spans="2:13" x14ac:dyDescent="0.3">
      <c r="B44" s="6" t="s">
        <v>9</v>
      </c>
      <c r="C44" s="5"/>
      <c r="D44" s="5"/>
      <c r="E44" s="5"/>
      <c r="F44" s="5"/>
      <c r="G44" s="5"/>
      <c r="H44" s="5">
        <f t="shared" ref="H44:L45" si="5">H43-$M$43</f>
        <v>0.49135979922427564</v>
      </c>
      <c r="I44" s="5">
        <f t="shared" si="5"/>
        <v>0.49135979922427564</v>
      </c>
      <c r="J44" s="5">
        <f t="shared" si="5"/>
        <v>0.49135979922427564</v>
      </c>
      <c r="K44" s="5">
        <f t="shared" si="5"/>
        <v>0.49135979922427564</v>
      </c>
      <c r="L44" s="5">
        <f t="shared" si="5"/>
        <v>0.49135979922427564</v>
      </c>
    </row>
    <row r="45" spans="2:13" x14ac:dyDescent="0.3">
      <c r="B45" s="6" t="s">
        <v>10</v>
      </c>
      <c r="C45" s="5"/>
      <c r="D45" s="5"/>
      <c r="E45" s="5"/>
      <c r="F45" s="5"/>
      <c r="G45" s="5"/>
      <c r="H45" s="5">
        <f t="shared" si="5"/>
        <v>0.50135979922427565</v>
      </c>
      <c r="I45" s="5">
        <f t="shared" si="5"/>
        <v>0.50135979922427565</v>
      </c>
      <c r="J45" s="5">
        <f t="shared" si="5"/>
        <v>0.50135979922427565</v>
      </c>
      <c r="K45" s="5">
        <f t="shared" si="5"/>
        <v>0.50135979922427565</v>
      </c>
      <c r="L45" s="5">
        <f t="shared" si="5"/>
        <v>0.50135979922427565</v>
      </c>
    </row>
    <row r="46" spans="2:13" x14ac:dyDescent="0.3">
      <c r="B46" s="6"/>
    </row>
    <row r="47" spans="2:13" x14ac:dyDescent="0.3">
      <c r="B47" s="6" t="s">
        <v>41</v>
      </c>
      <c r="C47" s="16">
        <f>C11/C7</f>
        <v>0.40388055593780103</v>
      </c>
      <c r="D47" s="16">
        <f>D11/D7</f>
        <v>0.38244161986402603</v>
      </c>
      <c r="E47" s="16">
        <f>E11/E7</f>
        <v>0.40787932196360993</v>
      </c>
      <c r="F47" s="16">
        <f>F11/F7</f>
        <v>0.39766236214534828</v>
      </c>
      <c r="G47" s="16">
        <f>G11/G7</f>
        <v>0.39247091033538672</v>
      </c>
      <c r="H47" s="16">
        <f>CHOOSE($L$2, H48, H49, H50, H51, H52)</f>
        <v>0.39247091033538672</v>
      </c>
      <c r="I47" s="16">
        <f>CHOOSE($L$2, I48, I49, I50, I51, I52)</f>
        <v>0.39247091033538672</v>
      </c>
      <c r="J47" s="16">
        <f>CHOOSE($L$2, J48, J49, J50, J51, J52)</f>
        <v>0.39247091033538672</v>
      </c>
      <c r="K47" s="16">
        <f>CHOOSE($L$2, K48, K49, K50, K51, K52)</f>
        <v>0.39247091033538672</v>
      </c>
      <c r="L47" s="16">
        <f>CHOOSE($L$2, L48, L49, L50, L51, L52)</f>
        <v>0.39247091033538672</v>
      </c>
    </row>
    <row r="48" spans="2:13" x14ac:dyDescent="0.3">
      <c r="B48" s="6" t="s">
        <v>6</v>
      </c>
      <c r="C48" s="5"/>
      <c r="D48" s="5"/>
      <c r="E48" s="5"/>
      <c r="F48" s="5"/>
      <c r="G48" s="5"/>
      <c r="H48" s="5">
        <f t="shared" ref="H48:L49" si="6">H49+$M$50</f>
        <v>0.40247091033538673</v>
      </c>
      <c r="I48" s="5">
        <f t="shared" si="6"/>
        <v>0.40247091033538673</v>
      </c>
      <c r="J48" s="5">
        <f t="shared" si="6"/>
        <v>0.40247091033538673</v>
      </c>
      <c r="K48" s="5">
        <f t="shared" si="6"/>
        <v>0.40247091033538673</v>
      </c>
      <c r="L48" s="5">
        <f t="shared" si="6"/>
        <v>0.40247091033538673</v>
      </c>
    </row>
    <row r="49" spans="2:13" x14ac:dyDescent="0.3">
      <c r="B49" s="6" t="s">
        <v>7</v>
      </c>
      <c r="C49" s="5"/>
      <c r="D49" s="5"/>
      <c r="E49" s="5"/>
      <c r="F49" s="5"/>
      <c r="G49" s="5"/>
      <c r="H49" s="5">
        <f t="shared" si="6"/>
        <v>0.39747091033538673</v>
      </c>
      <c r="I49" s="5">
        <f t="shared" si="6"/>
        <v>0.39747091033538673</v>
      </c>
      <c r="J49" s="5">
        <f t="shared" si="6"/>
        <v>0.39747091033538673</v>
      </c>
      <c r="K49" s="5">
        <f t="shared" si="6"/>
        <v>0.39747091033538673</v>
      </c>
      <c r="L49" s="5">
        <f t="shared" si="6"/>
        <v>0.39747091033538673</v>
      </c>
    </row>
    <row r="50" spans="2:13" x14ac:dyDescent="0.3">
      <c r="B50" s="6" t="s">
        <v>8</v>
      </c>
      <c r="C50" s="5"/>
      <c r="D50" s="5"/>
      <c r="E50" s="5"/>
      <c r="F50" s="5"/>
      <c r="G50" s="5"/>
      <c r="H50" s="5">
        <f>G47</f>
        <v>0.39247091033538672</v>
      </c>
      <c r="I50" s="5">
        <f>G47</f>
        <v>0.39247091033538672</v>
      </c>
      <c r="J50" s="5">
        <f>G47</f>
        <v>0.39247091033538672</v>
      </c>
      <c r="K50" s="5">
        <f>G47</f>
        <v>0.39247091033538672</v>
      </c>
      <c r="L50" s="5">
        <f>G47</f>
        <v>0.39247091033538672</v>
      </c>
      <c r="M50" s="8">
        <v>5.0000000000000001E-3</v>
      </c>
    </row>
    <row r="51" spans="2:13" x14ac:dyDescent="0.3">
      <c r="B51" s="6" t="s">
        <v>9</v>
      </c>
      <c r="C51" s="5"/>
      <c r="D51" s="5"/>
      <c r="E51" s="5"/>
      <c r="F51" s="5"/>
      <c r="G51" s="5"/>
      <c r="H51" s="5">
        <f t="shared" ref="H51:L52" si="7">H50-$M$50</f>
        <v>0.38747091033538672</v>
      </c>
      <c r="I51" s="5">
        <f t="shared" si="7"/>
        <v>0.38747091033538672</v>
      </c>
      <c r="J51" s="5">
        <f t="shared" si="7"/>
        <v>0.38747091033538672</v>
      </c>
      <c r="K51" s="5">
        <f t="shared" si="7"/>
        <v>0.38747091033538672</v>
      </c>
      <c r="L51" s="5">
        <f t="shared" si="7"/>
        <v>0.38747091033538672</v>
      </c>
    </row>
    <row r="52" spans="2:13" x14ac:dyDescent="0.3">
      <c r="B52" s="6" t="s">
        <v>10</v>
      </c>
      <c r="C52" s="5"/>
      <c r="D52" s="5"/>
      <c r="E52" s="5"/>
      <c r="F52" s="5"/>
      <c r="G52" s="5"/>
      <c r="H52" s="5">
        <f t="shared" si="7"/>
        <v>0.38247091033538672</v>
      </c>
      <c r="I52" s="5">
        <f t="shared" si="7"/>
        <v>0.38247091033538672</v>
      </c>
      <c r="J52" s="5">
        <f t="shared" si="7"/>
        <v>0.38247091033538672</v>
      </c>
      <c r="K52" s="5">
        <f t="shared" si="7"/>
        <v>0.38247091033538672</v>
      </c>
      <c r="L52" s="5">
        <f t="shared" si="7"/>
        <v>0.38247091033538672</v>
      </c>
    </row>
    <row r="53" spans="2:13" x14ac:dyDescent="0.3">
      <c r="B53" s="6"/>
    </row>
    <row r="54" spans="2:13" x14ac:dyDescent="0.3">
      <c r="B54" s="6" t="s">
        <v>42</v>
      </c>
      <c r="C54" s="16">
        <f>C10/C7</f>
        <v>2.1742121921012797E-2</v>
      </c>
      <c r="D54" s="16">
        <f>D10/D7</f>
        <v>2.0041383387525865E-2</v>
      </c>
      <c r="E54" s="16">
        <f>E10/E7</f>
        <v>1.9283603753045463E-2</v>
      </c>
      <c r="F54" s="16">
        <f>F10/F7</f>
        <v>1.9841643887265531E-2</v>
      </c>
      <c r="G54" s="16">
        <f>G10/G7</f>
        <v>2.1446497832534793E-2</v>
      </c>
      <c r="H54" s="16">
        <f>G10/G7</f>
        <v>2.1446497832534793E-2</v>
      </c>
      <c r="I54" s="16">
        <f>G10/G7</f>
        <v>2.1446497832534793E-2</v>
      </c>
      <c r="J54" s="16">
        <f>G10/G7</f>
        <v>2.1446497832534793E-2</v>
      </c>
      <c r="K54" s="16">
        <f>G10/G7</f>
        <v>2.1446497832534793E-2</v>
      </c>
      <c r="L54" s="16">
        <f>G10/G7</f>
        <v>2.1446497832534793E-2</v>
      </c>
    </row>
    <row r="55" spans="2:13" x14ac:dyDescent="0.3">
      <c r="B55" s="6"/>
    </row>
    <row r="56" spans="2:13" x14ac:dyDescent="0.3">
      <c r="B56" s="6" t="s">
        <v>43</v>
      </c>
      <c r="C56" s="16">
        <f>C16/C13</f>
        <v>0.1158021712907117</v>
      </c>
      <c r="D56" s="16">
        <f>D16/D13</f>
        <v>3.7535410764872525E-2</v>
      </c>
      <c r="E56" s="16">
        <f>E16/E13</f>
        <v>-3.7105131205081063E-2</v>
      </c>
      <c r="F56" s="16">
        <f>F16/F13</f>
        <v>2.747195134738387E-2</v>
      </c>
      <c r="G56" s="16">
        <f>G16/G13</f>
        <v>6.9716775599128538E-3</v>
      </c>
      <c r="H56" s="16">
        <f>AVERAGE(C56:G56)</f>
        <v>3.013521595155998E-2</v>
      </c>
      <c r="I56" s="16">
        <f>H56</f>
        <v>3.013521595155998E-2</v>
      </c>
      <c r="J56" s="16">
        <f>H56</f>
        <v>3.013521595155998E-2</v>
      </c>
      <c r="K56" s="16">
        <f>H56</f>
        <v>3.013521595155998E-2</v>
      </c>
      <c r="L56" s="16">
        <f>H56</f>
        <v>3.013521595155998E-2</v>
      </c>
    </row>
    <row r="57" spans="2:13" x14ac:dyDescent="0.3">
      <c r="B57" s="6"/>
    </row>
    <row r="58" spans="2:13" x14ac:dyDescent="0.3">
      <c r="B58" s="6" t="s">
        <v>44</v>
      </c>
      <c r="C58" s="16">
        <f>C18/C17</f>
        <v>0.52115384615384619</v>
      </c>
      <c r="D58" s="16">
        <f>D18/D17</f>
        <v>0.22744845360824742</v>
      </c>
      <c r="E58" s="16">
        <f>E18/E17</f>
        <v>0.53410230692076233</v>
      </c>
      <c r="F58" s="16">
        <f>F18/F17</f>
        <v>0.43011444001543009</v>
      </c>
      <c r="G58" s="16">
        <f>G18/G17</f>
        <v>0.31826831588962895</v>
      </c>
      <c r="H58" s="16">
        <f>AVERAGE(C58:G58)</f>
        <v>0.40621747251758294</v>
      </c>
      <c r="I58" s="16">
        <f>H58</f>
        <v>0.40621747251758294</v>
      </c>
      <c r="J58" s="16">
        <f>H58</f>
        <v>0.40621747251758294</v>
      </c>
      <c r="K58" s="16">
        <f>H58</f>
        <v>0.40621747251758294</v>
      </c>
      <c r="L58" s="16">
        <f>H58</f>
        <v>0.40621747251758294</v>
      </c>
    </row>
    <row r="59" spans="2:13" x14ac:dyDescent="0.3">
      <c r="B59" s="6" t="s">
        <v>45</v>
      </c>
      <c r="C59" s="16">
        <f t="shared" ref="C59:L59" si="8">C28/C26</f>
        <v>0.63829787234042545</v>
      </c>
      <c r="D59" s="16">
        <f t="shared" si="8"/>
        <v>0.48484848484848492</v>
      </c>
      <c r="E59" s="16">
        <f t="shared" si="8"/>
        <v>0.40080160320641278</v>
      </c>
      <c r="F59" s="16">
        <f t="shared" si="8"/>
        <v>0.39215686274509803</v>
      </c>
      <c r="G59" s="16">
        <f t="shared" si="8"/>
        <v>0.39767803511437699</v>
      </c>
      <c r="H59" s="16">
        <f t="shared" si="8"/>
        <v>0.10957682326813069</v>
      </c>
      <c r="I59" s="16">
        <f t="shared" si="8"/>
        <v>9.1861205572410121E-2</v>
      </c>
      <c r="J59" s="16">
        <f t="shared" si="8"/>
        <v>7.6935190568730785E-2</v>
      </c>
      <c r="K59" s="16">
        <f t="shared" si="8"/>
        <v>6.4381919668928186E-2</v>
      </c>
      <c r="L59" s="16">
        <f t="shared" si="8"/>
        <v>5.384003122198263E-2</v>
      </c>
    </row>
    <row r="60" spans="2:13" x14ac:dyDescent="0.3">
      <c r="B60" s="6" t="s">
        <v>46</v>
      </c>
      <c r="C60" s="16">
        <f t="shared" ref="C60:L60" si="9">C29/C7</f>
        <v>7.8780789872024221E-2</v>
      </c>
      <c r="D60" s="16">
        <f t="shared" si="9"/>
        <v>0.10351758793969849</v>
      </c>
      <c r="E60" s="16">
        <f t="shared" si="9"/>
        <v>8.1312529158675026E-2</v>
      </c>
      <c r="F60" s="16">
        <f t="shared" si="9"/>
        <v>0.10973701574135168</v>
      </c>
      <c r="G60" s="16">
        <f t="shared" si="9"/>
        <v>0.12616929044033767</v>
      </c>
      <c r="H60" s="16">
        <f t="shared" si="9"/>
        <v>0.12616929044033759</v>
      </c>
      <c r="I60" s="16">
        <f t="shared" si="9"/>
        <v>0.12616929044033773</v>
      </c>
      <c r="J60" s="16">
        <f t="shared" si="9"/>
        <v>0.12616929044033764</v>
      </c>
      <c r="K60" s="16">
        <f t="shared" si="9"/>
        <v>0.12616929044033759</v>
      </c>
      <c r="L60" s="16">
        <f t="shared" si="9"/>
        <v>0.1261692904403377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1"/>
  <sheetViews>
    <sheetView showGridLines="0" topLeftCell="A25" workbookViewId="0"/>
  </sheetViews>
  <sheetFormatPr defaultRowHeight="14.4" x14ac:dyDescent="0.3"/>
  <cols>
    <col min="2" max="2" width="50" customWidth="1"/>
  </cols>
  <sheetData>
    <row r="2" spans="2:12" x14ac:dyDescent="0.3">
      <c r="B2" s="1" t="s">
        <v>47</v>
      </c>
    </row>
    <row r="3" spans="2:12" x14ac:dyDescent="0.3">
      <c r="B3" s="2" t="s">
        <v>0</v>
      </c>
      <c r="C3" s="9"/>
      <c r="D3" s="9"/>
      <c r="E3" s="9"/>
      <c r="F3" s="9"/>
      <c r="G3" s="3" t="s">
        <v>15</v>
      </c>
      <c r="H3" s="10"/>
      <c r="I3" s="9"/>
      <c r="J3" s="9"/>
      <c r="K3" s="9"/>
      <c r="L3" s="9"/>
    </row>
    <row r="4" spans="2:12" x14ac:dyDescent="0.3">
      <c r="G4" s="11" t="s">
        <v>1</v>
      </c>
      <c r="H4" s="11"/>
    </row>
    <row r="5" spans="2:12" x14ac:dyDescent="0.3">
      <c r="C5" s="12">
        <v>2014</v>
      </c>
      <c r="D5" s="12">
        <v>2015</v>
      </c>
      <c r="E5" s="12">
        <v>2016</v>
      </c>
      <c r="F5" s="12">
        <v>2017</v>
      </c>
      <c r="G5" s="12">
        <v>2018</v>
      </c>
      <c r="H5" s="12" t="s">
        <v>2</v>
      </c>
      <c r="I5" s="12" t="s">
        <v>3</v>
      </c>
      <c r="J5" s="12" t="s">
        <v>4</v>
      </c>
      <c r="K5" s="12" t="s">
        <v>18</v>
      </c>
      <c r="L5" s="12" t="s">
        <v>19</v>
      </c>
    </row>
    <row r="7" spans="2:12" x14ac:dyDescent="0.3">
      <c r="B7" s="6" t="s">
        <v>48</v>
      </c>
    </row>
    <row r="8" spans="2:12" x14ac:dyDescent="0.3">
      <c r="B8" s="6" t="s">
        <v>49</v>
      </c>
      <c r="C8">
        <v>2022</v>
      </c>
      <c r="D8">
        <v>1644</v>
      </c>
      <c r="E8">
        <v>1975</v>
      </c>
      <c r="F8">
        <v>1744</v>
      </c>
      <c r="G8">
        <v>2880</v>
      </c>
      <c r="H8">
        <f>'Cashflow Statement'!H31</f>
        <v>3716.5416955734449</v>
      </c>
      <c r="I8">
        <f>'Cashflow Statement'!I31</f>
        <v>4889.6588718362545</v>
      </c>
      <c r="J8">
        <f>'Cashflow Statement'!J31</f>
        <v>6515.9155535248256</v>
      </c>
      <c r="K8">
        <f>'Cashflow Statement'!K31</f>
        <v>8684.121337116796</v>
      </c>
      <c r="L8">
        <f>'Cashflow Statement'!L31</f>
        <v>11500.443894379734</v>
      </c>
    </row>
    <row r="9" spans="2:12" x14ac:dyDescent="0.3">
      <c r="B9" s="6" t="s">
        <v>50</v>
      </c>
      <c r="C9">
        <v>2167</v>
      </c>
      <c r="D9">
        <v>2320</v>
      </c>
      <c r="E9">
        <v>2485</v>
      </c>
      <c r="F9">
        <v>2386</v>
      </c>
      <c r="G9">
        <v>2466</v>
      </c>
      <c r="H9">
        <f>H45/365*'Income Statement'!H7</f>
        <v>2957.2545951550574</v>
      </c>
      <c r="I9">
        <f>I45/365*'Income Statement'!I7</f>
        <v>3548.7055141860683</v>
      </c>
      <c r="J9">
        <f>J45/365*'Income Statement'!J7</f>
        <v>4258.4466170232818</v>
      </c>
      <c r="K9">
        <f>K45/365*'Income Statement'!K7</f>
        <v>5110.1359404279383</v>
      </c>
      <c r="L9">
        <f>L45/365*'Income Statement'!L7</f>
        <v>6132.1631285135263</v>
      </c>
    </row>
    <row r="10" spans="2:12" x14ac:dyDescent="0.3">
      <c r="B10" s="6" t="s">
        <v>51</v>
      </c>
      <c r="C10">
        <v>2526</v>
      </c>
      <c r="D10">
        <v>3113</v>
      </c>
      <c r="E10">
        <v>3763</v>
      </c>
      <c r="F10">
        <v>3692</v>
      </c>
      <c r="G10">
        <v>3445</v>
      </c>
      <c r="H10">
        <v>3445</v>
      </c>
      <c r="I10">
        <v>3445</v>
      </c>
      <c r="J10">
        <v>3445</v>
      </c>
      <c r="K10">
        <v>3445</v>
      </c>
      <c r="L10">
        <v>3445</v>
      </c>
    </row>
    <row r="11" spans="2:12" x14ac:dyDescent="0.3">
      <c r="B11" s="6" t="s">
        <v>52</v>
      </c>
      <c r="C11">
        <v>632</v>
      </c>
      <c r="D11">
        <v>420</v>
      </c>
      <c r="E11">
        <v>663</v>
      </c>
      <c r="F11">
        <v>823</v>
      </c>
      <c r="G11">
        <v>780</v>
      </c>
      <c r="H11">
        <f>G11*(1+H46)</f>
        <v>864.28052433733228</v>
      </c>
      <c r="I11">
        <f>H11*(1+I46)</f>
        <v>957.66772403694108</v>
      </c>
      <c r="J11">
        <f>I11*(1+J46)</f>
        <v>1061.1455931687015</v>
      </c>
      <c r="K11">
        <f>J11*(1+K46)</f>
        <v>1175.804448284737</v>
      </c>
      <c r="L11">
        <f>K11*(1+L46)</f>
        <v>1302.8524167714104</v>
      </c>
    </row>
    <row r="12" spans="2:12" x14ac:dyDescent="0.3">
      <c r="B12" s="13" t="s">
        <v>53</v>
      </c>
      <c r="C12" s="14">
        <v>7347</v>
      </c>
      <c r="D12" s="14">
        <v>7497</v>
      </c>
      <c r="E12" s="14">
        <v>8886</v>
      </c>
      <c r="F12" s="14">
        <v>8645</v>
      </c>
      <c r="G12" s="14">
        <v>9571</v>
      </c>
      <c r="H12" s="14">
        <f>SUM(H8:H11)</f>
        <v>10983.076815065833</v>
      </c>
      <c r="I12" s="14">
        <f>SUM(I8:I11)</f>
        <v>12841.032110059265</v>
      </c>
      <c r="J12" s="14">
        <f>SUM(J8:J11)</f>
        <v>15280.507763716809</v>
      </c>
      <c r="K12" s="14">
        <f>SUM(K8:K11)</f>
        <v>18415.06172582947</v>
      </c>
      <c r="L12" s="14">
        <f>SUM(L8:L11)</f>
        <v>22380.459439664668</v>
      </c>
    </row>
    <row r="13" spans="2:12" x14ac:dyDescent="0.3">
      <c r="B13" s="6"/>
    </row>
    <row r="14" spans="2:12" x14ac:dyDescent="0.3">
      <c r="B14" s="6" t="s">
        <v>54</v>
      </c>
      <c r="C14">
        <v>1454</v>
      </c>
      <c r="D14">
        <v>1638</v>
      </c>
      <c r="E14">
        <v>1915</v>
      </c>
      <c r="F14">
        <v>2000</v>
      </c>
      <c r="G14">
        <v>2237</v>
      </c>
      <c r="H14">
        <f>G14-'Cashflow Statement'!H9-'Cashflow Statement'!H15</f>
        <v>2564.4060796645699</v>
      </c>
      <c r="I14">
        <f>H14-'Cashflow Statement'!I9-'Cashflow Statement'!I15</f>
        <v>2957.2933752620538</v>
      </c>
      <c r="J14">
        <f>I14-'Cashflow Statement'!J9-'Cashflow Statement'!J15</f>
        <v>3428.7581299790345</v>
      </c>
      <c r="K14">
        <f>J14-'Cashflow Statement'!K9-'Cashflow Statement'!K15</f>
        <v>3994.5158356394113</v>
      </c>
      <c r="L14">
        <f>K14-'Cashflow Statement'!L9-'Cashflow Statement'!L15</f>
        <v>4673.4250824318633</v>
      </c>
    </row>
    <row r="15" spans="2:12" x14ac:dyDescent="0.3">
      <c r="B15" s="6" t="s">
        <v>55</v>
      </c>
      <c r="C15">
        <v>171</v>
      </c>
      <c r="D15">
        <v>239</v>
      </c>
      <c r="E15">
        <v>225</v>
      </c>
      <c r="F15">
        <v>251</v>
      </c>
      <c r="G15">
        <v>314</v>
      </c>
      <c r="H15">
        <v>314</v>
      </c>
      <c r="I15">
        <v>314</v>
      </c>
      <c r="J15">
        <v>314</v>
      </c>
      <c r="K15">
        <v>314</v>
      </c>
      <c r="L15">
        <v>314</v>
      </c>
    </row>
    <row r="16" spans="2:12" x14ac:dyDescent="0.3">
      <c r="B16" s="6" t="s">
        <v>56</v>
      </c>
      <c r="C16">
        <v>0</v>
      </c>
      <c r="D16">
        <v>0</v>
      </c>
      <c r="E16">
        <v>30</v>
      </c>
      <c r="F16">
        <v>118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2:12" x14ac:dyDescent="0.3">
      <c r="B17" s="6" t="s">
        <v>57</v>
      </c>
      <c r="C17">
        <v>2763</v>
      </c>
      <c r="D17">
        <v>3208</v>
      </c>
      <c r="E17">
        <v>3259</v>
      </c>
      <c r="F17">
        <v>2683</v>
      </c>
      <c r="G17">
        <v>2285</v>
      </c>
      <c r="H17">
        <v>2285</v>
      </c>
      <c r="I17">
        <v>2285</v>
      </c>
      <c r="J17">
        <v>2285</v>
      </c>
      <c r="K17">
        <v>2285</v>
      </c>
      <c r="L17">
        <v>2285</v>
      </c>
    </row>
    <row r="18" spans="2:12" x14ac:dyDescent="0.3">
      <c r="B18" s="6" t="s">
        <v>58</v>
      </c>
      <c r="C18">
        <v>722</v>
      </c>
      <c r="D18">
        <v>637</v>
      </c>
      <c r="E18">
        <v>732</v>
      </c>
      <c r="F18">
        <v>630</v>
      </c>
      <c r="G18">
        <v>651</v>
      </c>
      <c r="H18">
        <v>651</v>
      </c>
      <c r="I18">
        <v>651</v>
      </c>
      <c r="J18">
        <v>651</v>
      </c>
      <c r="K18">
        <v>651</v>
      </c>
      <c r="L18">
        <v>651</v>
      </c>
    </row>
    <row r="19" spans="2:12" x14ac:dyDescent="0.3">
      <c r="B19" s="6" t="s">
        <v>59</v>
      </c>
      <c r="C19">
        <v>105</v>
      </c>
      <c r="D19">
        <v>124</v>
      </c>
      <c r="E19">
        <v>129</v>
      </c>
      <c r="F19">
        <v>195</v>
      </c>
      <c r="G19">
        <v>553</v>
      </c>
      <c r="H19">
        <v>553</v>
      </c>
      <c r="I19">
        <v>553</v>
      </c>
      <c r="J19">
        <v>553</v>
      </c>
      <c r="K19">
        <v>553</v>
      </c>
      <c r="L19">
        <v>553</v>
      </c>
    </row>
    <row r="20" spans="2:12" x14ac:dyDescent="0.3">
      <c r="B20" s="13" t="s">
        <v>60</v>
      </c>
      <c r="C20" s="14">
        <v>12562</v>
      </c>
      <c r="D20" s="14">
        <v>13343</v>
      </c>
      <c r="E20" s="14">
        <v>15176</v>
      </c>
      <c r="F20" s="14">
        <v>14522</v>
      </c>
      <c r="G20" s="14">
        <v>15612</v>
      </c>
      <c r="H20" s="14">
        <f>H12+SUM(H14:H19)</f>
        <v>17351.482894730405</v>
      </c>
      <c r="I20" s="14">
        <f>I12+SUM(I14:I19)</f>
        <v>19602.325485321318</v>
      </c>
      <c r="J20" s="14">
        <f>J12+SUM(J14:J19)</f>
        <v>22513.265893695843</v>
      </c>
      <c r="K20" s="14">
        <f>K12+SUM(K14:K19)</f>
        <v>26213.577561468883</v>
      </c>
      <c r="L20" s="14">
        <f>L12+SUM(L14:L19)</f>
        <v>30857.88452209653</v>
      </c>
    </row>
    <row r="21" spans="2:12" x14ac:dyDescent="0.3">
      <c r="B21" s="6" t="s">
        <v>61</v>
      </c>
    </row>
    <row r="22" spans="2:12" x14ac:dyDescent="0.3">
      <c r="B22" s="6" t="s">
        <v>62</v>
      </c>
      <c r="C22">
        <v>291</v>
      </c>
      <c r="D22">
        <v>369</v>
      </c>
      <c r="E22">
        <v>639</v>
      </c>
      <c r="F22">
        <v>137</v>
      </c>
      <c r="G22">
        <v>76</v>
      </c>
      <c r="H22">
        <v>76</v>
      </c>
      <c r="I22">
        <v>76</v>
      </c>
      <c r="J22">
        <v>76</v>
      </c>
      <c r="K22">
        <v>76</v>
      </c>
      <c r="L22">
        <v>76</v>
      </c>
    </row>
    <row r="23" spans="2:12" x14ac:dyDescent="0.3">
      <c r="B23" s="6" t="s">
        <v>63</v>
      </c>
      <c r="C23">
        <v>1652</v>
      </c>
      <c r="D23">
        <v>2024</v>
      </c>
      <c r="E23">
        <v>2496</v>
      </c>
      <c r="F23">
        <v>1975</v>
      </c>
      <c r="G23">
        <v>2300</v>
      </c>
      <c r="H23">
        <f>H48/365*'Income Statement'!H8</f>
        <v>2808.7863916528249</v>
      </c>
      <c r="I23">
        <f>I48/365*'Income Statement'!I8</f>
        <v>3370.5436699833895</v>
      </c>
      <c r="J23">
        <f>J48/365*'Income Statement'!J8</f>
        <v>4044.652403980067</v>
      </c>
      <c r="K23">
        <f>K48/365*'Income Statement'!K8</f>
        <v>4853.5828847760804</v>
      </c>
      <c r="L23">
        <f>L48/365*'Income Statement'!L8</f>
        <v>5824.2994617312961</v>
      </c>
    </row>
    <row r="24" spans="2:12" x14ac:dyDescent="0.3">
      <c r="B24" s="6" t="s">
        <v>64</v>
      </c>
      <c r="C24">
        <v>294</v>
      </c>
      <c r="D24">
        <v>359</v>
      </c>
      <c r="E24">
        <v>438</v>
      </c>
      <c r="F24">
        <v>424</v>
      </c>
      <c r="G24">
        <v>268</v>
      </c>
      <c r="H24">
        <v>268</v>
      </c>
      <c r="I24">
        <v>268</v>
      </c>
      <c r="J24">
        <v>268</v>
      </c>
      <c r="K24">
        <v>268</v>
      </c>
      <c r="L24">
        <v>268</v>
      </c>
    </row>
    <row r="25" spans="2:12" x14ac:dyDescent="0.3">
      <c r="B25" s="6" t="s">
        <v>65</v>
      </c>
      <c r="C25">
        <v>2141</v>
      </c>
      <c r="D25">
        <v>2612</v>
      </c>
      <c r="E25">
        <v>3192</v>
      </c>
      <c r="F25">
        <v>3755</v>
      </c>
      <c r="G25">
        <v>4190</v>
      </c>
      <c r="H25">
        <f>G25*(1+H49)</f>
        <v>4959.1443801373716</v>
      </c>
      <c r="I25">
        <f>H25*(1+I49)</f>
        <v>5869.4780389136213</v>
      </c>
      <c r="J25">
        <f>I25*(1+J49)</f>
        <v>6946.9186231547028</v>
      </c>
      <c r="K25">
        <f>J25*(1+K49)</f>
        <v>8222.1413960117643</v>
      </c>
      <c r="L25">
        <f>K25*(1+L49)</f>
        <v>9731.4525767843879</v>
      </c>
    </row>
    <row r="26" spans="2:12" x14ac:dyDescent="0.3">
      <c r="B26" s="13" t="s">
        <v>66</v>
      </c>
      <c r="C26" s="14">
        <v>4378</v>
      </c>
      <c r="D26" s="14">
        <v>5364</v>
      </c>
      <c r="E26" s="14">
        <v>6765</v>
      </c>
      <c r="F26" s="14">
        <v>6291</v>
      </c>
      <c r="G26" s="14">
        <v>6834</v>
      </c>
      <c r="H26" s="14">
        <f>SUM(H22:H25)</f>
        <v>8111.9307717901966</v>
      </c>
      <c r="I26" s="14">
        <f>SUM(I22:I25)</f>
        <v>9584.0217088970112</v>
      </c>
      <c r="J26" s="14">
        <f>SUM(J22:J25)</f>
        <v>11335.571027134771</v>
      </c>
      <c r="K26" s="14">
        <f>SUM(K22:K25)</f>
        <v>13419.724280787845</v>
      </c>
      <c r="L26" s="14">
        <f>SUM(L22:L25)</f>
        <v>15899.752038515684</v>
      </c>
    </row>
    <row r="27" spans="2:12" x14ac:dyDescent="0.3">
      <c r="B27" s="6"/>
    </row>
    <row r="28" spans="2:12" x14ac:dyDescent="0.3">
      <c r="B28" s="6" t="s">
        <v>67</v>
      </c>
      <c r="C28">
        <v>1591</v>
      </c>
      <c r="D28">
        <v>1469</v>
      </c>
      <c r="E28">
        <v>986</v>
      </c>
      <c r="F28">
        <v>986</v>
      </c>
      <c r="G28">
        <v>1690</v>
      </c>
      <c r="H28">
        <v>1690</v>
      </c>
      <c r="I28">
        <v>1690</v>
      </c>
      <c r="J28">
        <v>1690</v>
      </c>
      <c r="K28">
        <v>1690</v>
      </c>
      <c r="L28">
        <v>1690</v>
      </c>
    </row>
    <row r="29" spans="2:12" x14ac:dyDescent="0.3">
      <c r="B29" s="6" t="s">
        <v>68</v>
      </c>
      <c r="C29">
        <v>324</v>
      </c>
      <c r="D29">
        <v>323</v>
      </c>
      <c r="E29">
        <v>399</v>
      </c>
      <c r="F29">
        <v>373</v>
      </c>
      <c r="G29">
        <v>374</v>
      </c>
      <c r="H29">
        <v>374</v>
      </c>
      <c r="I29">
        <v>374</v>
      </c>
      <c r="J29">
        <v>374</v>
      </c>
      <c r="K29">
        <v>374</v>
      </c>
      <c r="L29">
        <v>374</v>
      </c>
    </row>
    <row r="30" spans="2:12" x14ac:dyDescent="0.3">
      <c r="B30" s="6" t="s">
        <v>69</v>
      </c>
      <c r="C30">
        <v>535</v>
      </c>
      <c r="D30">
        <v>368</v>
      </c>
      <c r="E30">
        <v>387</v>
      </c>
      <c r="F30">
        <v>275</v>
      </c>
      <c r="G30">
        <v>241</v>
      </c>
      <c r="H30">
        <v>241</v>
      </c>
      <c r="I30">
        <v>241</v>
      </c>
      <c r="J30">
        <v>241</v>
      </c>
      <c r="K30">
        <v>241</v>
      </c>
      <c r="L30">
        <v>241</v>
      </c>
    </row>
    <row r="31" spans="2:12" x14ac:dyDescent="0.3">
      <c r="B31" s="6" t="s">
        <v>70</v>
      </c>
      <c r="C31">
        <v>116</v>
      </c>
      <c r="D31">
        <v>171</v>
      </c>
      <c r="E31">
        <v>184</v>
      </c>
      <c r="F31">
        <v>162</v>
      </c>
      <c r="G31">
        <v>109</v>
      </c>
      <c r="H31">
        <v>109</v>
      </c>
      <c r="I31">
        <v>109</v>
      </c>
      <c r="J31">
        <v>109</v>
      </c>
      <c r="K31">
        <v>109</v>
      </c>
      <c r="L31">
        <v>109</v>
      </c>
    </row>
    <row r="32" spans="2:12" x14ac:dyDescent="0.3">
      <c r="B32" s="13" t="s">
        <v>71</v>
      </c>
      <c r="C32" s="14">
        <v>6944</v>
      </c>
      <c r="D32" s="14">
        <v>7695</v>
      </c>
      <c r="E32" s="14">
        <v>8721</v>
      </c>
      <c r="F32" s="14">
        <v>8087</v>
      </c>
      <c r="G32" s="14">
        <v>9248</v>
      </c>
      <c r="H32" s="14">
        <f>H26+SUM(H28:H31)</f>
        <v>10525.930771790197</v>
      </c>
      <c r="I32" s="14">
        <f>I26+SUM(I28:I31)</f>
        <v>11998.021708897011</v>
      </c>
      <c r="J32" s="14">
        <f>J26+SUM(J28:J31)</f>
        <v>13749.571027134771</v>
      </c>
      <c r="K32" s="14">
        <f>K26+SUM(K28:K31)</f>
        <v>15833.724280787845</v>
      </c>
      <c r="L32" s="14">
        <f>L26+SUM(L28:L31)</f>
        <v>18313.752038515682</v>
      </c>
    </row>
    <row r="33" spans="2:12" x14ac:dyDescent="0.3">
      <c r="B33" s="6"/>
    </row>
    <row r="34" spans="2:12" x14ac:dyDescent="0.3">
      <c r="B34" s="6"/>
    </row>
    <row r="35" spans="2:12" x14ac:dyDescent="0.3">
      <c r="B35" s="6"/>
    </row>
    <row r="36" spans="2:12" x14ac:dyDescent="0.3">
      <c r="B36" s="6"/>
    </row>
    <row r="37" spans="2:12" x14ac:dyDescent="0.3">
      <c r="B37" s="13" t="s">
        <v>72</v>
      </c>
      <c r="C37" s="4">
        <v>5618</v>
      </c>
      <c r="D37" s="4">
        <v>5648</v>
      </c>
      <c r="E37" s="4">
        <v>6455</v>
      </c>
      <c r="F37" s="4">
        <v>6435</v>
      </c>
      <c r="G37" s="4">
        <v>6364</v>
      </c>
      <c r="H37" s="4">
        <f>G37+'Cashflow Statement'!H23+'Income Statement'!H21+'Cashflow Statement'!H22</f>
        <v>6825.5521229402084</v>
      </c>
      <c r="I37" s="4">
        <f>H37+'Cashflow Statement'!I23+'Income Statement'!I21+'Cashflow Statement'!I22</f>
        <v>7604.303776424309</v>
      </c>
      <c r="J37" s="4">
        <f>I37+'Cashflow Statement'!J23+'Income Statement'!J21+'Cashflow Statement'!J22</f>
        <v>8763.6948665610762</v>
      </c>
      <c r="K37" s="4">
        <f>J37+'Cashflow Statement'!K23+'Income Statement'!K21+'Cashflow Statement'!K22</f>
        <v>10379.853280681044</v>
      </c>
      <c r="L37" s="4">
        <f>K37+'Cashflow Statement'!L23+'Income Statement'!L21+'Cashflow Statement'!L22</f>
        <v>12544.132483580855</v>
      </c>
    </row>
    <row r="38" spans="2:12" x14ac:dyDescent="0.3">
      <c r="B38" s="6" t="s">
        <v>73</v>
      </c>
      <c r="C38">
        <f t="shared" ref="C38:L38" si="0">C32+C37</f>
        <v>12562</v>
      </c>
      <c r="D38">
        <f t="shared" si="0"/>
        <v>13343</v>
      </c>
      <c r="E38">
        <f t="shared" si="0"/>
        <v>15176</v>
      </c>
      <c r="F38">
        <f t="shared" si="0"/>
        <v>14522</v>
      </c>
      <c r="G38">
        <f t="shared" si="0"/>
        <v>15612</v>
      </c>
      <c r="H38">
        <f t="shared" si="0"/>
        <v>17351.482894730405</v>
      </c>
      <c r="I38">
        <f t="shared" si="0"/>
        <v>19602.325485321322</v>
      </c>
      <c r="J38">
        <f t="shared" si="0"/>
        <v>22513.265893695847</v>
      </c>
      <c r="K38">
        <f t="shared" si="0"/>
        <v>26213.57756146889</v>
      </c>
      <c r="L38">
        <f t="shared" si="0"/>
        <v>30857.884522096538</v>
      </c>
    </row>
    <row r="39" spans="2:12" x14ac:dyDescent="0.3">
      <c r="B39" s="6"/>
    </row>
    <row r="40" spans="2:12" x14ac:dyDescent="0.3">
      <c r="B40" s="13" t="s">
        <v>74</v>
      </c>
      <c r="C40" s="17">
        <f t="shared" ref="C40:L40" si="1">C20-C38</f>
        <v>0</v>
      </c>
      <c r="D40" s="17">
        <f t="shared" si="1"/>
        <v>0</v>
      </c>
      <c r="E40" s="17">
        <f t="shared" si="1"/>
        <v>0</v>
      </c>
      <c r="F40" s="17">
        <f t="shared" si="1"/>
        <v>0</v>
      </c>
      <c r="G40" s="17">
        <f t="shared" si="1"/>
        <v>0</v>
      </c>
      <c r="H40" s="17">
        <f t="shared" si="1"/>
        <v>0</v>
      </c>
      <c r="I40" s="17">
        <f t="shared" si="1"/>
        <v>0</v>
      </c>
      <c r="J40" s="17">
        <f t="shared" si="1"/>
        <v>0</v>
      </c>
      <c r="K40" s="17">
        <f t="shared" si="1"/>
        <v>0</v>
      </c>
      <c r="L40" s="17">
        <f t="shared" si="1"/>
        <v>0</v>
      </c>
    </row>
    <row r="41" spans="2:12" x14ac:dyDescent="0.3">
      <c r="B41" s="6"/>
    </row>
    <row r="42" spans="2:12" x14ac:dyDescent="0.3">
      <c r="B42" s="6" t="s">
        <v>75</v>
      </c>
      <c r="C42">
        <f t="shared" ref="C42:L42" si="2">C12-C26</f>
        <v>2969</v>
      </c>
      <c r="D42">
        <f t="shared" si="2"/>
        <v>2133</v>
      </c>
      <c r="E42">
        <f t="shared" si="2"/>
        <v>2121</v>
      </c>
      <c r="F42">
        <f t="shared" si="2"/>
        <v>2354</v>
      </c>
      <c r="G42">
        <f t="shared" si="2"/>
        <v>2737</v>
      </c>
      <c r="H42">
        <f t="shared" si="2"/>
        <v>2871.1460432756367</v>
      </c>
      <c r="I42">
        <f t="shared" si="2"/>
        <v>3257.0104011622534</v>
      </c>
      <c r="J42">
        <f t="shared" si="2"/>
        <v>3944.9367365820381</v>
      </c>
      <c r="K42">
        <f t="shared" si="2"/>
        <v>4995.337445041625</v>
      </c>
      <c r="L42">
        <f t="shared" si="2"/>
        <v>6480.707401148984</v>
      </c>
    </row>
    <row r="43" spans="2:12" x14ac:dyDescent="0.3">
      <c r="B43" s="6"/>
    </row>
    <row r="44" spans="2:12" x14ac:dyDescent="0.3">
      <c r="B44" s="15" t="s">
        <v>38</v>
      </c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x14ac:dyDescent="0.3">
      <c r="B45" s="6" t="s">
        <v>76</v>
      </c>
      <c r="C45">
        <f>C9/'Income Statement'!C7*365</f>
        <v>54.421012797578094</v>
      </c>
      <c r="D45">
        <f>D9/'Income Statement'!D7*365</f>
        <v>50.062075081288796</v>
      </c>
      <c r="E45">
        <f>E9/'Income Statement'!E7*365</f>
        <v>47.018039500285106</v>
      </c>
      <c r="F45">
        <f>F9/'Income Statement'!F7*365</f>
        <v>41.044867565274771</v>
      </c>
      <c r="G45">
        <f>G9/'Income Statement'!G7*365</f>
        <v>41.071868583162214</v>
      </c>
      <c r="H45">
        <f>F45</f>
        <v>41.044867565274771</v>
      </c>
      <c r="I45">
        <f>F45</f>
        <v>41.044867565274771</v>
      </c>
      <c r="J45">
        <f>F45</f>
        <v>41.044867565274771</v>
      </c>
      <c r="K45">
        <f>F45</f>
        <v>41.044867565274771</v>
      </c>
      <c r="L45">
        <f>F45</f>
        <v>41.044867565274771</v>
      </c>
    </row>
    <row r="46" spans="2:12" x14ac:dyDescent="0.3">
      <c r="B46" s="6" t="s">
        <v>77</v>
      </c>
      <c r="C46" s="16"/>
      <c r="D46" s="16">
        <f>D11/C11-1</f>
        <v>-0.33544303797468356</v>
      </c>
      <c r="E46" s="16">
        <f>E11/D11-1</f>
        <v>0.57857142857142851</v>
      </c>
      <c r="F46" s="16">
        <f>F11/E11-1</f>
        <v>0.24132730015082959</v>
      </c>
      <c r="G46" s="16">
        <f>G11/F11-1</f>
        <v>-5.2247873633049835E-2</v>
      </c>
      <c r="H46" s="16">
        <f>AVERAGE(C46:G46)</f>
        <v>0.10805195427863118</v>
      </c>
      <c r="I46" s="16">
        <f>H46</f>
        <v>0.10805195427863118</v>
      </c>
      <c r="J46" s="16">
        <f>H46</f>
        <v>0.10805195427863118</v>
      </c>
      <c r="K46" s="16">
        <f>H46</f>
        <v>0.10805195427863118</v>
      </c>
      <c r="L46" s="16">
        <f>H46</f>
        <v>0.10805195427863118</v>
      </c>
    </row>
    <row r="47" spans="2:12" x14ac:dyDescent="0.3">
      <c r="B47" s="6"/>
    </row>
    <row r="48" spans="2:12" x14ac:dyDescent="0.3">
      <c r="B48" s="6" t="s">
        <v>78</v>
      </c>
      <c r="C48">
        <f>C23/'Income Statement'!C8*366</f>
        <v>79.473186119873816</v>
      </c>
      <c r="D48">
        <f>D23/'Income Statement'!D8*366</f>
        <v>84.709433962264157</v>
      </c>
      <c r="E48">
        <f>E23/'Income Statement'!E8*366</f>
        <v>92.192552225249784</v>
      </c>
      <c r="F48">
        <f>F23/'Income Statement'!F8*366</f>
        <v>68.7642694063927</v>
      </c>
      <c r="G48">
        <f>G23/'Income Statement'!G8*366</f>
        <v>79.799033083704614</v>
      </c>
      <c r="H48">
        <f>AVERAGE(C48:G48)</f>
        <v>80.98769495949702</v>
      </c>
      <c r="I48">
        <f>H48</f>
        <v>80.98769495949702</v>
      </c>
      <c r="J48">
        <f>H48</f>
        <v>80.98769495949702</v>
      </c>
      <c r="K48">
        <f>H48</f>
        <v>80.98769495949702</v>
      </c>
      <c r="L48">
        <f>H48</f>
        <v>80.98769495949702</v>
      </c>
    </row>
    <row r="49" spans="2:12" x14ac:dyDescent="0.3">
      <c r="B49" s="6" t="s">
        <v>79</v>
      </c>
      <c r="C49" s="16"/>
      <c r="D49" s="16">
        <f>D25/C25-1</f>
        <v>0.21999065857076139</v>
      </c>
      <c r="E49" s="16">
        <f>E25/D25-1</f>
        <v>0.22205206738131711</v>
      </c>
      <c r="F49" s="16">
        <f>F25/E25-1</f>
        <v>0.17637844611528819</v>
      </c>
      <c r="G49" s="16">
        <f>G25/F25-1</f>
        <v>0.11584553928095875</v>
      </c>
      <c r="H49" s="16">
        <f>AVERAGE(C49:G49)</f>
        <v>0.18356667783708136</v>
      </c>
      <c r="I49" s="16">
        <f>H49</f>
        <v>0.18356667783708136</v>
      </c>
      <c r="J49" s="16">
        <f>H49</f>
        <v>0.18356667783708136</v>
      </c>
      <c r="K49" s="16">
        <f>H49</f>
        <v>0.18356667783708136</v>
      </c>
      <c r="L49" s="16">
        <f>H49</f>
        <v>0.18356667783708136</v>
      </c>
    </row>
    <row r="50" spans="2:12" x14ac:dyDescent="0.3">
      <c r="B50" s="6"/>
    </row>
    <row r="51" spans="2:12" x14ac:dyDescent="0.3">
      <c r="B51" s="6" t="s">
        <v>80</v>
      </c>
      <c r="C51" s="16"/>
      <c r="D51" s="16">
        <f>'Income Statement'!D8/(C10+D10)*2</f>
        <v>3.1016137613051962</v>
      </c>
      <c r="E51" s="16">
        <f>'Income Statement'!E8/(D10+E10)*2</f>
        <v>2.8821989528795813</v>
      </c>
      <c r="F51" s="16">
        <f>'Income Statement'!F8/(E10+F10)*2</f>
        <v>2.8201207243460766</v>
      </c>
      <c r="G51" s="16">
        <f>'Income Statement'!G8/(F10+G10)*2</f>
        <v>2.9561440381112511</v>
      </c>
      <c r="H51" s="16">
        <f>AVERAGE(C51:G51)</f>
        <v>2.9400193691605265</v>
      </c>
      <c r="I51" s="16">
        <f>H51</f>
        <v>2.9400193691605265</v>
      </c>
      <c r="J51" s="16">
        <f>H51</f>
        <v>2.9400193691605265</v>
      </c>
      <c r="K51" s="16">
        <f>H51</f>
        <v>2.9400193691605265</v>
      </c>
      <c r="L51" s="16">
        <f>H51</f>
        <v>2.9400193691605265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showGridLines="0" tabSelected="1" topLeftCell="A17" workbookViewId="0"/>
  </sheetViews>
  <sheetFormatPr defaultRowHeight="14.4" x14ac:dyDescent="0.3"/>
  <cols>
    <col min="2" max="2" width="50" customWidth="1"/>
  </cols>
  <sheetData>
    <row r="2" spans="2:12" x14ac:dyDescent="0.3">
      <c r="B2" s="1" t="s">
        <v>81</v>
      </c>
    </row>
    <row r="3" spans="2:12" x14ac:dyDescent="0.3">
      <c r="B3" s="2" t="s">
        <v>0</v>
      </c>
      <c r="C3" s="9"/>
      <c r="D3" s="9"/>
      <c r="E3" s="9"/>
      <c r="F3" s="9"/>
      <c r="G3" s="3" t="s">
        <v>15</v>
      </c>
      <c r="H3" s="10"/>
      <c r="I3" s="9"/>
      <c r="J3" s="9"/>
      <c r="K3" s="9"/>
      <c r="L3" s="9"/>
    </row>
    <row r="4" spans="2:12" x14ac:dyDescent="0.3">
      <c r="G4" s="11" t="s">
        <v>1</v>
      </c>
      <c r="H4" s="11"/>
    </row>
    <row r="5" spans="2:12" x14ac:dyDescent="0.3">
      <c r="C5" s="12">
        <v>2014</v>
      </c>
      <c r="D5" s="12">
        <v>2015</v>
      </c>
      <c r="E5" s="12">
        <v>2016</v>
      </c>
      <c r="F5" s="12">
        <v>2017</v>
      </c>
      <c r="G5" s="12">
        <v>2018</v>
      </c>
      <c r="H5" s="12" t="s">
        <v>2</v>
      </c>
      <c r="I5" s="12" t="s">
        <v>3</v>
      </c>
      <c r="J5" s="12" t="s">
        <v>4</v>
      </c>
      <c r="K5" s="12" t="s">
        <v>18</v>
      </c>
      <c r="L5" s="12" t="s">
        <v>19</v>
      </c>
    </row>
    <row r="7" spans="2:12" x14ac:dyDescent="0.3">
      <c r="B7" s="6" t="s">
        <v>82</v>
      </c>
    </row>
    <row r="8" spans="2:12" x14ac:dyDescent="0.3">
      <c r="B8" s="6" t="s">
        <v>83</v>
      </c>
      <c r="C8">
        <v>835</v>
      </c>
      <c r="D8">
        <v>1039</v>
      </c>
      <c r="E8">
        <v>1444</v>
      </c>
      <c r="F8">
        <v>2023</v>
      </c>
      <c r="G8">
        <v>2378</v>
      </c>
      <c r="H8">
        <f>'Income Statement'!H21</f>
        <v>1644.7821229402082</v>
      </c>
      <c r="I8">
        <f>'Income Statement'!I21</f>
        <v>1961.9816534840998</v>
      </c>
      <c r="J8">
        <f>'Income Statement'!J21</f>
        <v>2342.6210901367663</v>
      </c>
      <c r="K8">
        <f>'Income Statement'!K21</f>
        <v>2799.3884141199669</v>
      </c>
      <c r="L8">
        <f>'Income Statement'!L21</f>
        <v>3347.5092028998106</v>
      </c>
    </row>
    <row r="9" spans="2:12" x14ac:dyDescent="0.3">
      <c r="B9" s="6" t="s">
        <v>84</v>
      </c>
      <c r="C9">
        <v>316</v>
      </c>
      <c r="D9">
        <v>339</v>
      </c>
      <c r="E9">
        <v>372</v>
      </c>
      <c r="F9">
        <v>421</v>
      </c>
      <c r="G9">
        <v>470</v>
      </c>
      <c r="H9">
        <f>'Income Statement'!H10</f>
        <v>564</v>
      </c>
      <c r="I9">
        <f>'Income Statement'!I10</f>
        <v>676.8</v>
      </c>
      <c r="J9">
        <f>'Income Statement'!J10</f>
        <v>812.15999999999985</v>
      </c>
      <c r="K9">
        <f>'Income Statement'!K10</f>
        <v>974.59199999999987</v>
      </c>
      <c r="L9">
        <f>'Income Statement'!L10</f>
        <v>1169.5103999999999</v>
      </c>
    </row>
    <row r="10" spans="2:12" x14ac:dyDescent="0.3">
      <c r="B10" s="6" t="s">
        <v>85</v>
      </c>
      <c r="C10">
        <v>-204</v>
      </c>
      <c r="D10">
        <v>-269</v>
      </c>
      <c r="E10">
        <v>-421</v>
      </c>
      <c r="F10">
        <v>-500</v>
      </c>
      <c r="G10">
        <v>-890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2" x14ac:dyDescent="0.3">
      <c r="B11" s="13" t="s">
        <v>86</v>
      </c>
      <c r="C11" s="14">
        <v>947</v>
      </c>
      <c r="D11" s="14">
        <v>1109</v>
      </c>
      <c r="E11" s="14">
        <v>1395</v>
      </c>
      <c r="F11" s="14">
        <v>1944</v>
      </c>
      <c r="G11" s="14">
        <v>1958</v>
      </c>
      <c r="H11" s="14">
        <f>SUM(H8:H10)</f>
        <v>2208.782122940208</v>
      </c>
      <c r="I11" s="14">
        <f>SUM(I8:I10)</f>
        <v>2638.7816534840995</v>
      </c>
      <c r="J11" s="14">
        <f>SUM(J8:J10)</f>
        <v>3154.7810901367661</v>
      </c>
      <c r="K11" s="14">
        <f>SUM(K8:K10)</f>
        <v>3773.9804141199666</v>
      </c>
      <c r="L11" s="14">
        <f>SUM(L8:L10)</f>
        <v>4517.0196028998107</v>
      </c>
    </row>
    <row r="12" spans="2:12" x14ac:dyDescent="0.3">
      <c r="B12" s="6" t="s">
        <v>87</v>
      </c>
      <c r="C12">
        <v>-229</v>
      </c>
      <c r="D12">
        <v>1</v>
      </c>
      <c r="E12">
        <v>-26</v>
      </c>
      <c r="F12">
        <v>-271</v>
      </c>
      <c r="G12">
        <v>712</v>
      </c>
      <c r="H12">
        <f>SUM('Balance Sheet'!G9:G11)-SUM('Balance Sheet'!H9:H11)+SUM('Balance Sheet'!H23:H25)-SUM('Balance Sheet'!G23:G25)</f>
        <v>702.39565229780692</v>
      </c>
      <c r="I12">
        <f>SUM('Balance Sheet'!H9:H11)-SUM('Balance Sheet'!I9:I11)+SUM('Balance Sheet'!I23:I25)-SUM('Balance Sheet'!H23:H25)</f>
        <v>787.25281837619423</v>
      </c>
      <c r="J12">
        <f>SUM('Balance Sheet'!I9:I11)-SUM('Balance Sheet'!J9:J11)+SUM('Balance Sheet'!J23:J25)-SUM('Balance Sheet'!I23:I25)</f>
        <v>938.33034626878543</v>
      </c>
      <c r="K12">
        <f>SUM('Balance Sheet'!J9:J11)-SUM('Balance Sheet'!K9:K11)+SUM('Balance Sheet'!K23:K25)-SUM('Balance Sheet'!J23:J25)</f>
        <v>1117.8050751323808</v>
      </c>
      <c r="L12">
        <f>SUM('Balance Sheet'!K9:K11)-SUM('Balance Sheet'!L9:L11)+SUM('Balance Sheet'!L23:L25)-SUM('Balance Sheet'!K23:K25)</f>
        <v>1330.952601155579</v>
      </c>
    </row>
    <row r="13" spans="2:12" x14ac:dyDescent="0.3">
      <c r="B13" s="13" t="s">
        <v>88</v>
      </c>
      <c r="C13" s="14">
        <f t="shared" ref="C13:L13" si="0">C11+C12</f>
        <v>718</v>
      </c>
      <c r="D13" s="14">
        <f t="shared" si="0"/>
        <v>1110</v>
      </c>
      <c r="E13" s="14">
        <f t="shared" si="0"/>
        <v>1369</v>
      </c>
      <c r="F13" s="14">
        <f t="shared" si="0"/>
        <v>1673</v>
      </c>
      <c r="G13" s="14">
        <f t="shared" si="0"/>
        <v>2670</v>
      </c>
      <c r="H13" s="14">
        <f t="shared" si="0"/>
        <v>2911.1777752380149</v>
      </c>
      <c r="I13" s="14">
        <f t="shared" si="0"/>
        <v>3426.0344718602937</v>
      </c>
      <c r="J13" s="14">
        <f t="shared" si="0"/>
        <v>4093.1114364055516</v>
      </c>
      <c r="K13" s="14">
        <f t="shared" si="0"/>
        <v>4891.7854892523474</v>
      </c>
      <c r="L13" s="14">
        <f t="shared" si="0"/>
        <v>5847.9722040553897</v>
      </c>
    </row>
    <row r="14" spans="2:12" x14ac:dyDescent="0.3">
      <c r="B14" s="6" t="s">
        <v>89</v>
      </c>
    </row>
    <row r="15" spans="2:12" x14ac:dyDescent="0.3">
      <c r="B15" s="6" t="s">
        <v>90</v>
      </c>
      <c r="C15">
        <v>-548</v>
      </c>
      <c r="D15">
        <v>-513</v>
      </c>
      <c r="E15">
        <v>-651</v>
      </c>
      <c r="F15">
        <v>-752</v>
      </c>
      <c r="G15">
        <v>-707</v>
      </c>
      <c r="H15">
        <f>-'Income Statement'!H7*H34</f>
        <v>-891.4060796645698</v>
      </c>
      <c r="I15">
        <f>-'Income Statement'!I7*I34</f>
        <v>-1069.6872955974839</v>
      </c>
      <c r="J15">
        <f>-'Income Statement'!J7*J34</f>
        <v>-1283.6247547169805</v>
      </c>
      <c r="K15">
        <f>-'Income Statement'!K7*K34</f>
        <v>-1540.3497056603765</v>
      </c>
      <c r="L15">
        <f>-'Income Statement'!L7*L34</f>
        <v>-1848.4196467924519</v>
      </c>
    </row>
    <row r="16" spans="2:12" x14ac:dyDescent="0.3">
      <c r="B16" s="6" t="s">
        <v>91</v>
      </c>
      <c r="C16">
        <v>-6</v>
      </c>
      <c r="D16">
        <v>-214</v>
      </c>
      <c r="E16">
        <v>-24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3">
      <c r="B17" s="6" t="s">
        <v>92</v>
      </c>
      <c r="C17">
        <v>4</v>
      </c>
      <c r="D17">
        <v>170</v>
      </c>
      <c r="E17">
        <v>48</v>
      </c>
      <c r="F17">
        <v>8</v>
      </c>
      <c r="G17">
        <v>31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3">
      <c r="B18" s="6" t="s">
        <v>93</v>
      </c>
      <c r="C18">
        <v>1</v>
      </c>
      <c r="D18">
        <v>-48</v>
      </c>
      <c r="E18">
        <v>-33</v>
      </c>
      <c r="F18">
        <v>-132</v>
      </c>
      <c r="G18">
        <v>-56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3">
      <c r="B19" s="6" t="s">
        <v>85</v>
      </c>
      <c r="C19">
        <v>-5</v>
      </c>
      <c r="D19">
        <v>-6</v>
      </c>
      <c r="E19">
        <v>0</v>
      </c>
      <c r="F19">
        <v>171</v>
      </c>
      <c r="G19">
        <v>72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3">
      <c r="B20" s="13" t="s">
        <v>94</v>
      </c>
      <c r="C20" s="14">
        <f t="shared" ref="C20:L20" si="1">SUM(C15:C19)</f>
        <v>-554</v>
      </c>
      <c r="D20" s="14">
        <f t="shared" si="1"/>
        <v>-611</v>
      </c>
      <c r="E20" s="14">
        <f t="shared" si="1"/>
        <v>-660</v>
      </c>
      <c r="F20" s="14">
        <f t="shared" si="1"/>
        <v>-705</v>
      </c>
      <c r="G20" s="14">
        <f t="shared" si="1"/>
        <v>-660</v>
      </c>
      <c r="H20" s="14">
        <f t="shared" si="1"/>
        <v>-891.4060796645698</v>
      </c>
      <c r="I20" s="14">
        <f t="shared" si="1"/>
        <v>-1069.6872955974839</v>
      </c>
      <c r="J20" s="14">
        <f t="shared" si="1"/>
        <v>-1283.6247547169805</v>
      </c>
      <c r="K20" s="14">
        <f t="shared" si="1"/>
        <v>-1540.3497056603765</v>
      </c>
      <c r="L20" s="14">
        <f t="shared" si="1"/>
        <v>-1848.4196467924519</v>
      </c>
    </row>
    <row r="21" spans="2:12" x14ac:dyDescent="0.3">
      <c r="B21" s="6" t="s">
        <v>95</v>
      </c>
    </row>
    <row r="22" spans="2:12" x14ac:dyDescent="0.3">
      <c r="B22" s="6" t="s">
        <v>96</v>
      </c>
      <c r="C22">
        <v>-314</v>
      </c>
      <c r="D22">
        <v>-303</v>
      </c>
      <c r="E22">
        <v>-320</v>
      </c>
      <c r="F22">
        <v>-405</v>
      </c>
      <c r="G22">
        <v>-528</v>
      </c>
      <c r="H22">
        <f>-'Income Statement'!H30*'Income Statement'!H28</f>
        <v>-180.23</v>
      </c>
      <c r="I22">
        <f>-'Income Statement'!I30*'Income Statement'!I28</f>
        <v>-180.23</v>
      </c>
      <c r="J22">
        <f>-'Income Statement'!J30*'Income Statement'!J28</f>
        <v>-180.23</v>
      </c>
      <c r="K22">
        <f>-'Income Statement'!K30*'Income Statement'!K28</f>
        <v>-180.23</v>
      </c>
      <c r="L22">
        <f>-'Income Statement'!L30*'Income Statement'!L28</f>
        <v>-180.23</v>
      </c>
    </row>
    <row r="23" spans="2:12" x14ac:dyDescent="0.3">
      <c r="B23" s="6" t="s">
        <v>97</v>
      </c>
      <c r="C23">
        <v>-300</v>
      </c>
      <c r="D23">
        <v>-301</v>
      </c>
      <c r="E23">
        <v>-216</v>
      </c>
      <c r="F23">
        <v>-87</v>
      </c>
      <c r="G23">
        <v>-1003</v>
      </c>
      <c r="H23">
        <v>-1003</v>
      </c>
      <c r="I23">
        <v>-1003</v>
      </c>
      <c r="J23">
        <v>-1003</v>
      </c>
      <c r="K23">
        <v>-1003</v>
      </c>
      <c r="L23">
        <v>-1003</v>
      </c>
    </row>
    <row r="24" spans="2:12" x14ac:dyDescent="0.3">
      <c r="B24" s="6" t="s">
        <v>98</v>
      </c>
      <c r="C24">
        <v>500</v>
      </c>
      <c r="D24">
        <v>-81</v>
      </c>
      <c r="E24">
        <v>9</v>
      </c>
      <c r="F24">
        <v>-275</v>
      </c>
      <c r="G24">
        <v>582</v>
      </c>
      <c r="H24">
        <f>'Balance Sheet'!H28-'Balance Sheet'!G28</f>
        <v>0</v>
      </c>
      <c r="I24">
        <f>'Balance Sheet'!I28-'Balance Sheet'!H28</f>
        <v>0</v>
      </c>
      <c r="J24">
        <f>'Balance Sheet'!J28-'Balance Sheet'!I28</f>
        <v>0</v>
      </c>
      <c r="K24">
        <f>'Balance Sheet'!K28-'Balance Sheet'!J28</f>
        <v>0</v>
      </c>
      <c r="L24">
        <f>'Balance Sheet'!L28-'Balance Sheet'!K28</f>
        <v>0</v>
      </c>
    </row>
    <row r="25" spans="2:12" x14ac:dyDescent="0.3">
      <c r="B25" s="6" t="s">
        <v>85</v>
      </c>
      <c r="C25">
        <v>-4</v>
      </c>
      <c r="D25">
        <v>-6</v>
      </c>
      <c r="E25">
        <v>-2</v>
      </c>
      <c r="F25">
        <v>-2</v>
      </c>
      <c r="G25">
        <v>-2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3">
      <c r="B26" s="13" t="s">
        <v>99</v>
      </c>
      <c r="C26" s="14">
        <f t="shared" ref="C26:L26" si="2">SUM(C22:C25)</f>
        <v>-118</v>
      </c>
      <c r="D26" s="14">
        <f t="shared" si="2"/>
        <v>-691</v>
      </c>
      <c r="E26" s="14">
        <f t="shared" si="2"/>
        <v>-529</v>
      </c>
      <c r="F26" s="14">
        <f t="shared" si="2"/>
        <v>-769</v>
      </c>
      <c r="G26" s="14">
        <f t="shared" si="2"/>
        <v>-951</v>
      </c>
      <c r="H26" s="14">
        <f t="shared" si="2"/>
        <v>-1183.23</v>
      </c>
      <c r="I26" s="14">
        <f t="shared" si="2"/>
        <v>-1183.23</v>
      </c>
      <c r="J26" s="14">
        <f t="shared" si="2"/>
        <v>-1183.23</v>
      </c>
      <c r="K26" s="14">
        <f t="shared" si="2"/>
        <v>-1183.23</v>
      </c>
      <c r="L26" s="14">
        <f t="shared" si="2"/>
        <v>-1183.23</v>
      </c>
    </row>
    <row r="27" spans="2:12" x14ac:dyDescent="0.3">
      <c r="B27" s="6"/>
    </row>
    <row r="28" spans="2:12" x14ac:dyDescent="0.3">
      <c r="B28" s="6"/>
    </row>
    <row r="29" spans="2:12" x14ac:dyDescent="0.3">
      <c r="B29" s="6"/>
    </row>
    <row r="30" spans="2:12" x14ac:dyDescent="0.3">
      <c r="B30" s="6" t="s">
        <v>100</v>
      </c>
      <c r="C30">
        <f t="shared" ref="C30:L30" si="3">C13+C20+C26</f>
        <v>46</v>
      </c>
      <c r="D30">
        <f t="shared" si="3"/>
        <v>-192</v>
      </c>
      <c r="E30">
        <f t="shared" si="3"/>
        <v>180</v>
      </c>
      <c r="F30">
        <f t="shared" si="3"/>
        <v>199</v>
      </c>
      <c r="G30">
        <f t="shared" si="3"/>
        <v>1059</v>
      </c>
      <c r="H30">
        <f t="shared" si="3"/>
        <v>836.54169557344494</v>
      </c>
      <c r="I30">
        <f t="shared" si="3"/>
        <v>1173.1171762628096</v>
      </c>
      <c r="J30">
        <f t="shared" si="3"/>
        <v>1626.256681688571</v>
      </c>
      <c r="K30">
        <f t="shared" si="3"/>
        <v>2168.2057835919709</v>
      </c>
      <c r="L30">
        <f t="shared" si="3"/>
        <v>2816.3225572629376</v>
      </c>
    </row>
    <row r="31" spans="2:12" x14ac:dyDescent="0.3">
      <c r="B31" s="13" t="s">
        <v>101</v>
      </c>
      <c r="C31" s="4"/>
      <c r="D31" s="4"/>
      <c r="E31" s="4"/>
      <c r="F31" s="4"/>
      <c r="G31" s="4">
        <f>'Balance Sheet'!G8</f>
        <v>2880</v>
      </c>
      <c r="H31" s="4">
        <f>G31+H30</f>
        <v>3716.5416955734449</v>
      </c>
      <c r="I31" s="4">
        <f>H31+I30</f>
        <v>4889.6588718362545</v>
      </c>
      <c r="J31" s="4">
        <f>I31+J30</f>
        <v>6515.9155535248256</v>
      </c>
      <c r="K31" s="4">
        <f>J31+K30</f>
        <v>8684.121337116796</v>
      </c>
      <c r="L31" s="4">
        <f>K31+L30</f>
        <v>11500.443894379734</v>
      </c>
    </row>
    <row r="32" spans="2:12" x14ac:dyDescent="0.3">
      <c r="B32" s="6"/>
    </row>
    <row r="33" spans="2:12" x14ac:dyDescent="0.3">
      <c r="B33" s="15" t="s">
        <v>38</v>
      </c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x14ac:dyDescent="0.3">
      <c r="B34" s="6" t="s">
        <v>102</v>
      </c>
      <c r="C34" s="16">
        <f>-C15/'Income Statement'!C7</f>
        <v>3.7704692445300676E-2</v>
      </c>
      <c r="D34" s="16">
        <f>-D15/'Income Statement'!D7</f>
        <v>3.0328111143955068E-2</v>
      </c>
      <c r="E34" s="16">
        <f>-E15/'Income Statement'!E7</f>
        <v>3.3746306567829558E-2</v>
      </c>
      <c r="F34" s="16">
        <f>-F15/'Income Statement'!F7</f>
        <v>3.5441606183429161E-2</v>
      </c>
      <c r="G34" s="16">
        <f>-G15/'Income Statement'!G7</f>
        <v>3.2261008441706596E-2</v>
      </c>
      <c r="H34" s="16">
        <f>AVERAGE(C34:G34)</f>
        <v>3.389634495644421E-2</v>
      </c>
      <c r="I34" s="16">
        <f>H34</f>
        <v>3.389634495644421E-2</v>
      </c>
      <c r="J34" s="16">
        <f>H34</f>
        <v>3.389634495644421E-2</v>
      </c>
      <c r="K34" s="16">
        <f>H34</f>
        <v>3.389634495644421E-2</v>
      </c>
      <c r="L34" s="16">
        <f>H34</f>
        <v>3.389634495644421E-2</v>
      </c>
    </row>
    <row r="35" spans="2:12" x14ac:dyDescent="0.3">
      <c r="B35" s="6" t="s">
        <v>103</v>
      </c>
      <c r="C35" s="16">
        <f>C10/C13</f>
        <v>-0.28412256267409469</v>
      </c>
      <c r="D35" s="16">
        <f>D10/D13</f>
        <v>-0.24234234234234234</v>
      </c>
      <c r="E35" s="16">
        <f>E10/E13</f>
        <v>-0.30752373995617238</v>
      </c>
      <c r="F35" s="16">
        <f>F10/F13</f>
        <v>-0.2988643156007173</v>
      </c>
      <c r="G35" s="16">
        <f>G10/G13</f>
        <v>-0.33333333333333331</v>
      </c>
      <c r="H35" s="16">
        <f>AVERAGE(C35:G35)</f>
        <v>-0.293237258781332</v>
      </c>
      <c r="I35" s="16">
        <f>H35</f>
        <v>-0.293237258781332</v>
      </c>
      <c r="J35" s="16">
        <f>H35</f>
        <v>-0.293237258781332</v>
      </c>
      <c r="K35" s="16">
        <f>H35</f>
        <v>-0.293237258781332</v>
      </c>
      <c r="L35" s="16">
        <f>H35</f>
        <v>-0.293237258781332</v>
      </c>
    </row>
    <row r="36" spans="2:12" x14ac:dyDescent="0.3">
      <c r="B36" s="6" t="s">
        <v>104</v>
      </c>
      <c r="C36">
        <f t="shared" ref="C36:L36" si="4">C13+C15</f>
        <v>170</v>
      </c>
      <c r="D36">
        <f t="shared" si="4"/>
        <v>597</v>
      </c>
      <c r="E36">
        <f t="shared" si="4"/>
        <v>718</v>
      </c>
      <c r="F36">
        <f t="shared" si="4"/>
        <v>921</v>
      </c>
      <c r="G36">
        <f t="shared" si="4"/>
        <v>1963</v>
      </c>
      <c r="H36">
        <f t="shared" si="4"/>
        <v>2019.771695573445</v>
      </c>
      <c r="I36">
        <f t="shared" si="4"/>
        <v>2356.3471762628096</v>
      </c>
      <c r="J36">
        <f t="shared" si="4"/>
        <v>2809.486681688571</v>
      </c>
      <c r="K36">
        <f t="shared" si="4"/>
        <v>3351.4357835919709</v>
      </c>
      <c r="L36">
        <f t="shared" si="4"/>
        <v>3999.5525572629376</v>
      </c>
    </row>
    <row r="37" spans="2:12" x14ac:dyDescent="0.3">
      <c r="B37" s="6" t="s">
        <v>105</v>
      </c>
      <c r="C37" s="16"/>
      <c r="D37" s="16">
        <f t="shared" ref="D37:L37" si="5">D36/C36-1</f>
        <v>2.5117647058823529</v>
      </c>
      <c r="E37" s="16">
        <f t="shared" si="5"/>
        <v>0.20268006700167507</v>
      </c>
      <c r="F37" s="16">
        <f t="shared" si="5"/>
        <v>0.28272980501392753</v>
      </c>
      <c r="G37" s="16">
        <f t="shared" si="5"/>
        <v>1.1313789359391966</v>
      </c>
      <c r="H37" s="16">
        <f t="shared" si="5"/>
        <v>2.8920884143375014E-2</v>
      </c>
      <c r="I37" s="16">
        <f t="shared" si="5"/>
        <v>0.16664035911930419</v>
      </c>
      <c r="J37" s="16">
        <f t="shared" si="5"/>
        <v>0.19230591739220926</v>
      </c>
      <c r="K37" s="16">
        <f t="shared" si="5"/>
        <v>0.19289968713347849</v>
      </c>
      <c r="L37" s="16">
        <f t="shared" si="5"/>
        <v>0.19338481042782618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Cashflow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2019-06-25T14:54:03Z</dcterms:created>
  <dcterms:modified xsi:type="dcterms:W3CDTF">2019-06-25T18:54:50Z</dcterms:modified>
</cp:coreProperties>
</file>