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geuser\Desktop\Business-Valuation-Machine\output\"/>
    </mc:Choice>
  </mc:AlternateContent>
  <bookViews>
    <workbookView xWindow="0" yWindow="0" windowWidth="23040" windowHeight="9372"/>
  </bookViews>
  <sheets>
    <sheet name="Income Statement" sheetId="2" r:id="rId1"/>
    <sheet name="Balance Sheet" sheetId="3" r:id="rId2"/>
    <sheet name="Cashflow Statement" sheetId="4" r:id="rId3"/>
  </sheets>
  <calcPr calcId="152511"/>
</workbook>
</file>

<file path=xl/calcChain.xml><?xml version="1.0" encoding="utf-8"?>
<calcChain xmlns="http://schemas.openxmlformats.org/spreadsheetml/2006/main">
  <c r="F35" i="4" l="1"/>
  <c r="F36" i="4" s="1"/>
  <c r="G33" i="4"/>
  <c r="F33" i="4"/>
  <c r="E33" i="4"/>
  <c r="D33" i="4"/>
  <c r="C33" i="4"/>
  <c r="H33" i="4" s="1"/>
  <c r="G30" i="4"/>
  <c r="L27" i="4"/>
  <c r="G27" i="4"/>
  <c r="F27" i="4"/>
  <c r="E27" i="4"/>
  <c r="D27" i="4"/>
  <c r="C27" i="4"/>
  <c r="L25" i="4"/>
  <c r="K25" i="4"/>
  <c r="J25" i="4"/>
  <c r="I25" i="4"/>
  <c r="H25" i="4"/>
  <c r="L23" i="4"/>
  <c r="K23" i="4"/>
  <c r="K27" i="4" s="1"/>
  <c r="J23" i="4"/>
  <c r="J27" i="4" s="1"/>
  <c r="I23" i="4"/>
  <c r="I27" i="4" s="1"/>
  <c r="H23" i="4"/>
  <c r="H27" i="4" s="1"/>
  <c r="G21" i="4"/>
  <c r="F21" i="4"/>
  <c r="E21" i="4"/>
  <c r="D21" i="4"/>
  <c r="C21" i="4"/>
  <c r="G14" i="4"/>
  <c r="G34" i="4" s="1"/>
  <c r="F14" i="4"/>
  <c r="F34" i="4" s="1"/>
  <c r="E14" i="4"/>
  <c r="E35" i="4" s="1"/>
  <c r="E36" i="4" s="1"/>
  <c r="D14" i="4"/>
  <c r="D35" i="4" s="1"/>
  <c r="C14" i="4"/>
  <c r="C35" i="4" s="1"/>
  <c r="G47" i="3"/>
  <c r="F47" i="3"/>
  <c r="E47" i="3"/>
  <c r="H47" i="3" s="1"/>
  <c r="D47" i="3"/>
  <c r="G46" i="3"/>
  <c r="I44" i="3"/>
  <c r="H44" i="3"/>
  <c r="H11" i="3" s="1"/>
  <c r="I11" i="3" s="1"/>
  <c r="G44" i="3"/>
  <c r="F44" i="3"/>
  <c r="E44" i="3"/>
  <c r="D44" i="3"/>
  <c r="L43" i="3"/>
  <c r="K43" i="3"/>
  <c r="J43" i="3"/>
  <c r="J9" i="3" s="1"/>
  <c r="I43" i="3"/>
  <c r="G43" i="3"/>
  <c r="F43" i="3"/>
  <c r="H43" i="3" s="1"/>
  <c r="H9" i="3" s="1"/>
  <c r="E43" i="3"/>
  <c r="D43" i="3"/>
  <c r="C43" i="3"/>
  <c r="G40" i="3"/>
  <c r="F40" i="3"/>
  <c r="E40" i="3"/>
  <c r="D40" i="3"/>
  <c r="C40" i="3"/>
  <c r="F38" i="3"/>
  <c r="E38" i="3"/>
  <c r="G36" i="3"/>
  <c r="G38" i="3" s="1"/>
  <c r="F36" i="3"/>
  <c r="E36" i="3"/>
  <c r="D36" i="3"/>
  <c r="D38" i="3" s="1"/>
  <c r="C36" i="3"/>
  <c r="C38" i="3" s="1"/>
  <c r="G57" i="2"/>
  <c r="F57" i="2"/>
  <c r="E57" i="2"/>
  <c r="D57" i="2"/>
  <c r="C57" i="2"/>
  <c r="E56" i="2"/>
  <c r="G54" i="2"/>
  <c r="F54" i="2"/>
  <c r="H54" i="2" s="1"/>
  <c r="E54" i="2"/>
  <c r="D54" i="2"/>
  <c r="C54" i="2"/>
  <c r="I52" i="2"/>
  <c r="L48" i="2"/>
  <c r="L49" i="2" s="1"/>
  <c r="L50" i="2" s="1"/>
  <c r="L45" i="2"/>
  <c r="G45" i="2"/>
  <c r="K48" i="2" s="1"/>
  <c r="F45" i="2"/>
  <c r="E45" i="2"/>
  <c r="D45" i="2"/>
  <c r="C45" i="2"/>
  <c r="G38" i="2"/>
  <c r="L41" i="2" s="1"/>
  <c r="I36" i="2"/>
  <c r="H36" i="2"/>
  <c r="L35" i="2"/>
  <c r="L36" i="2" s="1"/>
  <c r="K35" i="2"/>
  <c r="K36" i="2" s="1"/>
  <c r="J35" i="2"/>
  <c r="J36" i="2" s="1"/>
  <c r="I35" i="2"/>
  <c r="H35" i="2"/>
  <c r="L33" i="2"/>
  <c r="K33" i="2"/>
  <c r="K32" i="2" s="1"/>
  <c r="J33" i="2"/>
  <c r="J32" i="2" s="1"/>
  <c r="I33" i="2"/>
  <c r="I32" i="2" s="1"/>
  <c r="H33" i="2"/>
  <c r="L32" i="2"/>
  <c r="H32" i="2"/>
  <c r="L31" i="2"/>
  <c r="K31" i="2"/>
  <c r="J31" i="2"/>
  <c r="I31" i="2"/>
  <c r="H31" i="2"/>
  <c r="G31" i="2"/>
  <c r="F31" i="2"/>
  <c r="E31" i="2"/>
  <c r="D31" i="2"/>
  <c r="F27" i="2"/>
  <c r="F58" i="2" s="1"/>
  <c r="E20" i="2"/>
  <c r="G17" i="2"/>
  <c r="G56" i="2" s="1"/>
  <c r="F17" i="2"/>
  <c r="F56" i="2" s="1"/>
  <c r="E17" i="2"/>
  <c r="D17" i="2"/>
  <c r="D56" i="2" s="1"/>
  <c r="C17" i="2"/>
  <c r="C56" i="2" s="1"/>
  <c r="G10" i="2"/>
  <c r="H52" i="2" s="1"/>
  <c r="F10" i="2"/>
  <c r="F52" i="2" s="1"/>
  <c r="E10" i="2"/>
  <c r="E27" i="2" s="1"/>
  <c r="D10" i="2"/>
  <c r="D27" i="2" s="1"/>
  <c r="C10" i="2"/>
  <c r="C27" i="2" s="1"/>
  <c r="C58" i="2" s="1"/>
  <c r="G8" i="2"/>
  <c r="G49" i="3" s="1"/>
  <c r="D8" i="2"/>
  <c r="D49" i="3" s="1"/>
  <c r="C8" i="2"/>
  <c r="C46" i="3" s="1"/>
  <c r="J7" i="2"/>
  <c r="I7" i="2"/>
  <c r="H7" i="2"/>
  <c r="H16" i="4" s="1"/>
  <c r="H21" i="4" s="1"/>
  <c r="K45" i="2" l="1"/>
  <c r="K49" i="2"/>
  <c r="K50" i="2" s="1"/>
  <c r="K47" i="2"/>
  <c r="K46" i="2" s="1"/>
  <c r="D36" i="4"/>
  <c r="E58" i="2"/>
  <c r="I33" i="4"/>
  <c r="J33" i="4"/>
  <c r="J16" i="4" s="1"/>
  <c r="J21" i="4" s="1"/>
  <c r="L33" i="4"/>
  <c r="K33" i="4"/>
  <c r="L40" i="2"/>
  <c r="L39" i="2" s="1"/>
  <c r="L38" i="2"/>
  <c r="L42" i="2"/>
  <c r="L43" i="2" s="1"/>
  <c r="H24" i="3"/>
  <c r="I24" i="3" s="1"/>
  <c r="J24" i="3" s="1"/>
  <c r="K24" i="3" s="1"/>
  <c r="L24" i="3" s="1"/>
  <c r="L47" i="3"/>
  <c r="K47" i="3"/>
  <c r="J47" i="3"/>
  <c r="I47" i="3"/>
  <c r="H56" i="2"/>
  <c r="D58" i="2"/>
  <c r="I16" i="4"/>
  <c r="I21" i="4" s="1"/>
  <c r="L54" i="2"/>
  <c r="K54" i="2"/>
  <c r="J54" i="2"/>
  <c r="I54" i="2"/>
  <c r="E8" i="2"/>
  <c r="F20" i="2"/>
  <c r="G27" i="2"/>
  <c r="I41" i="2"/>
  <c r="J52" i="2"/>
  <c r="J44" i="3"/>
  <c r="J11" i="3" s="1"/>
  <c r="C29" i="4"/>
  <c r="G35" i="4"/>
  <c r="G36" i="4" s="1"/>
  <c r="F8" i="2"/>
  <c r="G20" i="2"/>
  <c r="J41" i="2"/>
  <c r="L47" i="2"/>
  <c r="L46" i="2" s="1"/>
  <c r="C52" i="2"/>
  <c r="K52" i="2"/>
  <c r="I9" i="3"/>
  <c r="K44" i="3"/>
  <c r="D29" i="4"/>
  <c r="H41" i="2"/>
  <c r="H10" i="2"/>
  <c r="K41" i="2"/>
  <c r="H48" i="2"/>
  <c r="D52" i="2"/>
  <c r="L52" i="2"/>
  <c r="L44" i="3"/>
  <c r="E29" i="4"/>
  <c r="C34" i="4"/>
  <c r="H34" i="4" s="1"/>
  <c r="I10" i="2"/>
  <c r="C38" i="2"/>
  <c r="I48" i="2"/>
  <c r="E52" i="2"/>
  <c r="F29" i="4"/>
  <c r="D34" i="4"/>
  <c r="K7" i="2"/>
  <c r="J10" i="2"/>
  <c r="D38" i="2"/>
  <c r="J48" i="2"/>
  <c r="D46" i="3"/>
  <c r="G29" i="4"/>
  <c r="E34" i="4"/>
  <c r="C20" i="2"/>
  <c r="G52" i="2"/>
  <c r="D20" i="2"/>
  <c r="H46" i="3" l="1"/>
  <c r="K11" i="3"/>
  <c r="L11" i="3" s="1"/>
  <c r="I47" i="2"/>
  <c r="I46" i="2" s="1"/>
  <c r="I45" i="2"/>
  <c r="I11" i="2" s="1"/>
  <c r="I49" i="2"/>
  <c r="I50" i="2" s="1"/>
  <c r="H47" i="2"/>
  <c r="H46" i="2" s="1"/>
  <c r="H45" i="2"/>
  <c r="H11" i="2" s="1"/>
  <c r="H49" i="2"/>
  <c r="H50" i="2" s="1"/>
  <c r="G58" i="2"/>
  <c r="I9" i="4"/>
  <c r="H9" i="4"/>
  <c r="H14" i="3" s="1"/>
  <c r="E46" i="3"/>
  <c r="E38" i="2"/>
  <c r="E49" i="3"/>
  <c r="F46" i="3"/>
  <c r="F38" i="2"/>
  <c r="F49" i="3"/>
  <c r="L34" i="4"/>
  <c r="K34" i="4"/>
  <c r="J34" i="4"/>
  <c r="I34" i="4"/>
  <c r="J42" i="2"/>
  <c r="J43" i="2" s="1"/>
  <c r="J40" i="2"/>
  <c r="J39" i="2" s="1"/>
  <c r="J38" i="2"/>
  <c r="J8" i="2" s="1"/>
  <c r="J9" i="2" s="1"/>
  <c r="J45" i="2"/>
  <c r="J11" i="2" s="1"/>
  <c r="J47" i="2"/>
  <c r="J46" i="2" s="1"/>
  <c r="J49" i="2"/>
  <c r="J50" i="2" s="1"/>
  <c r="L56" i="2"/>
  <c r="K56" i="2"/>
  <c r="J56" i="2"/>
  <c r="I56" i="2"/>
  <c r="H42" i="2"/>
  <c r="H43" i="2" s="1"/>
  <c r="H40" i="2"/>
  <c r="H39" i="2" s="1"/>
  <c r="H38" i="2"/>
  <c r="H8" i="2" s="1"/>
  <c r="H9" i="2" s="1"/>
  <c r="J9" i="4"/>
  <c r="K40" i="2"/>
  <c r="K39" i="2" s="1"/>
  <c r="K38" i="2"/>
  <c r="K42" i="2"/>
  <c r="K43" i="2" s="1"/>
  <c r="K8" i="2"/>
  <c r="K10" i="2"/>
  <c r="L7" i="2"/>
  <c r="K9" i="3"/>
  <c r="K9" i="2"/>
  <c r="K11" i="2"/>
  <c r="K16" i="4"/>
  <c r="K21" i="4" s="1"/>
  <c r="I42" i="2"/>
  <c r="I43" i="2" s="1"/>
  <c r="I40" i="2"/>
  <c r="I39" i="2" s="1"/>
  <c r="I38" i="2"/>
  <c r="I8" i="2" s="1"/>
  <c r="I9" i="2" s="1"/>
  <c r="K13" i="2" l="1"/>
  <c r="H49" i="3"/>
  <c r="I13" i="2"/>
  <c r="K27" i="2"/>
  <c r="K58" i="2" s="1"/>
  <c r="K9" i="4"/>
  <c r="L46" i="3"/>
  <c r="K46" i="3"/>
  <c r="K22" i="3" s="1"/>
  <c r="K25" i="3" s="1"/>
  <c r="K31" i="3" s="1"/>
  <c r="J46" i="3"/>
  <c r="J22" i="3" s="1"/>
  <c r="I46" i="3"/>
  <c r="I22" i="3" s="1"/>
  <c r="H22" i="3"/>
  <c r="L10" i="2"/>
  <c r="L8" i="2"/>
  <c r="L9" i="2" s="1"/>
  <c r="L13" i="2" s="1"/>
  <c r="L9" i="3"/>
  <c r="L11" i="2"/>
  <c r="L16" i="4"/>
  <c r="L21" i="4" s="1"/>
  <c r="H13" i="2"/>
  <c r="K13" i="4"/>
  <c r="J13" i="2"/>
  <c r="I14" i="3"/>
  <c r="J14" i="3" s="1"/>
  <c r="K14" i="3" s="1"/>
  <c r="L16" i="2" l="1"/>
  <c r="L17" i="2" s="1"/>
  <c r="L27" i="2"/>
  <c r="L58" i="2" s="1"/>
  <c r="L9" i="4"/>
  <c r="L14" i="3" s="1"/>
  <c r="H25" i="3"/>
  <c r="H31" i="3" s="1"/>
  <c r="H13" i="4"/>
  <c r="J17" i="2"/>
  <c r="J16" i="2"/>
  <c r="J27" i="2"/>
  <c r="H16" i="2"/>
  <c r="H17" i="2" s="1"/>
  <c r="H27" i="2"/>
  <c r="I25" i="3"/>
  <c r="I31" i="3" s="1"/>
  <c r="I13" i="4"/>
  <c r="I17" i="2"/>
  <c r="I16" i="2"/>
  <c r="I27" i="2"/>
  <c r="J25" i="3"/>
  <c r="J31" i="3" s="1"/>
  <c r="J13" i="4"/>
  <c r="L49" i="3"/>
  <c r="K49" i="3"/>
  <c r="J49" i="3"/>
  <c r="I49" i="3"/>
  <c r="K16" i="2"/>
  <c r="K17" i="2" s="1"/>
  <c r="L22" i="3"/>
  <c r="L25" i="3" s="1"/>
  <c r="L31" i="3" s="1"/>
  <c r="K20" i="2" l="1"/>
  <c r="K18" i="2"/>
  <c r="H18" i="2"/>
  <c r="H20" i="2" s="1"/>
  <c r="L18" i="2"/>
  <c r="L20" i="2" s="1"/>
  <c r="J20" i="2"/>
  <c r="J18" i="2"/>
  <c r="H58" i="2"/>
  <c r="I18" i="2"/>
  <c r="I20" i="2" s="1"/>
  <c r="J58" i="2"/>
  <c r="I58" i="2"/>
  <c r="L13" i="4"/>
  <c r="I8" i="4" l="1"/>
  <c r="I12" i="4" s="1"/>
  <c r="I14" i="4" s="1"/>
  <c r="I24" i="2"/>
  <c r="L8" i="4"/>
  <c r="L12" i="4" s="1"/>
  <c r="L14" i="4" s="1"/>
  <c r="L24" i="2"/>
  <c r="L57" i="2" s="1"/>
  <c r="H24" i="2"/>
  <c r="H35" i="3"/>
  <c r="H8" i="4"/>
  <c r="H12" i="4" s="1"/>
  <c r="H14" i="4" s="1"/>
  <c r="J8" i="4"/>
  <c r="J12" i="4" s="1"/>
  <c r="J14" i="4" s="1"/>
  <c r="J24" i="2"/>
  <c r="K8" i="4"/>
  <c r="K12" i="4" s="1"/>
  <c r="K14" i="4" s="1"/>
  <c r="K24" i="2"/>
  <c r="K57" i="2" s="1"/>
  <c r="H57" i="2" l="1"/>
  <c r="L35" i="4"/>
  <c r="L29" i="4"/>
  <c r="I57" i="2"/>
  <c r="K35" i="4"/>
  <c r="K29" i="4"/>
  <c r="J57" i="2"/>
  <c r="I29" i="4"/>
  <c r="I35" i="4"/>
  <c r="J35" i="4"/>
  <c r="J36" i="4" s="1"/>
  <c r="J29" i="4"/>
  <c r="H29" i="4"/>
  <c r="H30" i="4" s="1"/>
  <c r="H35" i="4"/>
  <c r="I35" i="3"/>
  <c r="H36" i="3"/>
  <c r="J35" i="3" l="1"/>
  <c r="I36" i="3"/>
  <c r="L36" i="4"/>
  <c r="H36" i="4"/>
  <c r="K36" i="4"/>
  <c r="I30" i="4"/>
  <c r="H8" i="3"/>
  <c r="H12" i="3" s="1"/>
  <c r="I36" i="4"/>
  <c r="H19" i="3" l="1"/>
  <c r="H40" i="3"/>
  <c r="J30" i="4"/>
  <c r="I8" i="3"/>
  <c r="I12" i="3" s="1"/>
  <c r="K35" i="3"/>
  <c r="J36" i="3"/>
  <c r="L35" i="3" l="1"/>
  <c r="L36" i="3" s="1"/>
  <c r="K36" i="3"/>
  <c r="I19" i="3"/>
  <c r="I40" i="3"/>
  <c r="K30" i="4"/>
  <c r="J8" i="3"/>
  <c r="J12" i="3" s="1"/>
  <c r="H38" i="3"/>
  <c r="I38" i="3" l="1"/>
  <c r="J19" i="3"/>
  <c r="J40" i="3"/>
  <c r="K8" i="3"/>
  <c r="K12" i="3" s="1"/>
  <c r="L30" i="4"/>
  <c r="L8" i="3" s="1"/>
  <c r="L12" i="3" s="1"/>
  <c r="J38" i="3" l="1"/>
  <c r="K40" i="3"/>
  <c r="K19" i="3"/>
  <c r="K38" i="3" s="1"/>
  <c r="L40" i="3"/>
  <c r="L19" i="3"/>
  <c r="L38" i="3" s="1"/>
</calcChain>
</file>

<file path=xl/sharedStrings.xml><?xml version="1.0" encoding="utf-8"?>
<sst xmlns="http://schemas.openxmlformats.org/spreadsheetml/2006/main" count="136" uniqueCount="106">
  <si>
    <t>($ in millions of U.S. Dollar)</t>
  </si>
  <si>
    <t>FYE JAN '19</t>
  </si>
  <si>
    <t>2020E</t>
  </si>
  <si>
    <t>2021E</t>
  </si>
  <si>
    <t>2022E</t>
  </si>
  <si>
    <t>EBITDA</t>
  </si>
  <si>
    <t>Bull</t>
  </si>
  <si>
    <t>Upside</t>
  </si>
  <si>
    <t>Base</t>
  </si>
  <si>
    <t>Downside</t>
  </si>
  <si>
    <t>Bear</t>
  </si>
  <si>
    <t>1 - Bull</t>
  </si>
  <si>
    <t>Income Statement</t>
  </si>
  <si>
    <t>Case</t>
  </si>
  <si>
    <t>2 - Upside</t>
  </si>
  <si>
    <t>Annual</t>
  </si>
  <si>
    <t>3 - Base</t>
  </si>
  <si>
    <t>4 - Downside</t>
  </si>
  <si>
    <t>2023E</t>
  </si>
  <si>
    <t>2024E</t>
  </si>
  <si>
    <t>5 - Bear</t>
  </si>
  <si>
    <t>Sales</t>
  </si>
  <si>
    <t>Cost of Goods Sold (COGS) excl. D&amp;A</t>
  </si>
  <si>
    <t>Gross Income</t>
  </si>
  <si>
    <t>Depreciation &amp; Amortization Expense</t>
  </si>
  <si>
    <t>SG&amp;A Expense</t>
  </si>
  <si>
    <t>Other Operating Expense</t>
  </si>
  <si>
    <t>EBIT (Operating Income)</t>
  </si>
  <si>
    <t>Nonoperating Income - Net</t>
  </si>
  <si>
    <t>Interest Expense</t>
  </si>
  <si>
    <t>Unusual Expense - Net</t>
  </si>
  <si>
    <t>Pretax Income</t>
  </si>
  <si>
    <t>Income Taxes</t>
  </si>
  <si>
    <t>Net Income</t>
  </si>
  <si>
    <t>Per Share</t>
  </si>
  <si>
    <t>EPS (diluted)</t>
  </si>
  <si>
    <t>Dividends per Share</t>
  </si>
  <si>
    <t>Diluted Shares Outstanding</t>
  </si>
  <si>
    <t>Driver Ratios</t>
  </si>
  <si>
    <t>Sales Growth %</t>
  </si>
  <si>
    <t>COGS Sales Ratio</t>
  </si>
  <si>
    <t>SG&amp;A Sales Ratio</t>
  </si>
  <si>
    <t>D&amp;A Sales Ratio</t>
  </si>
  <si>
    <t>Unusual Expense EBIT Ratio</t>
  </si>
  <si>
    <t>Effective Tax Rate</t>
  </si>
  <si>
    <t>Dividend Payout Ratio</t>
  </si>
  <si>
    <t>EBITDA Margin</t>
  </si>
  <si>
    <t>Balance Sheet</t>
  </si>
  <si>
    <t>Assets</t>
  </si>
  <si>
    <t>Cash &amp; Short-Term Investments</t>
  </si>
  <si>
    <t>Short-Term Receivables</t>
  </si>
  <si>
    <t>Inventories</t>
  </si>
  <si>
    <t>Other Current Assets</t>
  </si>
  <si>
    <t>Total Current Assets</t>
  </si>
  <si>
    <t>Net Property, Plant &amp; Equipment</t>
  </si>
  <si>
    <t>Total Investments and Advances</t>
  </si>
  <si>
    <t>Intangible Assets</t>
  </si>
  <si>
    <t>Deferred Tax Assets</t>
  </si>
  <si>
    <t>Other Assets</t>
  </si>
  <si>
    <t>Total Assets</t>
  </si>
  <si>
    <t>Liabilities &amp; Shareholders' Equity</t>
  </si>
  <si>
    <t>ST Debt &amp; Curr. Portion LT Debt</t>
  </si>
  <si>
    <t>Accounts Payable</t>
  </si>
  <si>
    <t>Income Tax Payable</t>
  </si>
  <si>
    <t>Other Current Liabilities</t>
  </si>
  <si>
    <t>Total Current Liabilities</t>
  </si>
  <si>
    <t>Long-Term Debt</t>
  </si>
  <si>
    <t>Provision for Risks &amp; Charges</t>
  </si>
  <si>
    <t>Deferred Tax Liabilities</t>
  </si>
  <si>
    <t>Other Liabilities</t>
  </si>
  <si>
    <t>Total Liabilities</t>
  </si>
  <si>
    <t>Total Equity</t>
  </si>
  <si>
    <t>Total Liabilities &amp; Shareholders' Equity</t>
  </si>
  <si>
    <t>Balance</t>
  </si>
  <si>
    <t>Working Capital</t>
  </si>
  <si>
    <t>DSO</t>
  </si>
  <si>
    <t>Other Current Assets Growth %</t>
  </si>
  <si>
    <t>DPO</t>
  </si>
  <si>
    <t>Miscellaneous Current Liabilities Growth %</t>
  </si>
  <si>
    <t>Inventory Turnover Ratio</t>
  </si>
  <si>
    <t>Cashflow Statement</t>
  </si>
  <si>
    <t>Operating Activities</t>
  </si>
  <si>
    <t>Net Income / Starting Line</t>
  </si>
  <si>
    <t>Depreciation, Depletion &amp; Amortization</t>
  </si>
  <si>
    <t>Deferred Taxes &amp; Investment Tax Credit</t>
  </si>
  <si>
    <t>Other Funds</t>
  </si>
  <si>
    <t>Funds from Operations</t>
  </si>
  <si>
    <t>Changes in Working Capital</t>
  </si>
  <si>
    <t>Net Operating Cash Flow</t>
  </si>
  <si>
    <t>Investing Activities</t>
  </si>
  <si>
    <t>Capital Expenditures</t>
  </si>
  <si>
    <t>Net Assets from Acquisitions</t>
  </si>
  <si>
    <t>Sale of Fixed Assets &amp; Businesses</t>
  </si>
  <si>
    <t>Purchase/Sale of Investments</t>
  </si>
  <si>
    <t>Net Investing Cash Flow</t>
  </si>
  <si>
    <t>Financing Activities</t>
  </si>
  <si>
    <t>Cash Dividends Paid</t>
  </si>
  <si>
    <t>Change in Capital Stock</t>
  </si>
  <si>
    <t>Issuance/Reduction of Debt, Net</t>
  </si>
  <si>
    <t>Net Financing Cash Flow</t>
  </si>
  <si>
    <t>Net Change in Cash</t>
  </si>
  <si>
    <t>Cash Balance</t>
  </si>
  <si>
    <t>Capital Expenditure Revenue Ratio</t>
  </si>
  <si>
    <t>Other Funds Net Operating CF Ratio</t>
  </si>
  <si>
    <t>Levered Free Cash Flow</t>
  </si>
  <si>
    <t>Levered Free Cash Flow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</si>
</sst>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#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name val="Calibri"/>
    </font>
    <font>
      <b/>
      <u/>
      <sz val="11"/>
      <name val="Calibri"/>
    </font>
    <font>
      <b/>
      <sz val="11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ABABA"/>
      </patternFill>
    </fill>
    <fill>
      <patternFill patternType="solid">
        <fgColor rgb="FFDDDDDD"/>
      </patternFill>
    </fill>
    <fill>
      <patternFill patternType="solid">
        <fgColor rgb="FFFFF2CC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Continuous"/>
    </xf>
    <xf numFmtId="164" fontId="1" fillId="0" borderId="0" xfId="0" applyNumberFormat="1" applyFont="1"/>
    <xf numFmtId="10" fontId="2" fillId="0" borderId="0" xfId="0" applyNumberFormat="1" applyFont="1"/>
    <xf numFmtId="0" fontId="0" fillId="3" borderId="0" xfId="0" applyFill="1"/>
    <xf numFmtId="0" fontId="1" fillId="0" borderId="0" xfId="0" applyFont="1"/>
    <xf numFmtId="0" fontId="4" fillId="4" borderId="3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1" xfId="0" applyFont="1" applyBorder="1" applyAlignment="1">
      <alignment horizontal="center" vertical="center"/>
    </xf>
    <xf numFmtId="0" fontId="1" fillId="3" borderId="0" xfId="0" applyFont="1" applyFill="1"/>
    <xf numFmtId="164" fontId="1" fillId="0" borderId="2" xfId="0" applyNumberFormat="1" applyFont="1" applyBorder="1"/>
    <xf numFmtId="0" fontId="3" fillId="3" borderId="0" xfId="0" applyFont="1" applyFill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showGridLines="0" tabSelected="1" workbookViewId="0"/>
  </sheetViews>
  <sheetFormatPr defaultRowHeight="14.4" x14ac:dyDescent="0.3"/>
  <cols>
    <col min="2" max="2" width="50" customWidth="1"/>
  </cols>
  <sheetData>
    <row r="1" spans="2:13" x14ac:dyDescent="0.3">
      <c r="M1" t="s">
        <v>11</v>
      </c>
    </row>
    <row r="2" spans="2:13" x14ac:dyDescent="0.3">
      <c r="B2" s="1" t="s">
        <v>12</v>
      </c>
      <c r="K2" s="7" t="s">
        <v>13</v>
      </c>
      <c r="L2" s="8">
        <v>3</v>
      </c>
      <c r="M2" t="s">
        <v>14</v>
      </c>
    </row>
    <row r="3" spans="2:13" x14ac:dyDescent="0.3">
      <c r="B3" s="2" t="s">
        <v>0</v>
      </c>
      <c r="C3" s="9"/>
      <c r="D3" s="9"/>
      <c r="E3" s="9"/>
      <c r="F3" s="9"/>
      <c r="G3" s="3" t="s">
        <v>15</v>
      </c>
      <c r="H3" s="10"/>
      <c r="I3" s="9"/>
      <c r="J3" s="9"/>
      <c r="K3" s="9"/>
      <c r="L3" s="9"/>
      <c r="M3" t="s">
        <v>16</v>
      </c>
    </row>
    <row r="4" spans="2:13" x14ac:dyDescent="0.3">
      <c r="G4" s="11" t="s">
        <v>1</v>
      </c>
      <c r="H4" s="11"/>
      <c r="M4" t="s">
        <v>17</v>
      </c>
    </row>
    <row r="5" spans="2:13" x14ac:dyDescent="0.3">
      <c r="C5" s="12">
        <v>2015</v>
      </c>
      <c r="D5" s="12">
        <v>2016</v>
      </c>
      <c r="E5" s="12">
        <v>2017</v>
      </c>
      <c r="F5" s="12">
        <v>2018</v>
      </c>
      <c r="G5" s="12">
        <v>2019</v>
      </c>
      <c r="H5" s="12" t="s">
        <v>2</v>
      </c>
      <c r="I5" s="12" t="s">
        <v>3</v>
      </c>
      <c r="J5" s="12" t="s">
        <v>4</v>
      </c>
      <c r="K5" s="12" t="s">
        <v>18</v>
      </c>
      <c r="L5" s="12" t="s">
        <v>19</v>
      </c>
      <c r="M5" t="s">
        <v>20</v>
      </c>
    </row>
    <row r="7" spans="2:13" x14ac:dyDescent="0.3">
      <c r="B7" s="13" t="s">
        <v>21</v>
      </c>
      <c r="C7" s="4">
        <v>4681.5069999999996</v>
      </c>
      <c r="D7" s="4">
        <v>5010</v>
      </c>
      <c r="E7" s="4">
        <v>6910</v>
      </c>
      <c r="F7" s="4">
        <v>9714</v>
      </c>
      <c r="G7" s="4">
        <v>11716</v>
      </c>
      <c r="H7" s="4">
        <f>G7*(1+H31)</f>
        <v>14059.199999999999</v>
      </c>
      <c r="I7" s="4">
        <f>H7*(1+I31)</f>
        <v>16871.039999999997</v>
      </c>
      <c r="J7" s="4">
        <f>I7*(1+J31)</f>
        <v>20245.247999999996</v>
      </c>
      <c r="K7" s="4">
        <f>J7*(1+K31)</f>
        <v>24294.297599999994</v>
      </c>
      <c r="L7" s="4">
        <f>K7*(1+L31)</f>
        <v>29153.157119999993</v>
      </c>
    </row>
    <row r="8" spans="2:13" x14ac:dyDescent="0.3">
      <c r="B8" s="6" t="s">
        <v>22</v>
      </c>
      <c r="C8">
        <f>2076.589-C10</f>
        <v>1856.4639999999999</v>
      </c>
      <c r="D8">
        <f>2172-D10</f>
        <v>1975</v>
      </c>
      <c r="E8">
        <f>2835-E10</f>
        <v>2648</v>
      </c>
      <c r="F8">
        <f>3878-F10</f>
        <v>3679</v>
      </c>
      <c r="G8">
        <f>4501-G10</f>
        <v>4239</v>
      </c>
      <c r="H8">
        <f>H7*H38</f>
        <v>5086.7999999999993</v>
      </c>
      <c r="I8">
        <f>I7*I38</f>
        <v>6104.1599999999989</v>
      </c>
      <c r="J8">
        <f>J7*J38</f>
        <v>7324.9919999999984</v>
      </c>
      <c r="K8">
        <f>K7*K38</f>
        <v>8789.9903999999988</v>
      </c>
      <c r="L8">
        <f>L7*L38</f>
        <v>10547.988479999998</v>
      </c>
    </row>
    <row r="9" spans="2:13" x14ac:dyDescent="0.3">
      <c r="B9" s="13" t="s">
        <v>23</v>
      </c>
      <c r="C9" s="14">
        <v>2604.9180000000001</v>
      </c>
      <c r="D9" s="14">
        <v>2838</v>
      </c>
      <c r="E9" s="14">
        <v>4075</v>
      </c>
      <c r="F9" s="14">
        <v>5836</v>
      </c>
      <c r="G9" s="14">
        <v>7215</v>
      </c>
      <c r="H9" s="14">
        <f>H7-H8</f>
        <v>8972.4</v>
      </c>
      <c r="I9" s="14">
        <f>I7-I8</f>
        <v>10766.879999999997</v>
      </c>
      <c r="J9" s="14">
        <f>J7-J8</f>
        <v>12920.255999999998</v>
      </c>
      <c r="K9" s="14">
        <f>K7-K8</f>
        <v>15504.307199999996</v>
      </c>
      <c r="L9" s="14">
        <f>L7-L8</f>
        <v>18605.168639999996</v>
      </c>
    </row>
    <row r="10" spans="2:13" x14ac:dyDescent="0.3">
      <c r="B10" s="6" t="s">
        <v>24</v>
      </c>
      <c r="C10">
        <f>'Cashflow Statement'!C9</f>
        <v>220.125</v>
      </c>
      <c r="D10">
        <f>'Cashflow Statement'!D9</f>
        <v>197</v>
      </c>
      <c r="E10">
        <f>'Cashflow Statement'!E9</f>
        <v>187</v>
      </c>
      <c r="F10">
        <f>'Cashflow Statement'!F9</f>
        <v>199</v>
      </c>
      <c r="G10">
        <f>'Cashflow Statement'!G9</f>
        <v>262</v>
      </c>
      <c r="H10">
        <f>H7*H52</f>
        <v>314.39999999999998</v>
      </c>
      <c r="I10">
        <f>I7*I52</f>
        <v>377.28</v>
      </c>
      <c r="J10">
        <f>J7*J52</f>
        <v>452.73599999999993</v>
      </c>
      <c r="K10">
        <f>K7*K52</f>
        <v>543.28319999999985</v>
      </c>
      <c r="L10">
        <f>L7*L52</f>
        <v>651.93983999999989</v>
      </c>
    </row>
    <row r="11" spans="2:13" x14ac:dyDescent="0.3">
      <c r="B11" s="6" t="s">
        <v>25</v>
      </c>
      <c r="C11">
        <v>1803.133</v>
      </c>
      <c r="D11">
        <v>1863</v>
      </c>
      <c r="E11">
        <v>2104</v>
      </c>
      <c r="F11">
        <v>2599</v>
      </c>
      <c r="G11">
        <v>3365</v>
      </c>
      <c r="H11">
        <f>H7*H45</f>
        <v>4038</v>
      </c>
      <c r="I11">
        <f>I7*I45</f>
        <v>4845.5999999999995</v>
      </c>
      <c r="J11">
        <f>J7*J45</f>
        <v>5814.7199999999993</v>
      </c>
      <c r="K11">
        <f>K7*K45</f>
        <v>6977.6639999999989</v>
      </c>
      <c r="L11">
        <f>L7*L45</f>
        <v>8373.1967999999979</v>
      </c>
    </row>
    <row r="12" spans="2:13" x14ac:dyDescent="0.3">
      <c r="B12" s="6" t="s">
        <v>26</v>
      </c>
      <c r="C12">
        <v>5.4409999999999998</v>
      </c>
      <c r="D12">
        <v>27</v>
      </c>
      <c r="E12">
        <v>2</v>
      </c>
      <c r="F12">
        <v>14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3" x14ac:dyDescent="0.3">
      <c r="B13" s="13" t="s">
        <v>27</v>
      </c>
      <c r="C13" s="14">
        <v>796.34400000000005</v>
      </c>
      <c r="D13" s="14">
        <v>948</v>
      </c>
      <c r="E13" s="14">
        <v>1969</v>
      </c>
      <c r="F13" s="14">
        <v>3223</v>
      </c>
      <c r="G13" s="14">
        <v>3850</v>
      </c>
      <c r="H13" s="14">
        <f>H9-SUM(H10:H12)</f>
        <v>4620</v>
      </c>
      <c r="I13" s="14">
        <f>I9-SUM(I10:I12)</f>
        <v>5543.9999999999982</v>
      </c>
      <c r="J13" s="14">
        <f>J9-SUM(J10:J12)</f>
        <v>6652.7999999999984</v>
      </c>
      <c r="K13" s="14">
        <f>K9-SUM(K10:K12)</f>
        <v>7983.3599999999969</v>
      </c>
      <c r="L13" s="14">
        <f>L9-SUM(L10:L12)</f>
        <v>9580.0319999999992</v>
      </c>
    </row>
    <row r="14" spans="2:13" x14ac:dyDescent="0.3">
      <c r="B14" s="6" t="s">
        <v>28</v>
      </c>
      <c r="C14">
        <v>41.98</v>
      </c>
      <c r="D14">
        <v>43</v>
      </c>
      <c r="E14">
        <v>50</v>
      </c>
      <c r="F14">
        <v>47</v>
      </c>
      <c r="G14">
        <v>150</v>
      </c>
      <c r="H14">
        <v>150</v>
      </c>
      <c r="I14">
        <v>150</v>
      </c>
      <c r="J14">
        <v>150</v>
      </c>
      <c r="K14">
        <v>150</v>
      </c>
      <c r="L14">
        <v>150</v>
      </c>
    </row>
    <row r="15" spans="2:13" x14ac:dyDescent="0.3">
      <c r="B15" s="6" t="s">
        <v>29</v>
      </c>
      <c r="C15">
        <v>46.133000000000003</v>
      </c>
      <c r="D15">
        <v>47</v>
      </c>
      <c r="E15">
        <v>58</v>
      </c>
      <c r="F15">
        <v>61</v>
      </c>
      <c r="G15">
        <v>58</v>
      </c>
      <c r="H15">
        <v>58</v>
      </c>
      <c r="I15">
        <v>58</v>
      </c>
      <c r="J15">
        <v>58</v>
      </c>
      <c r="K15">
        <v>58</v>
      </c>
      <c r="L15">
        <v>58</v>
      </c>
    </row>
    <row r="16" spans="2:13" x14ac:dyDescent="0.3">
      <c r="B16" s="6" t="s">
        <v>30</v>
      </c>
      <c r="C16">
        <v>37.354999999999997</v>
      </c>
      <c r="D16">
        <v>201</v>
      </c>
      <c r="E16">
        <v>56</v>
      </c>
      <c r="F16">
        <v>13</v>
      </c>
      <c r="G16">
        <v>46</v>
      </c>
      <c r="H16">
        <f>H13*H54</f>
        <v>280.30078745196107</v>
      </c>
      <c r="I16">
        <f>I13*I54</f>
        <v>336.36094494235323</v>
      </c>
      <c r="J16">
        <f>J13*J54</f>
        <v>403.63313393082387</v>
      </c>
      <c r="K16">
        <f>K13*K54</f>
        <v>484.3597607169886</v>
      </c>
      <c r="L16">
        <f>L13*L54</f>
        <v>581.23171286038644</v>
      </c>
    </row>
    <row r="17" spans="2:12" x14ac:dyDescent="0.3">
      <c r="B17" s="13" t="s">
        <v>31</v>
      </c>
      <c r="C17" s="14">
        <f>C12+C13-C14-C15</f>
        <v>713.67200000000003</v>
      </c>
      <c r="D17" s="14">
        <f>D12+D13-D14-D15</f>
        <v>885</v>
      </c>
      <c r="E17" s="14">
        <f>E12+E13-E14-E15</f>
        <v>1863</v>
      </c>
      <c r="F17" s="14">
        <f>F12+F13-F14-F15</f>
        <v>3129</v>
      </c>
      <c r="G17" s="14">
        <f>G12+G13-G14-G15</f>
        <v>3642</v>
      </c>
      <c r="H17" s="14">
        <f>H13+H14-H15-H16</f>
        <v>4431.6992125480392</v>
      </c>
      <c r="I17" s="14">
        <f>I13+I14-I15-I16</f>
        <v>5299.6390550576452</v>
      </c>
      <c r="J17" s="14">
        <f>J13+J14-J15-J16</f>
        <v>6341.1668660691748</v>
      </c>
      <c r="K17" s="14">
        <f>K13+K14-K15-K16</f>
        <v>7591.0002392830083</v>
      </c>
      <c r="L17" s="14">
        <f>L13+L14-L15-L16</f>
        <v>9090.8002871396129</v>
      </c>
    </row>
    <row r="18" spans="2:12" x14ac:dyDescent="0.3">
      <c r="B18" s="6" t="s">
        <v>32</v>
      </c>
      <c r="C18">
        <v>124.249</v>
      </c>
      <c r="D18">
        <v>129</v>
      </c>
      <c r="E18">
        <v>239</v>
      </c>
      <c r="F18">
        <v>149</v>
      </c>
      <c r="G18">
        <v>-245</v>
      </c>
      <c r="H18">
        <f>H17*H56</f>
        <v>379.79389460424881</v>
      </c>
      <c r="I18">
        <f>I17*I56</f>
        <v>454.17580485112984</v>
      </c>
      <c r="J18">
        <f>J17*J56</f>
        <v>543.43409714738732</v>
      </c>
      <c r="K18">
        <f>K17*K56</f>
        <v>650.54404790289607</v>
      </c>
      <c r="L18">
        <f>L17*L56</f>
        <v>779.07598880950695</v>
      </c>
    </row>
    <row r="19" spans="2:12" x14ac:dyDescent="0.3">
      <c r="B19" s="6"/>
    </row>
    <row r="20" spans="2:12" x14ac:dyDescent="0.3">
      <c r="B20" s="13" t="s">
        <v>33</v>
      </c>
      <c r="C20" s="14">
        <f t="shared" ref="C20:L20" si="0">C17-C18</f>
        <v>589.423</v>
      </c>
      <c r="D20" s="14">
        <f t="shared" si="0"/>
        <v>756</v>
      </c>
      <c r="E20" s="14">
        <f t="shared" si="0"/>
        <v>1624</v>
      </c>
      <c r="F20" s="14">
        <f t="shared" si="0"/>
        <v>2980</v>
      </c>
      <c r="G20" s="14">
        <f t="shared" si="0"/>
        <v>3887</v>
      </c>
      <c r="H20" s="14">
        <f t="shared" si="0"/>
        <v>4051.9053179437906</v>
      </c>
      <c r="I20" s="14">
        <f t="shared" si="0"/>
        <v>4845.4632502065151</v>
      </c>
      <c r="J20" s="14">
        <f t="shared" si="0"/>
        <v>5797.7327689217873</v>
      </c>
      <c r="K20" s="14">
        <f t="shared" si="0"/>
        <v>6940.4561913801126</v>
      </c>
      <c r="L20" s="14">
        <f t="shared" si="0"/>
        <v>8311.7242983301057</v>
      </c>
    </row>
    <row r="21" spans="2:12" x14ac:dyDescent="0.3">
      <c r="B21" s="6"/>
    </row>
    <row r="22" spans="2:12" x14ac:dyDescent="0.3">
      <c r="B22" s="6" t="s">
        <v>34</v>
      </c>
    </row>
    <row r="23" spans="2:12" x14ac:dyDescent="0.3">
      <c r="B23" s="6"/>
    </row>
    <row r="24" spans="2:12" x14ac:dyDescent="0.3">
      <c r="B24" s="6" t="s">
        <v>35</v>
      </c>
      <c r="C24">
        <v>1.1200000000000001</v>
      </c>
      <c r="D24">
        <v>1.08</v>
      </c>
      <c r="E24">
        <v>2.57</v>
      </c>
      <c r="F24">
        <v>4.82</v>
      </c>
      <c r="G24">
        <v>6.63</v>
      </c>
      <c r="H24">
        <f>H20/H28</f>
        <v>6.462368928140017</v>
      </c>
      <c r="I24">
        <f>I20/I28</f>
        <v>7.7280115633277751</v>
      </c>
      <c r="J24">
        <f>J20/J28</f>
        <v>9.2467827255530892</v>
      </c>
      <c r="K24">
        <f>K20/K28</f>
        <v>11.069308120223464</v>
      </c>
      <c r="L24">
        <f>L20/L28</f>
        <v>13.25633859382792</v>
      </c>
    </row>
    <row r="25" spans="2:12" x14ac:dyDescent="0.3">
      <c r="B25" s="6"/>
    </row>
    <row r="26" spans="2:12" x14ac:dyDescent="0.3">
      <c r="B26" s="6" t="s">
        <v>36</v>
      </c>
      <c r="C26">
        <v>0.34</v>
      </c>
      <c r="D26">
        <v>0.39500000000000002</v>
      </c>
      <c r="E26">
        <v>0.48499999999999999</v>
      </c>
      <c r="F26">
        <v>0.56999999999999995</v>
      </c>
      <c r="G26">
        <v>0.61</v>
      </c>
      <c r="H26">
        <v>0.61</v>
      </c>
      <c r="I26">
        <v>0.61</v>
      </c>
      <c r="J26">
        <v>0.61</v>
      </c>
      <c r="K26">
        <v>0.61</v>
      </c>
      <c r="L26">
        <v>0.61</v>
      </c>
    </row>
    <row r="27" spans="2:12" x14ac:dyDescent="0.3">
      <c r="B27" s="6" t="s">
        <v>5</v>
      </c>
      <c r="C27">
        <f t="shared" ref="C27:L27" si="1">C10+C13</f>
        <v>1016.4690000000001</v>
      </c>
      <c r="D27">
        <f t="shared" si="1"/>
        <v>1145</v>
      </c>
      <c r="E27">
        <f t="shared" si="1"/>
        <v>2156</v>
      </c>
      <c r="F27">
        <f t="shared" si="1"/>
        <v>3422</v>
      </c>
      <c r="G27">
        <f t="shared" si="1"/>
        <v>4112</v>
      </c>
      <c r="H27">
        <f t="shared" si="1"/>
        <v>4934.3999999999996</v>
      </c>
      <c r="I27">
        <f t="shared" si="1"/>
        <v>5921.2799999999979</v>
      </c>
      <c r="J27">
        <f t="shared" si="1"/>
        <v>7105.5359999999982</v>
      </c>
      <c r="K27">
        <f t="shared" si="1"/>
        <v>8526.6431999999968</v>
      </c>
      <c r="L27">
        <f t="shared" si="1"/>
        <v>10231.971839999998</v>
      </c>
    </row>
    <row r="28" spans="2:12" x14ac:dyDescent="0.3">
      <c r="B28" s="6" t="s">
        <v>37</v>
      </c>
      <c r="G28">
        <v>627</v>
      </c>
      <c r="H28">
        <v>627</v>
      </c>
      <c r="I28">
        <v>627</v>
      </c>
      <c r="J28">
        <v>627</v>
      </c>
      <c r="K28">
        <v>627</v>
      </c>
      <c r="L28">
        <v>627</v>
      </c>
    </row>
    <row r="29" spans="2:12" x14ac:dyDescent="0.3">
      <c r="B29" s="6"/>
    </row>
    <row r="30" spans="2:12" x14ac:dyDescent="0.3">
      <c r="B30" s="15" t="s">
        <v>38</v>
      </c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2:12" x14ac:dyDescent="0.3">
      <c r="B31" s="6" t="s">
        <v>39</v>
      </c>
      <c r="C31" s="16"/>
      <c r="D31" s="16">
        <f>D7/C7-1</f>
        <v>7.0168217200145211E-2</v>
      </c>
      <c r="E31" s="16">
        <f>E7/D7-1</f>
        <v>0.37924151696606789</v>
      </c>
      <c r="F31" s="16">
        <f>F7/E7-1</f>
        <v>0.40578871201157751</v>
      </c>
      <c r="G31" s="16">
        <f>G7/F7-1</f>
        <v>0.20609429689108505</v>
      </c>
      <c r="H31" s="16">
        <f>CHOOSE($L$2, H32, H33, H34, H35, H36)</f>
        <v>0.2</v>
      </c>
      <c r="I31" s="16">
        <f>CHOOSE($L$2, I32, I33, I34, I35, I36)</f>
        <v>0.2</v>
      </c>
      <c r="J31" s="16">
        <f>CHOOSE($L$2, J32, J33, J34, J35, J36)</f>
        <v>0.2</v>
      </c>
      <c r="K31" s="16">
        <f>CHOOSE($L$2, K32, K33, K34, K35, K36)</f>
        <v>0.2</v>
      </c>
      <c r="L31" s="16">
        <f>CHOOSE($L$2, L32, L33, L34, L35, L36)</f>
        <v>0.2</v>
      </c>
    </row>
    <row r="32" spans="2:12" x14ac:dyDescent="0.3">
      <c r="B32" s="6" t="s">
        <v>6</v>
      </c>
      <c r="C32" s="5"/>
      <c r="D32" s="5"/>
      <c r="E32" s="5"/>
      <c r="F32" s="5"/>
      <c r="G32" s="5"/>
      <c r="H32" s="5">
        <f t="shared" ref="H32:L33" si="2">H33+$M$34</f>
        <v>0.22000000000000003</v>
      </c>
      <c r="I32" s="5">
        <f t="shared" si="2"/>
        <v>0.22000000000000003</v>
      </c>
      <c r="J32" s="5">
        <f t="shared" si="2"/>
        <v>0.22000000000000003</v>
      </c>
      <c r="K32" s="5">
        <f t="shared" si="2"/>
        <v>0.22000000000000003</v>
      </c>
      <c r="L32" s="5">
        <f t="shared" si="2"/>
        <v>0.22000000000000003</v>
      </c>
    </row>
    <row r="33" spans="2:13" x14ac:dyDescent="0.3">
      <c r="B33" s="6" t="s">
        <v>7</v>
      </c>
      <c r="C33" s="5"/>
      <c r="D33" s="5"/>
      <c r="E33" s="5"/>
      <c r="F33" s="5"/>
      <c r="G33" s="5"/>
      <c r="H33" s="5">
        <f t="shared" si="2"/>
        <v>0.21000000000000002</v>
      </c>
      <c r="I33" s="5">
        <f t="shared" si="2"/>
        <v>0.21000000000000002</v>
      </c>
      <c r="J33" s="5">
        <f t="shared" si="2"/>
        <v>0.21000000000000002</v>
      </c>
      <c r="K33" s="5">
        <f t="shared" si="2"/>
        <v>0.21000000000000002</v>
      </c>
      <c r="L33" s="5">
        <f t="shared" si="2"/>
        <v>0.21000000000000002</v>
      </c>
    </row>
    <row r="34" spans="2:13" x14ac:dyDescent="0.3">
      <c r="B34" s="6" t="s">
        <v>8</v>
      </c>
      <c r="C34" s="5"/>
      <c r="D34" s="5"/>
      <c r="E34" s="5"/>
      <c r="F34" s="5"/>
      <c r="G34" s="5"/>
      <c r="H34" s="5">
        <v>0.2</v>
      </c>
      <c r="I34" s="5">
        <v>0.2</v>
      </c>
      <c r="J34" s="5">
        <v>0.2</v>
      </c>
      <c r="K34" s="5">
        <v>0.2</v>
      </c>
      <c r="L34" s="5">
        <v>0.2</v>
      </c>
      <c r="M34" s="8">
        <v>0.01</v>
      </c>
    </row>
    <row r="35" spans="2:13" x14ac:dyDescent="0.3">
      <c r="B35" s="6" t="s">
        <v>9</v>
      </c>
      <c r="C35" s="5"/>
      <c r="D35" s="5"/>
      <c r="E35" s="5"/>
      <c r="F35" s="5"/>
      <c r="G35" s="5"/>
      <c r="H35" s="5">
        <f t="shared" ref="H35:L36" si="3">H34-$M$34</f>
        <v>0.19</v>
      </c>
      <c r="I35" s="5">
        <f t="shared" si="3"/>
        <v>0.19</v>
      </c>
      <c r="J35" s="5">
        <f t="shared" si="3"/>
        <v>0.19</v>
      </c>
      <c r="K35" s="5">
        <f t="shared" si="3"/>
        <v>0.19</v>
      </c>
      <c r="L35" s="5">
        <f t="shared" si="3"/>
        <v>0.19</v>
      </c>
    </row>
    <row r="36" spans="2:13" x14ac:dyDescent="0.3">
      <c r="B36" s="6" t="s">
        <v>10</v>
      </c>
      <c r="C36" s="5"/>
      <c r="D36" s="5"/>
      <c r="E36" s="5"/>
      <c r="F36" s="5"/>
      <c r="G36" s="5"/>
      <c r="H36" s="5">
        <f t="shared" si="3"/>
        <v>0.18</v>
      </c>
      <c r="I36" s="5">
        <f t="shared" si="3"/>
        <v>0.18</v>
      </c>
      <c r="J36" s="5">
        <f t="shared" si="3"/>
        <v>0.18</v>
      </c>
      <c r="K36" s="5">
        <f t="shared" si="3"/>
        <v>0.18</v>
      </c>
      <c r="L36" s="5">
        <f t="shared" si="3"/>
        <v>0.18</v>
      </c>
    </row>
    <row r="37" spans="2:13" x14ac:dyDescent="0.3">
      <c r="B37" s="6"/>
    </row>
    <row r="38" spans="2:13" x14ac:dyDescent="0.3">
      <c r="B38" s="6" t="s">
        <v>40</v>
      </c>
      <c r="C38" s="16">
        <f>C8/C7</f>
        <v>0.39655264853817374</v>
      </c>
      <c r="D38" s="16">
        <f>D8/D7</f>
        <v>0.39421157684630737</v>
      </c>
      <c r="E38" s="16">
        <f>E8/E7</f>
        <v>0.38321273516642546</v>
      </c>
      <c r="F38" s="16">
        <f>F8/F7</f>
        <v>0.37873172740374716</v>
      </c>
      <c r="G38" s="16">
        <f>G8/G7</f>
        <v>0.36181290542847389</v>
      </c>
      <c r="H38" s="16">
        <f>CHOOSE($L$2, H39, H40, H41, H42, H43)</f>
        <v>0.36181290542847389</v>
      </c>
      <c r="I38" s="16">
        <f>CHOOSE($L$2, I39, I40, I41, I42, I43)</f>
        <v>0.36181290542847389</v>
      </c>
      <c r="J38" s="16">
        <f>CHOOSE($L$2, J39, J40, J41, J42, J43)</f>
        <v>0.36181290542847389</v>
      </c>
      <c r="K38" s="16">
        <f>CHOOSE($L$2, K39, K40, K41, K42, K43)</f>
        <v>0.36181290542847389</v>
      </c>
      <c r="L38" s="16">
        <f>CHOOSE($L$2, L39, L40, L41, L42, L43)</f>
        <v>0.36181290542847389</v>
      </c>
    </row>
    <row r="39" spans="2:13" x14ac:dyDescent="0.3">
      <c r="B39" s="6" t="s">
        <v>6</v>
      </c>
      <c r="C39" s="5"/>
      <c r="D39" s="5"/>
      <c r="E39" s="5"/>
      <c r="F39" s="5"/>
      <c r="G39" s="5"/>
      <c r="H39" s="5">
        <f t="shared" ref="H39:L40" si="4">H40+$M$41</f>
        <v>0.34181290542847387</v>
      </c>
      <c r="I39" s="5">
        <f t="shared" si="4"/>
        <v>0.34181290542847387</v>
      </c>
      <c r="J39" s="5">
        <f t="shared" si="4"/>
        <v>0.34181290542847387</v>
      </c>
      <c r="K39" s="5">
        <f t="shared" si="4"/>
        <v>0.34181290542847387</v>
      </c>
      <c r="L39" s="5">
        <f t="shared" si="4"/>
        <v>0.34181290542847387</v>
      </c>
    </row>
    <row r="40" spans="2:13" x14ac:dyDescent="0.3">
      <c r="B40" s="6" t="s">
        <v>7</v>
      </c>
      <c r="C40" s="5"/>
      <c r="D40" s="5"/>
      <c r="E40" s="5"/>
      <c r="F40" s="5"/>
      <c r="G40" s="5"/>
      <c r="H40" s="5">
        <f t="shared" si="4"/>
        <v>0.35181290542847388</v>
      </c>
      <c r="I40" s="5">
        <f t="shared" si="4"/>
        <v>0.35181290542847388</v>
      </c>
      <c r="J40" s="5">
        <f t="shared" si="4"/>
        <v>0.35181290542847388</v>
      </c>
      <c r="K40" s="5">
        <f t="shared" si="4"/>
        <v>0.35181290542847388</v>
      </c>
      <c r="L40" s="5">
        <f t="shared" si="4"/>
        <v>0.35181290542847388</v>
      </c>
    </row>
    <row r="41" spans="2:13" x14ac:dyDescent="0.3">
      <c r="B41" s="6" t="s">
        <v>8</v>
      </c>
      <c r="C41" s="5"/>
      <c r="D41" s="5"/>
      <c r="E41" s="5"/>
      <c r="F41" s="5"/>
      <c r="G41" s="5"/>
      <c r="H41" s="5">
        <f>G38</f>
        <v>0.36181290542847389</v>
      </c>
      <c r="I41" s="5">
        <f>G38</f>
        <v>0.36181290542847389</v>
      </c>
      <c r="J41" s="5">
        <f>G38</f>
        <v>0.36181290542847389</v>
      </c>
      <c r="K41" s="5">
        <f>G38</f>
        <v>0.36181290542847389</v>
      </c>
      <c r="L41" s="5">
        <f>G38</f>
        <v>0.36181290542847389</v>
      </c>
      <c r="M41" s="8">
        <v>-0.01</v>
      </c>
    </row>
    <row r="42" spans="2:13" x14ac:dyDescent="0.3">
      <c r="B42" s="6" t="s">
        <v>9</v>
      </c>
      <c r="C42" s="5"/>
      <c r="D42" s="5"/>
      <c r="E42" s="5"/>
      <c r="F42" s="5"/>
      <c r="G42" s="5"/>
      <c r="H42" s="5">
        <f t="shared" ref="H42:L43" si="5">H41-$M$41</f>
        <v>0.37181290542847389</v>
      </c>
      <c r="I42" s="5">
        <f t="shared" si="5"/>
        <v>0.37181290542847389</v>
      </c>
      <c r="J42" s="5">
        <f t="shared" si="5"/>
        <v>0.37181290542847389</v>
      </c>
      <c r="K42" s="5">
        <f t="shared" si="5"/>
        <v>0.37181290542847389</v>
      </c>
      <c r="L42" s="5">
        <f t="shared" si="5"/>
        <v>0.37181290542847389</v>
      </c>
    </row>
    <row r="43" spans="2:13" x14ac:dyDescent="0.3">
      <c r="B43" s="6" t="s">
        <v>10</v>
      </c>
      <c r="C43" s="5"/>
      <c r="D43" s="5"/>
      <c r="E43" s="5"/>
      <c r="F43" s="5"/>
      <c r="G43" s="5"/>
      <c r="H43" s="5">
        <f t="shared" si="5"/>
        <v>0.3818129054284739</v>
      </c>
      <c r="I43" s="5">
        <f t="shared" si="5"/>
        <v>0.3818129054284739</v>
      </c>
      <c r="J43" s="5">
        <f t="shared" si="5"/>
        <v>0.3818129054284739</v>
      </c>
      <c r="K43" s="5">
        <f t="shared" si="5"/>
        <v>0.3818129054284739</v>
      </c>
      <c r="L43" s="5">
        <f t="shared" si="5"/>
        <v>0.3818129054284739</v>
      </c>
    </row>
    <row r="44" spans="2:13" x14ac:dyDescent="0.3">
      <c r="B44" s="6"/>
    </row>
    <row r="45" spans="2:13" x14ac:dyDescent="0.3">
      <c r="B45" s="6" t="s">
        <v>41</v>
      </c>
      <c r="C45" s="16">
        <f>C11/C7</f>
        <v>0.38516080398897196</v>
      </c>
      <c r="D45" s="16">
        <f>D11/D7</f>
        <v>0.3718562874251497</v>
      </c>
      <c r="E45" s="16">
        <f>E11/E7</f>
        <v>0.30448625180897249</v>
      </c>
      <c r="F45" s="16">
        <f>F11/F7</f>
        <v>0.26755198682314185</v>
      </c>
      <c r="G45" s="16">
        <f>G11/G7</f>
        <v>0.28721406623420964</v>
      </c>
      <c r="H45" s="16">
        <f>CHOOSE($L$2, H46, H47, H48, H49, H50)</f>
        <v>0.28721406623420964</v>
      </c>
      <c r="I45" s="16">
        <f>CHOOSE($L$2, I46, I47, I48, I49, I50)</f>
        <v>0.28721406623420964</v>
      </c>
      <c r="J45" s="16">
        <f>CHOOSE($L$2, J46, J47, J48, J49, J50)</f>
        <v>0.28721406623420964</v>
      </c>
      <c r="K45" s="16">
        <f>CHOOSE($L$2, K46, K47, K48, K49, K50)</f>
        <v>0.28721406623420964</v>
      </c>
      <c r="L45" s="16">
        <f>CHOOSE($L$2, L46, L47, L48, L49, L50)</f>
        <v>0.28721406623420964</v>
      </c>
    </row>
    <row r="46" spans="2:13" x14ac:dyDescent="0.3">
      <c r="B46" s="6" t="s">
        <v>6</v>
      </c>
      <c r="C46" s="5"/>
      <c r="D46" s="5"/>
      <c r="E46" s="5"/>
      <c r="F46" s="5"/>
      <c r="G46" s="5"/>
      <c r="H46" s="5">
        <f t="shared" ref="H46:L47" si="6">H47+$M$48</f>
        <v>0.29721406623420965</v>
      </c>
      <c r="I46" s="5">
        <f t="shared" si="6"/>
        <v>0.29721406623420965</v>
      </c>
      <c r="J46" s="5">
        <f t="shared" si="6"/>
        <v>0.29721406623420965</v>
      </c>
      <c r="K46" s="5">
        <f t="shared" si="6"/>
        <v>0.29721406623420965</v>
      </c>
      <c r="L46" s="5">
        <f t="shared" si="6"/>
        <v>0.29721406623420965</v>
      </c>
    </row>
    <row r="47" spans="2:13" x14ac:dyDescent="0.3">
      <c r="B47" s="6" t="s">
        <v>7</v>
      </c>
      <c r="C47" s="5"/>
      <c r="D47" s="5"/>
      <c r="E47" s="5"/>
      <c r="F47" s="5"/>
      <c r="G47" s="5"/>
      <c r="H47" s="5">
        <f t="shared" si="6"/>
        <v>0.29221406623420965</v>
      </c>
      <c r="I47" s="5">
        <f t="shared" si="6"/>
        <v>0.29221406623420965</v>
      </c>
      <c r="J47" s="5">
        <f t="shared" si="6"/>
        <v>0.29221406623420965</v>
      </c>
      <c r="K47" s="5">
        <f t="shared" si="6"/>
        <v>0.29221406623420965</v>
      </c>
      <c r="L47" s="5">
        <f t="shared" si="6"/>
        <v>0.29221406623420965</v>
      </c>
    </row>
    <row r="48" spans="2:13" x14ac:dyDescent="0.3">
      <c r="B48" s="6" t="s">
        <v>8</v>
      </c>
      <c r="C48" s="5"/>
      <c r="D48" s="5"/>
      <c r="E48" s="5"/>
      <c r="F48" s="5"/>
      <c r="G48" s="5"/>
      <c r="H48" s="5">
        <f>G45</f>
        <v>0.28721406623420964</v>
      </c>
      <c r="I48" s="5">
        <f>G45</f>
        <v>0.28721406623420964</v>
      </c>
      <c r="J48" s="5">
        <f>G45</f>
        <v>0.28721406623420964</v>
      </c>
      <c r="K48" s="5">
        <f>G45</f>
        <v>0.28721406623420964</v>
      </c>
      <c r="L48" s="5">
        <f>G45</f>
        <v>0.28721406623420964</v>
      </c>
      <c r="M48" s="8">
        <v>5.0000000000000001E-3</v>
      </c>
    </row>
    <row r="49" spans="2:12" x14ac:dyDescent="0.3">
      <c r="B49" s="6" t="s">
        <v>9</v>
      </c>
      <c r="C49" s="5"/>
      <c r="D49" s="5"/>
      <c r="E49" s="5"/>
      <c r="F49" s="5"/>
      <c r="G49" s="5"/>
      <c r="H49" s="5">
        <f t="shared" ref="H49:L50" si="7">H48-$M$48</f>
        <v>0.28221406623420964</v>
      </c>
      <c r="I49" s="5">
        <f t="shared" si="7"/>
        <v>0.28221406623420964</v>
      </c>
      <c r="J49" s="5">
        <f t="shared" si="7"/>
        <v>0.28221406623420964</v>
      </c>
      <c r="K49" s="5">
        <f t="shared" si="7"/>
        <v>0.28221406623420964</v>
      </c>
      <c r="L49" s="5">
        <f t="shared" si="7"/>
        <v>0.28221406623420964</v>
      </c>
    </row>
    <row r="50" spans="2:12" x14ac:dyDescent="0.3">
      <c r="B50" s="6" t="s">
        <v>10</v>
      </c>
      <c r="C50" s="5"/>
      <c r="D50" s="5"/>
      <c r="E50" s="5"/>
      <c r="F50" s="5"/>
      <c r="G50" s="5"/>
      <c r="H50" s="5">
        <f t="shared" si="7"/>
        <v>0.27721406623420963</v>
      </c>
      <c r="I50" s="5">
        <f t="shared" si="7"/>
        <v>0.27721406623420963</v>
      </c>
      <c r="J50" s="5">
        <f t="shared" si="7"/>
        <v>0.27721406623420963</v>
      </c>
      <c r="K50" s="5">
        <f t="shared" si="7"/>
        <v>0.27721406623420963</v>
      </c>
      <c r="L50" s="5">
        <f t="shared" si="7"/>
        <v>0.27721406623420963</v>
      </c>
    </row>
    <row r="51" spans="2:12" x14ac:dyDescent="0.3">
      <c r="B51" s="6"/>
    </row>
    <row r="52" spans="2:12" x14ac:dyDescent="0.3">
      <c r="B52" s="6" t="s">
        <v>42</v>
      </c>
      <c r="C52" s="16">
        <f>C10/C7</f>
        <v>4.7020115531174043E-2</v>
      </c>
      <c r="D52" s="16">
        <f>D10/D7</f>
        <v>3.932135728542914E-2</v>
      </c>
      <c r="E52" s="16">
        <f>E10/E7</f>
        <v>2.7062228654124457E-2</v>
      </c>
      <c r="F52" s="16">
        <f>F10/F7</f>
        <v>2.0485896644018942E-2</v>
      </c>
      <c r="G52" s="16">
        <f>G10/G7</f>
        <v>2.2362581085694777E-2</v>
      </c>
      <c r="H52" s="16">
        <f>G10/G7</f>
        <v>2.2362581085694777E-2</v>
      </c>
      <c r="I52" s="16">
        <f>G10/G7</f>
        <v>2.2362581085694777E-2</v>
      </c>
      <c r="J52" s="16">
        <f>G10/G7</f>
        <v>2.2362581085694777E-2</v>
      </c>
      <c r="K52" s="16">
        <f>G10/G7</f>
        <v>2.2362581085694777E-2</v>
      </c>
      <c r="L52" s="16">
        <f>G10/G7</f>
        <v>2.2362581085694777E-2</v>
      </c>
    </row>
    <row r="53" spans="2:12" x14ac:dyDescent="0.3">
      <c r="B53" s="6"/>
    </row>
    <row r="54" spans="2:12" x14ac:dyDescent="0.3">
      <c r="B54" s="6" t="s">
        <v>43</v>
      </c>
      <c r="C54" s="16">
        <f>C16/C13</f>
        <v>4.6908120108897652E-2</v>
      </c>
      <c r="D54" s="16">
        <f>D16/D13</f>
        <v>0.21202531645569619</v>
      </c>
      <c r="E54" s="16">
        <f>E16/E13</f>
        <v>2.8440832910106652E-2</v>
      </c>
      <c r="F54" s="16">
        <f>F16/F13</f>
        <v>4.0335091529630782E-3</v>
      </c>
      <c r="G54" s="16">
        <f>G16/G13</f>
        <v>1.1948051948051949E-2</v>
      </c>
      <c r="H54" s="16">
        <f>AVERAGE(C54:G54)</f>
        <v>6.0671166115143095E-2</v>
      </c>
      <c r="I54" s="16">
        <f>H54</f>
        <v>6.0671166115143095E-2</v>
      </c>
      <c r="J54" s="16">
        <f>H54</f>
        <v>6.0671166115143095E-2</v>
      </c>
      <c r="K54" s="16">
        <f>H54</f>
        <v>6.0671166115143095E-2</v>
      </c>
      <c r="L54" s="16">
        <f>H54</f>
        <v>6.0671166115143095E-2</v>
      </c>
    </row>
    <row r="55" spans="2:12" x14ac:dyDescent="0.3">
      <c r="B55" s="6"/>
    </row>
    <row r="56" spans="2:12" x14ac:dyDescent="0.3">
      <c r="B56" s="6" t="s">
        <v>44</v>
      </c>
      <c r="C56" s="16">
        <f>C18/C17</f>
        <v>0.17409818516069006</v>
      </c>
      <c r="D56" s="16">
        <f>D18/D17</f>
        <v>0.14576271186440679</v>
      </c>
      <c r="E56" s="16">
        <f>E18/E17</f>
        <v>0.12828770799785291</v>
      </c>
      <c r="F56" s="16">
        <f>F18/F17</f>
        <v>4.7619047619047616E-2</v>
      </c>
      <c r="G56" s="16">
        <f>G18/G17</f>
        <v>-6.7270730367929715E-2</v>
      </c>
      <c r="H56" s="16">
        <f>AVERAGE(C56:G56)</f>
        <v>8.5699384454813538E-2</v>
      </c>
      <c r="I56" s="16">
        <f>H56</f>
        <v>8.5699384454813538E-2</v>
      </c>
      <c r="J56" s="16">
        <f>H56</f>
        <v>8.5699384454813538E-2</v>
      </c>
      <c r="K56" s="16">
        <f>H56</f>
        <v>8.5699384454813538E-2</v>
      </c>
      <c r="L56" s="16">
        <f>H56</f>
        <v>8.5699384454813538E-2</v>
      </c>
    </row>
    <row r="57" spans="2:12" x14ac:dyDescent="0.3">
      <c r="B57" s="6" t="s">
        <v>45</v>
      </c>
      <c r="C57" s="16">
        <f t="shared" ref="C57:L57" si="8">C26/C24</f>
        <v>0.30357142857142855</v>
      </c>
      <c r="D57" s="16">
        <f t="shared" si="8"/>
        <v>0.36574074074074076</v>
      </c>
      <c r="E57" s="16">
        <f t="shared" si="8"/>
        <v>0.18871595330739299</v>
      </c>
      <c r="F57" s="16">
        <f t="shared" si="8"/>
        <v>0.11825726141078836</v>
      </c>
      <c r="G57" s="16">
        <f t="shared" si="8"/>
        <v>9.2006033182503777E-2</v>
      </c>
      <c r="H57" s="16">
        <f t="shared" si="8"/>
        <v>9.439263013038296E-2</v>
      </c>
      <c r="I57" s="16">
        <f t="shared" si="8"/>
        <v>7.8933629304421826E-2</v>
      </c>
      <c r="J57" s="16">
        <f t="shared" si="8"/>
        <v>6.5968890813697945E-2</v>
      </c>
      <c r="K57" s="16">
        <f t="shared" si="8"/>
        <v>5.510732860399277E-2</v>
      </c>
      <c r="L57" s="16">
        <f t="shared" si="8"/>
        <v>4.6015722643355891E-2</v>
      </c>
    </row>
    <row r="58" spans="2:12" x14ac:dyDescent="0.3">
      <c r="B58" s="6" t="s">
        <v>46</v>
      </c>
      <c r="C58" s="16">
        <f t="shared" ref="C58:L58" si="9">C27/C7</f>
        <v>0.21712431488407474</v>
      </c>
      <c r="D58" s="16">
        <f t="shared" si="9"/>
        <v>0.22854291417165667</v>
      </c>
      <c r="E58" s="16">
        <f t="shared" si="9"/>
        <v>0.31201157742402313</v>
      </c>
      <c r="F58" s="16">
        <f t="shared" si="9"/>
        <v>0.35227506691373278</v>
      </c>
      <c r="G58" s="16">
        <f t="shared" si="9"/>
        <v>0.35097302833731647</v>
      </c>
      <c r="H58" s="16">
        <f t="shared" si="9"/>
        <v>0.35097302833731647</v>
      </c>
      <c r="I58" s="16">
        <f t="shared" si="9"/>
        <v>0.35097302833731642</v>
      </c>
      <c r="J58" s="16">
        <f t="shared" si="9"/>
        <v>0.35097302833731647</v>
      </c>
      <c r="K58" s="16">
        <f t="shared" si="9"/>
        <v>0.35097302833731642</v>
      </c>
      <c r="L58" s="16">
        <f t="shared" si="9"/>
        <v>0.35097302833731653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showGridLines="0" topLeftCell="A17" workbookViewId="0"/>
  </sheetViews>
  <sheetFormatPr defaultRowHeight="14.4" x14ac:dyDescent="0.3"/>
  <cols>
    <col min="2" max="2" width="50" customWidth="1"/>
  </cols>
  <sheetData>
    <row r="2" spans="2:12" x14ac:dyDescent="0.3">
      <c r="B2" s="1" t="s">
        <v>47</v>
      </c>
    </row>
    <row r="3" spans="2:12" x14ac:dyDescent="0.3">
      <c r="B3" s="2" t="s">
        <v>0</v>
      </c>
      <c r="C3" s="9"/>
      <c r="D3" s="9"/>
      <c r="E3" s="9"/>
      <c r="F3" s="9"/>
      <c r="G3" s="3" t="s">
        <v>15</v>
      </c>
      <c r="H3" s="10"/>
      <c r="I3" s="9"/>
      <c r="J3" s="9"/>
      <c r="K3" s="9"/>
      <c r="L3" s="9"/>
    </row>
    <row r="4" spans="2:12" x14ac:dyDescent="0.3">
      <c r="G4" s="11" t="s">
        <v>1</v>
      </c>
      <c r="H4" s="11"/>
    </row>
    <row r="5" spans="2:12" x14ac:dyDescent="0.3">
      <c r="C5" s="12">
        <v>2015</v>
      </c>
      <c r="D5" s="12">
        <v>2016</v>
      </c>
      <c r="E5" s="12">
        <v>2017</v>
      </c>
      <c r="F5" s="12">
        <v>2018</v>
      </c>
      <c r="G5" s="12">
        <v>2019</v>
      </c>
      <c r="H5" s="12" t="s">
        <v>2</v>
      </c>
      <c r="I5" s="12" t="s">
        <v>3</v>
      </c>
      <c r="J5" s="12" t="s">
        <v>4</v>
      </c>
      <c r="K5" s="12" t="s">
        <v>18</v>
      </c>
      <c r="L5" s="12" t="s">
        <v>19</v>
      </c>
    </row>
    <row r="7" spans="2:12" x14ac:dyDescent="0.3">
      <c r="B7" s="6" t="s">
        <v>48</v>
      </c>
    </row>
    <row r="8" spans="2:12" x14ac:dyDescent="0.3">
      <c r="B8" s="6" t="s">
        <v>49</v>
      </c>
      <c r="C8">
        <v>4623.3389999999999</v>
      </c>
      <c r="D8">
        <v>5037</v>
      </c>
      <c r="E8">
        <v>6798</v>
      </c>
      <c r="F8">
        <v>7108</v>
      </c>
      <c r="G8">
        <v>7422</v>
      </c>
      <c r="H8">
        <f>'Cashflow Statement'!H30</f>
        <v>9370.9807987670501</v>
      </c>
      <c r="I8">
        <f>'Cashflow Statement'!I30</f>
        <v>11998.394275264895</v>
      </c>
      <c r="J8">
        <f>'Cashflow Statement'!J30</f>
        <v>15493.362097769361</v>
      </c>
      <c r="K8">
        <f>'Cashflow Statement'!K30</f>
        <v>20028.939440315386</v>
      </c>
      <c r="L8">
        <f>'Cashflow Statement'!L30</f>
        <v>25812.757949644136</v>
      </c>
    </row>
    <row r="9" spans="2:12" x14ac:dyDescent="0.3">
      <c r="B9" s="6" t="s">
        <v>50</v>
      </c>
      <c r="C9">
        <v>473.637</v>
      </c>
      <c r="D9">
        <v>505</v>
      </c>
      <c r="E9">
        <v>826</v>
      </c>
      <c r="F9">
        <v>1265</v>
      </c>
      <c r="G9">
        <v>1424</v>
      </c>
      <c r="H9">
        <f>H43/365*'Income Statement'!H7</f>
        <v>1830.851142680667</v>
      </c>
      <c r="I9">
        <f>I43/365*'Income Statement'!I7</f>
        <v>2197.0213712168002</v>
      </c>
      <c r="J9">
        <f>J43/365*'Income Statement'!J7</f>
        <v>2636.42564546016</v>
      </c>
      <c r="K9">
        <f>K43/365*'Income Statement'!K7</f>
        <v>3163.7107745521921</v>
      </c>
      <c r="L9">
        <f>L43/365*'Income Statement'!L7</f>
        <v>3796.4529294626304</v>
      </c>
    </row>
    <row r="10" spans="2:12" x14ac:dyDescent="0.3">
      <c r="B10" s="6" t="s">
        <v>51</v>
      </c>
      <c r="C10">
        <v>482.89299999999997</v>
      </c>
      <c r="D10">
        <v>418</v>
      </c>
      <c r="E10">
        <v>794</v>
      </c>
      <c r="F10">
        <v>796</v>
      </c>
      <c r="G10">
        <v>1575</v>
      </c>
      <c r="H10">
        <v>1575</v>
      </c>
      <c r="I10">
        <v>1575</v>
      </c>
      <c r="J10">
        <v>1575</v>
      </c>
      <c r="K10">
        <v>1575</v>
      </c>
      <c r="L10">
        <v>1575</v>
      </c>
    </row>
    <row r="11" spans="2:12" x14ac:dyDescent="0.3">
      <c r="B11" s="6" t="s">
        <v>52</v>
      </c>
      <c r="C11">
        <v>133.428</v>
      </c>
      <c r="D11">
        <v>93</v>
      </c>
      <c r="E11">
        <v>118</v>
      </c>
      <c r="F11">
        <v>86</v>
      </c>
      <c r="G11">
        <v>136</v>
      </c>
      <c r="H11">
        <f>G11*(1+H44)</f>
        <v>145.38506211990048</v>
      </c>
      <c r="I11">
        <f>H11*(1+I44)</f>
        <v>155.41776682064207</v>
      </c>
      <c r="J11">
        <f>I11*(1+J44)</f>
        <v>166.1428064982004</v>
      </c>
      <c r="K11">
        <f>J11*(1+K44)</f>
        <v>177.60795767290787</v>
      </c>
      <c r="L11">
        <f>K11*(1+L44)</f>
        <v>189.86429381812033</v>
      </c>
    </row>
    <row r="12" spans="2:12" x14ac:dyDescent="0.3">
      <c r="B12" s="13" t="s">
        <v>53</v>
      </c>
      <c r="C12" s="14">
        <v>5713.2969999999996</v>
      </c>
      <c r="D12" s="14">
        <v>6053</v>
      </c>
      <c r="E12" s="14">
        <v>8536</v>
      </c>
      <c r="F12" s="14">
        <v>9255</v>
      </c>
      <c r="G12" s="14">
        <v>10557</v>
      </c>
      <c r="H12" s="14">
        <f>SUM(H8:H11)</f>
        <v>12922.217003567617</v>
      </c>
      <c r="I12" s="14">
        <f>SUM(I8:I11)</f>
        <v>15925.833413302336</v>
      </c>
      <c r="J12" s="14">
        <f>SUM(J8:J11)</f>
        <v>19870.93054972772</v>
      </c>
      <c r="K12" s="14">
        <f>SUM(K8:K11)</f>
        <v>24945.258172540485</v>
      </c>
      <c r="L12" s="14">
        <f>SUM(L8:L11)</f>
        <v>31374.075172924888</v>
      </c>
    </row>
    <row r="13" spans="2:12" x14ac:dyDescent="0.3">
      <c r="B13" s="6"/>
    </row>
    <row r="14" spans="2:12" x14ac:dyDescent="0.3">
      <c r="B14" s="6" t="s">
        <v>54</v>
      </c>
      <c r="C14">
        <v>557.28200000000004</v>
      </c>
      <c r="D14">
        <v>466</v>
      </c>
      <c r="E14">
        <v>521</v>
      </c>
      <c r="F14">
        <v>997</v>
      </c>
      <c r="G14">
        <v>1404</v>
      </c>
      <c r="H14">
        <f>G14-'Cashflow Statement'!H9-'Cashflow Statement'!H16</f>
        <v>1598.6423006594623</v>
      </c>
      <c r="I14">
        <f>H14-'Cashflow Statement'!I9-'Cashflow Statement'!I16</f>
        <v>1832.2130614508171</v>
      </c>
      <c r="J14">
        <f>I14-'Cashflow Statement'!J9-'Cashflow Statement'!J16</f>
        <v>2112.4979744004431</v>
      </c>
      <c r="K14">
        <f>J14-'Cashflow Statement'!K9-'Cashflow Statement'!K16</f>
        <v>2448.8398699399941</v>
      </c>
      <c r="L14">
        <f>K14-'Cashflow Statement'!L9-'Cashflow Statement'!L16</f>
        <v>2852.4501445874548</v>
      </c>
    </row>
    <row r="15" spans="2:12" x14ac:dyDescent="0.3">
      <c r="B15" s="6" t="s">
        <v>55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2" x14ac:dyDescent="0.3">
      <c r="B16" s="6" t="s">
        <v>56</v>
      </c>
      <c r="C16">
        <v>839.89300000000003</v>
      </c>
      <c r="D16">
        <v>784</v>
      </c>
      <c r="E16">
        <v>722</v>
      </c>
      <c r="F16">
        <v>670</v>
      </c>
      <c r="G16">
        <v>663</v>
      </c>
      <c r="H16">
        <v>663</v>
      </c>
      <c r="I16">
        <v>663</v>
      </c>
      <c r="J16">
        <v>663</v>
      </c>
      <c r="K16">
        <v>663</v>
      </c>
      <c r="L16">
        <v>663</v>
      </c>
    </row>
    <row r="17" spans="2:12" x14ac:dyDescent="0.3">
      <c r="B17" s="6" t="s">
        <v>57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3">
      <c r="B18" s="6" t="s">
        <v>58</v>
      </c>
      <c r="C18">
        <v>90.896000000000001</v>
      </c>
      <c r="D18">
        <v>67</v>
      </c>
      <c r="E18">
        <v>62</v>
      </c>
      <c r="F18">
        <v>319</v>
      </c>
      <c r="G18">
        <v>668</v>
      </c>
      <c r="H18">
        <v>668</v>
      </c>
      <c r="I18">
        <v>668</v>
      </c>
      <c r="J18">
        <v>668</v>
      </c>
      <c r="K18">
        <v>668</v>
      </c>
      <c r="L18">
        <v>668</v>
      </c>
    </row>
    <row r="19" spans="2:12" x14ac:dyDescent="0.3">
      <c r="B19" s="13" t="s">
        <v>59</v>
      </c>
      <c r="C19" s="14">
        <v>7201.3680000000004</v>
      </c>
      <c r="D19" s="14">
        <v>7370</v>
      </c>
      <c r="E19" s="14">
        <v>9841</v>
      </c>
      <c r="F19" s="14">
        <v>11241</v>
      </c>
      <c r="G19" s="14">
        <v>13292</v>
      </c>
      <c r="H19" s="14">
        <f>H12+SUM(H14:H18)</f>
        <v>15851.85930422708</v>
      </c>
      <c r="I19" s="14">
        <f>I12+SUM(I14:I18)</f>
        <v>19089.046474753151</v>
      </c>
      <c r="J19" s="14">
        <f>J12+SUM(J14:J18)</f>
        <v>23314.428524128161</v>
      </c>
      <c r="K19" s="14">
        <f>K12+SUM(K14:K18)</f>
        <v>28725.09804248048</v>
      </c>
      <c r="L19" s="14">
        <f>L12+SUM(L14:L18)</f>
        <v>35557.525317512343</v>
      </c>
    </row>
    <row r="20" spans="2:12" x14ac:dyDescent="0.3">
      <c r="B20" s="6" t="s">
        <v>60</v>
      </c>
    </row>
    <row r="21" spans="2:12" x14ac:dyDescent="0.3">
      <c r="B21" s="6" t="s">
        <v>61</v>
      </c>
      <c r="C21">
        <v>0</v>
      </c>
      <c r="D21">
        <v>1413</v>
      </c>
      <c r="E21">
        <v>800</v>
      </c>
      <c r="F21">
        <v>20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3">
      <c r="B22" s="6" t="s">
        <v>62</v>
      </c>
      <c r="C22">
        <v>293.22300000000001</v>
      </c>
      <c r="D22">
        <v>296</v>
      </c>
      <c r="E22">
        <v>485</v>
      </c>
      <c r="F22">
        <v>596</v>
      </c>
      <c r="G22">
        <v>511</v>
      </c>
      <c r="H22">
        <f>H46/365*'Income Statement'!H8</f>
        <v>789.10984217046087</v>
      </c>
      <c r="I22">
        <f>I46/365*'Income Statement'!I8</f>
        <v>946.93181060455299</v>
      </c>
      <c r="J22">
        <f>J46/365*'Income Statement'!J8</f>
        <v>1136.3181727254637</v>
      </c>
      <c r="K22">
        <f>K46/365*'Income Statement'!K8</f>
        <v>1363.5818072705563</v>
      </c>
      <c r="L22">
        <f>L46/365*'Income Statement'!L8</f>
        <v>1636.2981687246677</v>
      </c>
    </row>
    <row r="23" spans="2:12" x14ac:dyDescent="0.3">
      <c r="B23" s="6" t="s">
        <v>63</v>
      </c>
      <c r="C23">
        <v>2.81</v>
      </c>
      <c r="D23">
        <v>2</v>
      </c>
      <c r="E23">
        <v>4</v>
      </c>
      <c r="F23">
        <v>33</v>
      </c>
      <c r="G23">
        <v>91</v>
      </c>
      <c r="H23">
        <v>91</v>
      </c>
      <c r="I23">
        <v>91</v>
      </c>
      <c r="J23">
        <v>91</v>
      </c>
      <c r="K23">
        <v>91</v>
      </c>
      <c r="L23">
        <v>91</v>
      </c>
    </row>
    <row r="24" spans="2:12" x14ac:dyDescent="0.3">
      <c r="B24" s="6" t="s">
        <v>64</v>
      </c>
      <c r="C24">
        <v>599.99699999999996</v>
      </c>
      <c r="D24">
        <v>640</v>
      </c>
      <c r="E24">
        <v>499</v>
      </c>
      <c r="F24">
        <v>504</v>
      </c>
      <c r="G24">
        <v>727</v>
      </c>
      <c r="H24">
        <f>G24*(1+H47)</f>
        <v>781.31414411282856</v>
      </c>
      <c r="I24">
        <f>H24*(1+I47)</f>
        <v>839.68609599829688</v>
      </c>
      <c r="J24">
        <f>I24*(1+J47)</f>
        <v>902.41901433060752</v>
      </c>
      <c r="K24">
        <f>J24*(1+K47)</f>
        <v>969.83870675771789</v>
      </c>
      <c r="L24">
        <f>K24*(1+L47)</f>
        <v>1042.295322005363</v>
      </c>
    </row>
    <row r="25" spans="2:12" x14ac:dyDescent="0.3">
      <c r="B25" s="13" t="s">
        <v>65</v>
      </c>
      <c r="C25" s="14">
        <v>896.03</v>
      </c>
      <c r="D25" s="14">
        <v>2351</v>
      </c>
      <c r="E25" s="14">
        <v>1788</v>
      </c>
      <c r="F25" s="14">
        <v>1153</v>
      </c>
      <c r="G25" s="14">
        <v>1329</v>
      </c>
      <c r="H25" s="14">
        <f>SUM(H21:H24)</f>
        <v>1661.4239862832894</v>
      </c>
      <c r="I25" s="14">
        <f>SUM(I21:I24)</f>
        <v>1877.6179066028499</v>
      </c>
      <c r="J25" s="14">
        <f>SUM(J21:J24)</f>
        <v>2129.737187056071</v>
      </c>
      <c r="K25" s="14">
        <f>SUM(K21:K24)</f>
        <v>2424.4205140282743</v>
      </c>
      <c r="L25" s="14">
        <f>SUM(L21:L24)</f>
        <v>2769.5934907300307</v>
      </c>
    </row>
    <row r="26" spans="2:12" x14ac:dyDescent="0.3">
      <c r="B26" s="6"/>
    </row>
    <row r="27" spans="2:12" x14ac:dyDescent="0.3">
      <c r="B27" s="6" t="s">
        <v>66</v>
      </c>
      <c r="C27">
        <v>1398.4280000000001</v>
      </c>
      <c r="D27">
        <v>97</v>
      </c>
      <c r="E27">
        <v>2020</v>
      </c>
      <c r="F27">
        <v>1985</v>
      </c>
      <c r="G27">
        <v>1988</v>
      </c>
      <c r="H27">
        <v>1988</v>
      </c>
      <c r="I27">
        <v>1988</v>
      </c>
      <c r="J27">
        <v>1988</v>
      </c>
      <c r="K27">
        <v>1988</v>
      </c>
      <c r="L27">
        <v>1988</v>
      </c>
    </row>
    <row r="28" spans="2:12" x14ac:dyDescent="0.3">
      <c r="B28" s="6" t="s">
        <v>67</v>
      </c>
      <c r="C28">
        <v>7.4279999999999999</v>
      </c>
      <c r="D28">
        <v>1</v>
      </c>
      <c r="E28">
        <v>0</v>
      </c>
      <c r="F28">
        <v>12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</row>
    <row r="29" spans="2:12" x14ac:dyDescent="0.3">
      <c r="B29" s="6" t="s">
        <v>68</v>
      </c>
      <c r="C29">
        <v>232.30699999999999</v>
      </c>
      <c r="D29">
        <v>301</v>
      </c>
      <c r="E29">
        <v>141</v>
      </c>
      <c r="F29">
        <v>18</v>
      </c>
      <c r="G29">
        <v>19</v>
      </c>
      <c r="H29">
        <v>19</v>
      </c>
      <c r="I29">
        <v>19</v>
      </c>
      <c r="J29">
        <v>19</v>
      </c>
      <c r="K29">
        <v>19</v>
      </c>
      <c r="L29">
        <v>19</v>
      </c>
    </row>
    <row r="30" spans="2:12" x14ac:dyDescent="0.3">
      <c r="B30" s="6" t="s">
        <v>69</v>
      </c>
      <c r="C30">
        <v>249.19300000000001</v>
      </c>
      <c r="D30">
        <v>151</v>
      </c>
      <c r="E30">
        <v>130</v>
      </c>
      <c r="F30">
        <v>602</v>
      </c>
      <c r="G30">
        <v>594</v>
      </c>
      <c r="H30">
        <v>594</v>
      </c>
      <c r="I30">
        <v>594</v>
      </c>
      <c r="J30">
        <v>594</v>
      </c>
      <c r="K30">
        <v>594</v>
      </c>
      <c r="L30">
        <v>594</v>
      </c>
    </row>
    <row r="31" spans="2:12" x14ac:dyDescent="0.3">
      <c r="B31" s="13" t="s">
        <v>70</v>
      </c>
      <c r="C31" s="14">
        <v>2783.386</v>
      </c>
      <c r="D31" s="14">
        <v>2901</v>
      </c>
      <c r="E31" s="14">
        <v>4079</v>
      </c>
      <c r="F31" s="14">
        <v>3770</v>
      </c>
      <c r="G31" s="14">
        <v>3950</v>
      </c>
      <c r="H31" s="14">
        <f>H25+SUM(H27:H30)</f>
        <v>4282.4239862832892</v>
      </c>
      <c r="I31" s="14">
        <f>I25+SUM(I27:I30)</f>
        <v>4498.6179066028499</v>
      </c>
      <c r="J31" s="14">
        <f>J25+SUM(J27:J30)</f>
        <v>4750.737187056071</v>
      </c>
      <c r="K31" s="14">
        <f>K25+SUM(K27:K30)</f>
        <v>5045.4205140282738</v>
      </c>
      <c r="L31" s="14">
        <f>L25+SUM(L27:L30)</f>
        <v>5390.5934907300307</v>
      </c>
    </row>
    <row r="32" spans="2:12" x14ac:dyDescent="0.3">
      <c r="B32" s="6"/>
    </row>
    <row r="33" spans="2:12" x14ac:dyDescent="0.3">
      <c r="B33" s="6"/>
    </row>
    <row r="34" spans="2:12" x14ac:dyDescent="0.3">
      <c r="B34" s="6"/>
    </row>
    <row r="35" spans="2:12" x14ac:dyDescent="0.3">
      <c r="B35" s="13" t="s">
        <v>71</v>
      </c>
      <c r="C35" s="4">
        <v>4417.982</v>
      </c>
      <c r="D35" s="4">
        <v>4469</v>
      </c>
      <c r="E35" s="4">
        <v>5762</v>
      </c>
      <c r="F35" s="4">
        <v>7471</v>
      </c>
      <c r="G35" s="4">
        <v>9342</v>
      </c>
      <c r="H35" s="4">
        <f>G35+'Cashflow Statement'!H24+'Income Statement'!H20+'Cashflow Statement'!H23</f>
        <v>11569.435317943791</v>
      </c>
      <c r="I35" s="4">
        <f>H35+'Cashflow Statement'!I24+'Income Statement'!I20+'Cashflow Statement'!I23</f>
        <v>14590.428568150308</v>
      </c>
      <c r="J35" s="4">
        <f>I35+'Cashflow Statement'!J24+'Income Statement'!J20+'Cashflow Statement'!J23</f>
        <v>18563.691337072094</v>
      </c>
      <c r="K35" s="4">
        <f>J35+'Cashflow Statement'!K24+'Income Statement'!K20+'Cashflow Statement'!K23</f>
        <v>23679.677528452205</v>
      </c>
      <c r="L35" s="4">
        <f>K35+'Cashflow Statement'!L24+'Income Statement'!L20+'Cashflow Statement'!L23</f>
        <v>30166.931826782311</v>
      </c>
    </row>
    <row r="36" spans="2:12" x14ac:dyDescent="0.3">
      <c r="B36" s="6" t="s">
        <v>72</v>
      </c>
      <c r="C36">
        <f t="shared" ref="C36:L36" si="0">C31+C35</f>
        <v>7201.3680000000004</v>
      </c>
      <c r="D36">
        <f t="shared" si="0"/>
        <v>7370</v>
      </c>
      <c r="E36">
        <f t="shared" si="0"/>
        <v>9841</v>
      </c>
      <c r="F36">
        <f t="shared" si="0"/>
        <v>11241</v>
      </c>
      <c r="G36">
        <f t="shared" si="0"/>
        <v>13292</v>
      </c>
      <c r="H36">
        <f t="shared" si="0"/>
        <v>15851.85930422708</v>
      </c>
      <c r="I36">
        <f t="shared" si="0"/>
        <v>19089.046474753159</v>
      </c>
      <c r="J36">
        <f t="shared" si="0"/>
        <v>23314.428524128165</v>
      </c>
      <c r="K36">
        <f t="shared" si="0"/>
        <v>28725.09804248048</v>
      </c>
      <c r="L36">
        <f t="shared" si="0"/>
        <v>35557.525317512343</v>
      </c>
    </row>
    <row r="37" spans="2:12" x14ac:dyDescent="0.3">
      <c r="B37" s="6"/>
    </row>
    <row r="38" spans="2:12" x14ac:dyDescent="0.3">
      <c r="B38" s="13" t="s">
        <v>73</v>
      </c>
      <c r="C38" s="17">
        <f t="shared" ref="C38:L38" si="1">C19-C36</f>
        <v>0</v>
      </c>
      <c r="D38" s="17">
        <f t="shared" si="1"/>
        <v>0</v>
      </c>
      <c r="E38" s="17">
        <f t="shared" si="1"/>
        <v>0</v>
      </c>
      <c r="F38" s="17">
        <f t="shared" si="1"/>
        <v>0</v>
      </c>
      <c r="G38" s="17">
        <f t="shared" si="1"/>
        <v>0</v>
      </c>
      <c r="H38" s="17">
        <f t="shared" si="1"/>
        <v>0</v>
      </c>
      <c r="I38" s="17">
        <f t="shared" si="1"/>
        <v>0</v>
      </c>
      <c r="J38" s="17">
        <f t="shared" si="1"/>
        <v>0</v>
      </c>
      <c r="K38" s="17">
        <f t="shared" si="1"/>
        <v>0</v>
      </c>
      <c r="L38" s="17">
        <f t="shared" si="1"/>
        <v>0</v>
      </c>
    </row>
    <row r="39" spans="2:12" x14ac:dyDescent="0.3">
      <c r="B39" s="6"/>
    </row>
    <row r="40" spans="2:12" x14ac:dyDescent="0.3">
      <c r="B40" s="6" t="s">
        <v>74</v>
      </c>
      <c r="C40">
        <f t="shared" ref="C40:L40" si="2">C12-C25</f>
        <v>4817.2669999999998</v>
      </c>
      <c r="D40">
        <f t="shared" si="2"/>
        <v>3702</v>
      </c>
      <c r="E40">
        <f t="shared" si="2"/>
        <v>6748</v>
      </c>
      <c r="F40">
        <f t="shared" si="2"/>
        <v>8102</v>
      </c>
      <c r="G40">
        <f t="shared" si="2"/>
        <v>9228</v>
      </c>
      <c r="H40">
        <f t="shared" si="2"/>
        <v>11260.793017284328</v>
      </c>
      <c r="I40">
        <f t="shared" si="2"/>
        <v>14048.215506699486</v>
      </c>
      <c r="J40">
        <f t="shared" si="2"/>
        <v>17741.193362671649</v>
      </c>
      <c r="K40">
        <f t="shared" si="2"/>
        <v>22520.83765851221</v>
      </c>
      <c r="L40">
        <f t="shared" si="2"/>
        <v>28604.481682194855</v>
      </c>
    </row>
    <row r="41" spans="2:12" x14ac:dyDescent="0.3">
      <c r="B41" s="6"/>
    </row>
    <row r="42" spans="2:12" x14ac:dyDescent="0.3">
      <c r="B42" s="15" t="s">
        <v>38</v>
      </c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2:12" x14ac:dyDescent="0.3">
      <c r="B43" s="6" t="s">
        <v>75</v>
      </c>
      <c r="C43">
        <f>C9/'Income Statement'!C7*365</f>
        <v>36.927746770430979</v>
      </c>
      <c r="D43">
        <f>D9/'Income Statement'!D7*365</f>
        <v>36.791417165668662</v>
      </c>
      <c r="E43">
        <f>E9/'Income Statement'!E7*365</f>
        <v>43.630969609261939</v>
      </c>
      <c r="F43">
        <f>F9/'Income Statement'!F7*365</f>
        <v>47.531912703314802</v>
      </c>
      <c r="G43">
        <f>G9/'Income Statement'!G7*365</f>
        <v>44.363263912598157</v>
      </c>
      <c r="H43">
        <f>F43</f>
        <v>47.531912703314802</v>
      </c>
      <c r="I43">
        <f>F43</f>
        <v>47.531912703314802</v>
      </c>
      <c r="J43">
        <f>F43</f>
        <v>47.531912703314802</v>
      </c>
      <c r="K43">
        <f>F43</f>
        <v>47.531912703314802</v>
      </c>
      <c r="L43">
        <f>F43</f>
        <v>47.531912703314802</v>
      </c>
    </row>
    <row r="44" spans="2:12" x14ac:dyDescent="0.3">
      <c r="B44" s="6" t="s">
        <v>76</v>
      </c>
      <c r="C44" s="16"/>
      <c r="D44" s="16">
        <f>D11/C11-1</f>
        <v>-0.30299487363971578</v>
      </c>
      <c r="E44" s="16">
        <f>E11/D11-1</f>
        <v>0.26881720430107525</v>
      </c>
      <c r="F44" s="16">
        <f>F11/E11-1</f>
        <v>-0.27118644067796616</v>
      </c>
      <c r="G44" s="16">
        <f>G11/F11-1</f>
        <v>0.58139534883720922</v>
      </c>
      <c r="H44" s="16">
        <f>AVERAGE(C44:G44)</f>
        <v>6.9007809705150636E-2</v>
      </c>
      <c r="I44" s="16">
        <f>H44</f>
        <v>6.9007809705150636E-2</v>
      </c>
      <c r="J44" s="16">
        <f>H44</f>
        <v>6.9007809705150636E-2</v>
      </c>
      <c r="K44" s="16">
        <f>H44</f>
        <v>6.9007809705150636E-2</v>
      </c>
      <c r="L44" s="16">
        <f>H44</f>
        <v>6.9007809705150636E-2</v>
      </c>
    </row>
    <row r="45" spans="2:12" x14ac:dyDescent="0.3">
      <c r="B45" s="6"/>
    </row>
    <row r="46" spans="2:12" x14ac:dyDescent="0.3">
      <c r="B46" s="6" t="s">
        <v>77</v>
      </c>
      <c r="C46">
        <f>C22/'Income Statement'!C8*366</f>
        <v>57.808617888631289</v>
      </c>
      <c r="D46">
        <f>D22/'Income Statement'!D8*366</f>
        <v>54.853670886075953</v>
      </c>
      <c r="E46">
        <f>E22/'Income Statement'!E8*366</f>
        <v>67.035498489425976</v>
      </c>
      <c r="F46">
        <f>F22/'Income Statement'!F8*366</f>
        <v>59.292198967110629</v>
      </c>
      <c r="G46">
        <f>G22/'Income Statement'!G8*366</f>
        <v>44.120311394196747</v>
      </c>
      <c r="H46">
        <f>AVERAGE(C46:G46)</f>
        <v>56.622059525088119</v>
      </c>
      <c r="I46">
        <f>H46</f>
        <v>56.622059525088119</v>
      </c>
      <c r="J46">
        <f>H46</f>
        <v>56.622059525088119</v>
      </c>
      <c r="K46">
        <f>H46</f>
        <v>56.622059525088119</v>
      </c>
      <c r="L46">
        <f>H46</f>
        <v>56.622059525088119</v>
      </c>
    </row>
    <row r="47" spans="2:12" x14ac:dyDescent="0.3">
      <c r="B47" s="6" t="s">
        <v>78</v>
      </c>
      <c r="C47" s="16"/>
      <c r="D47" s="16">
        <f>D24/C24-1</f>
        <v>6.6672000026666955E-2</v>
      </c>
      <c r="E47" s="16">
        <f>E24/D24-1</f>
        <v>-0.22031250000000002</v>
      </c>
      <c r="F47" s="16">
        <f>F24/E24-1</f>
        <v>1.002004008016022E-2</v>
      </c>
      <c r="G47" s="16">
        <f>G24/F24-1</f>
        <v>0.44246031746031744</v>
      </c>
      <c r="H47" s="16">
        <f>AVERAGE(C47:G47)</f>
        <v>7.4709964391786149E-2</v>
      </c>
      <c r="I47" s="16">
        <f>H47</f>
        <v>7.4709964391786149E-2</v>
      </c>
      <c r="J47" s="16">
        <f>H47</f>
        <v>7.4709964391786149E-2</v>
      </c>
      <c r="K47" s="16">
        <f>H47</f>
        <v>7.4709964391786149E-2</v>
      </c>
      <c r="L47" s="16">
        <f>H47</f>
        <v>7.4709964391786149E-2</v>
      </c>
    </row>
    <row r="48" spans="2:12" x14ac:dyDescent="0.3">
      <c r="B48" s="6"/>
    </row>
    <row r="49" spans="2:12" x14ac:dyDescent="0.3">
      <c r="B49" s="6" t="s">
        <v>79</v>
      </c>
      <c r="C49" s="16"/>
      <c r="D49" s="16">
        <f>'Income Statement'!D8/(C10+D10)*2</f>
        <v>4.3845384524022277</v>
      </c>
      <c r="E49" s="16">
        <f>'Income Statement'!E8/(D10+E10)*2</f>
        <v>4.3696369636963697</v>
      </c>
      <c r="F49" s="16">
        <f>'Income Statement'!F8/(E10+F10)*2</f>
        <v>4.6276729559748428</v>
      </c>
      <c r="G49" s="16">
        <f>'Income Statement'!G8/(F10+G10)*2</f>
        <v>3.5757064529734288</v>
      </c>
      <c r="H49" s="16">
        <f>AVERAGE(C49:G49)</f>
        <v>4.2393887062617175</v>
      </c>
      <c r="I49" s="16">
        <f>H49</f>
        <v>4.2393887062617175</v>
      </c>
      <c r="J49" s="16">
        <f>H49</f>
        <v>4.2393887062617175</v>
      </c>
      <c r="K49" s="16">
        <f>H49</f>
        <v>4.2393887062617175</v>
      </c>
      <c r="L49" s="16">
        <f>H49</f>
        <v>4.2393887062617175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showGridLines="0" topLeftCell="A17" workbookViewId="0"/>
  </sheetViews>
  <sheetFormatPr defaultRowHeight="14.4" x14ac:dyDescent="0.3"/>
  <cols>
    <col min="2" max="2" width="50" customWidth="1"/>
  </cols>
  <sheetData>
    <row r="2" spans="2:12" x14ac:dyDescent="0.3">
      <c r="B2" s="1" t="s">
        <v>80</v>
      </c>
    </row>
    <row r="3" spans="2:12" x14ac:dyDescent="0.3">
      <c r="B3" s="2" t="s">
        <v>0</v>
      </c>
      <c r="C3" s="9"/>
      <c r="D3" s="9"/>
      <c r="E3" s="9"/>
      <c r="F3" s="9"/>
      <c r="G3" s="3" t="s">
        <v>15</v>
      </c>
      <c r="H3" s="10"/>
      <c r="I3" s="9"/>
      <c r="J3" s="9"/>
      <c r="K3" s="9"/>
      <c r="L3" s="9"/>
    </row>
    <row r="4" spans="2:12" x14ac:dyDescent="0.3">
      <c r="G4" s="11" t="s">
        <v>1</v>
      </c>
      <c r="H4" s="11"/>
    </row>
    <row r="5" spans="2:12" x14ac:dyDescent="0.3">
      <c r="C5" s="12">
        <v>2015</v>
      </c>
      <c r="D5" s="12">
        <v>2016</v>
      </c>
      <c r="E5" s="12">
        <v>2017</v>
      </c>
      <c r="F5" s="12">
        <v>2018</v>
      </c>
      <c r="G5" s="12">
        <v>2019</v>
      </c>
      <c r="H5" s="12" t="s">
        <v>2</v>
      </c>
      <c r="I5" s="12" t="s">
        <v>3</v>
      </c>
      <c r="J5" s="12" t="s">
        <v>4</v>
      </c>
      <c r="K5" s="12" t="s">
        <v>18</v>
      </c>
      <c r="L5" s="12" t="s">
        <v>19</v>
      </c>
    </row>
    <row r="7" spans="2:12" x14ac:dyDescent="0.3">
      <c r="B7" s="6" t="s">
        <v>81</v>
      </c>
    </row>
    <row r="8" spans="2:12" x14ac:dyDescent="0.3">
      <c r="B8" s="6" t="s">
        <v>82</v>
      </c>
      <c r="C8">
        <v>630.58699999999999</v>
      </c>
      <c r="D8">
        <v>614</v>
      </c>
      <c r="E8">
        <v>1666</v>
      </c>
      <c r="F8">
        <v>3047</v>
      </c>
      <c r="G8">
        <v>4141</v>
      </c>
      <c r="H8">
        <f>'Income Statement'!H20</f>
        <v>4051.9053179437906</v>
      </c>
      <c r="I8">
        <f>'Income Statement'!I20</f>
        <v>4845.4632502065151</v>
      </c>
      <c r="J8">
        <f>'Income Statement'!J20</f>
        <v>5797.7327689217873</v>
      </c>
      <c r="K8">
        <f>'Income Statement'!K20</f>
        <v>6940.4561913801126</v>
      </c>
      <c r="L8">
        <f>'Income Statement'!L20</f>
        <v>8311.7242983301057</v>
      </c>
    </row>
    <row r="9" spans="2:12" x14ac:dyDescent="0.3">
      <c r="B9" s="6" t="s">
        <v>83</v>
      </c>
      <c r="C9">
        <v>220.125</v>
      </c>
      <c r="D9">
        <v>197</v>
      </c>
      <c r="E9">
        <v>187</v>
      </c>
      <c r="F9">
        <v>199</v>
      </c>
      <c r="G9">
        <v>262</v>
      </c>
      <c r="H9">
        <f>'Income Statement'!H10</f>
        <v>314.39999999999998</v>
      </c>
      <c r="I9">
        <f>'Income Statement'!I10</f>
        <v>377.28</v>
      </c>
      <c r="J9">
        <f>'Income Statement'!J10</f>
        <v>452.73599999999993</v>
      </c>
      <c r="K9">
        <f>'Income Statement'!K10</f>
        <v>543.28319999999985</v>
      </c>
      <c r="L9">
        <f>'Income Statement'!L10</f>
        <v>651.93983999999989</v>
      </c>
    </row>
    <row r="10" spans="2:12" x14ac:dyDescent="0.3">
      <c r="B10" s="6" t="s">
        <v>84</v>
      </c>
      <c r="C10">
        <v>82.569000000000003</v>
      </c>
      <c r="D10">
        <v>134</v>
      </c>
      <c r="E10">
        <v>197</v>
      </c>
      <c r="F10">
        <v>-359</v>
      </c>
      <c r="G10">
        <v>-315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2" x14ac:dyDescent="0.3">
      <c r="B11" s="6" t="s">
        <v>85</v>
      </c>
      <c r="C11">
        <v>174.90199999999999</v>
      </c>
      <c r="D11">
        <v>281</v>
      </c>
      <c r="E11">
        <v>301</v>
      </c>
      <c r="F11">
        <v>430</v>
      </c>
      <c r="G11">
        <v>512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2" x14ac:dyDescent="0.3">
      <c r="B12" s="13" t="s">
        <v>86</v>
      </c>
      <c r="C12" s="14">
        <v>1108.183</v>
      </c>
      <c r="D12" s="14">
        <v>1226</v>
      </c>
      <c r="E12" s="14">
        <v>2351</v>
      </c>
      <c r="F12" s="14">
        <v>3317</v>
      </c>
      <c r="G12" s="14">
        <v>4600</v>
      </c>
      <c r="H12" s="14">
        <f>SUM(H8:H11)</f>
        <v>4366.3053179437902</v>
      </c>
      <c r="I12" s="14">
        <f>SUM(I8:I11)</f>
        <v>5222.7432502065149</v>
      </c>
      <c r="J12" s="14">
        <f>SUM(J8:J11)</f>
        <v>6250.4687689217872</v>
      </c>
      <c r="K12" s="14">
        <f>SUM(K8:K11)</f>
        <v>7483.7393913801125</v>
      </c>
      <c r="L12" s="14">
        <f>SUM(L8:L11)</f>
        <v>8963.6641383301048</v>
      </c>
    </row>
    <row r="13" spans="2:12" x14ac:dyDescent="0.3">
      <c r="B13" s="6" t="s">
        <v>87</v>
      </c>
      <c r="C13">
        <v>-202.52699999999999</v>
      </c>
      <c r="D13">
        <v>-51</v>
      </c>
      <c r="E13">
        <v>-679</v>
      </c>
      <c r="F13">
        <v>185</v>
      </c>
      <c r="G13">
        <v>-857</v>
      </c>
      <c r="H13">
        <f>SUM('Balance Sheet'!G9:G11)-SUM('Balance Sheet'!H9:H11)+SUM('Balance Sheet'!H22:H24)-SUM('Balance Sheet'!G22:G24)</f>
        <v>-83.812218517278097</v>
      </c>
      <c r="I13">
        <f>SUM('Balance Sheet'!H9:H11)-SUM('Balance Sheet'!I9:I11)+SUM('Balance Sheet'!I22:I24)-SUM('Balance Sheet'!H22:H24)</f>
        <v>-160.00901291731429</v>
      </c>
      <c r="J13">
        <f>SUM('Balance Sheet'!I9:I11)-SUM('Balance Sheet'!J9:J11)+SUM('Balance Sheet'!J22:J24)-SUM('Balance Sheet'!I22:I24)</f>
        <v>-198.01003346769676</v>
      </c>
      <c r="K13">
        <f>SUM('Balance Sheet'!J9:J11)-SUM('Balance Sheet'!K9:K11)+SUM('Balance Sheet'!K22:K24)-SUM('Balance Sheet'!J22:J24)</f>
        <v>-244.06695329453623</v>
      </c>
      <c r="L13">
        <f>SUM('Balance Sheet'!K9:K11)-SUM('Balance Sheet'!L9:L11)+SUM('Balance Sheet'!L22:L24)-SUM('Balance Sheet'!K22:K24)</f>
        <v>-299.82551435389405</v>
      </c>
    </row>
    <row r="14" spans="2:12" x14ac:dyDescent="0.3">
      <c r="B14" s="13" t="s">
        <v>88</v>
      </c>
      <c r="C14" s="14">
        <f t="shared" ref="C14:L14" si="0">C12+C13</f>
        <v>905.65599999999995</v>
      </c>
      <c r="D14" s="14">
        <f t="shared" si="0"/>
        <v>1175</v>
      </c>
      <c r="E14" s="14">
        <f t="shared" si="0"/>
        <v>1672</v>
      </c>
      <c r="F14" s="14">
        <f t="shared" si="0"/>
        <v>3502</v>
      </c>
      <c r="G14" s="14">
        <f t="shared" si="0"/>
        <v>3743</v>
      </c>
      <c r="H14" s="14">
        <f t="shared" si="0"/>
        <v>4282.4930994265123</v>
      </c>
      <c r="I14" s="14">
        <f t="shared" si="0"/>
        <v>5062.7342372892008</v>
      </c>
      <c r="J14" s="14">
        <f t="shared" si="0"/>
        <v>6052.4587354540909</v>
      </c>
      <c r="K14" s="14">
        <f t="shared" si="0"/>
        <v>7239.6724380855758</v>
      </c>
      <c r="L14" s="14">
        <f t="shared" si="0"/>
        <v>8663.8386239762112</v>
      </c>
    </row>
    <row r="15" spans="2:12" x14ac:dyDescent="0.3">
      <c r="B15" s="6" t="s">
        <v>89</v>
      </c>
    </row>
    <row r="16" spans="2:12" x14ac:dyDescent="0.3">
      <c r="B16" s="6" t="s">
        <v>90</v>
      </c>
      <c r="C16">
        <v>-122.381</v>
      </c>
      <c r="D16">
        <v>-86</v>
      </c>
      <c r="E16">
        <v>-176</v>
      </c>
      <c r="F16">
        <v>-593</v>
      </c>
      <c r="G16">
        <v>-600</v>
      </c>
      <c r="H16">
        <f>-'Income Statement'!H7*H33</f>
        <v>-509.04230065946234</v>
      </c>
      <c r="I16">
        <f>-'Income Statement'!I7*I33</f>
        <v>-610.85076079135479</v>
      </c>
      <c r="J16">
        <f>-'Income Statement'!J7*J33</f>
        <v>-733.02091294962565</v>
      </c>
      <c r="K16">
        <f>-'Income Statement'!K7*K33</f>
        <v>-879.62509553955078</v>
      </c>
      <c r="L16">
        <f>-'Income Statement'!L7*L33</f>
        <v>-1055.550114647461</v>
      </c>
    </row>
    <row r="17" spans="2:12" x14ac:dyDescent="0.3">
      <c r="B17" s="6" t="s">
        <v>91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3">
      <c r="B18" s="6" t="s">
        <v>92</v>
      </c>
      <c r="C18">
        <v>0</v>
      </c>
      <c r="D18">
        <v>7</v>
      </c>
      <c r="E18">
        <v>7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3">
      <c r="B19" s="6" t="s">
        <v>93</v>
      </c>
      <c r="C19">
        <v>-625.029</v>
      </c>
      <c r="D19">
        <v>-339</v>
      </c>
      <c r="E19">
        <v>-619</v>
      </c>
      <c r="F19">
        <v>1905</v>
      </c>
      <c r="G19">
        <v>-3497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3">
      <c r="B20" s="6" t="s">
        <v>85</v>
      </c>
      <c r="C20">
        <v>20.361999999999998</v>
      </c>
      <c r="D20">
        <v>18</v>
      </c>
      <c r="E20">
        <v>-5</v>
      </c>
      <c r="F20">
        <v>-36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3">
      <c r="B21" s="13" t="s">
        <v>94</v>
      </c>
      <c r="C21" s="14">
        <f t="shared" ref="C21:L21" si="1">SUM(C16:C20)</f>
        <v>-727.048</v>
      </c>
      <c r="D21" s="14">
        <f t="shared" si="1"/>
        <v>-400</v>
      </c>
      <c r="E21" s="14">
        <f t="shared" si="1"/>
        <v>-793</v>
      </c>
      <c r="F21" s="14">
        <f t="shared" si="1"/>
        <v>1278</v>
      </c>
      <c r="G21" s="14">
        <f t="shared" si="1"/>
        <v>-4097</v>
      </c>
      <c r="H21" s="14">
        <f t="shared" si="1"/>
        <v>-509.04230065946234</v>
      </c>
      <c r="I21" s="14">
        <f t="shared" si="1"/>
        <v>-610.85076079135479</v>
      </c>
      <c r="J21" s="14">
        <f t="shared" si="1"/>
        <v>-733.02091294962565</v>
      </c>
      <c r="K21" s="14">
        <f t="shared" si="1"/>
        <v>-879.62509553955078</v>
      </c>
      <c r="L21" s="14">
        <f t="shared" si="1"/>
        <v>-1055.550114647461</v>
      </c>
    </row>
    <row r="22" spans="2:12" x14ac:dyDescent="0.3">
      <c r="B22" s="6" t="s">
        <v>95</v>
      </c>
    </row>
    <row r="23" spans="2:12" x14ac:dyDescent="0.3">
      <c r="B23" s="6" t="s">
        <v>96</v>
      </c>
      <c r="C23">
        <v>-186.452</v>
      </c>
      <c r="D23">
        <v>-213</v>
      </c>
      <c r="E23">
        <v>-261</v>
      </c>
      <c r="F23">
        <v>-341</v>
      </c>
      <c r="G23">
        <v>-371</v>
      </c>
      <c r="H23">
        <f>-'Income Statement'!H28*'Income Statement'!H26</f>
        <v>-382.46999999999997</v>
      </c>
      <c r="I23">
        <f>-'Income Statement'!I28*'Income Statement'!I26</f>
        <v>-382.46999999999997</v>
      </c>
      <c r="J23">
        <f>-'Income Statement'!J28*'Income Statement'!J26</f>
        <v>-382.46999999999997</v>
      </c>
      <c r="K23">
        <f>-'Income Statement'!K28*'Income Statement'!K26</f>
        <v>-382.46999999999997</v>
      </c>
      <c r="L23">
        <f>-'Income Statement'!L28*'Income Statement'!L26</f>
        <v>-382.46999999999997</v>
      </c>
    </row>
    <row r="24" spans="2:12" x14ac:dyDescent="0.3">
      <c r="B24" s="6" t="s">
        <v>97</v>
      </c>
      <c r="C24">
        <v>-660.12800000000004</v>
      </c>
      <c r="D24">
        <v>-467</v>
      </c>
      <c r="E24">
        <v>-748</v>
      </c>
      <c r="F24">
        <v>-770</v>
      </c>
      <c r="G24">
        <v>-1442</v>
      </c>
      <c r="H24">
        <v>-1442</v>
      </c>
      <c r="I24">
        <v>-1442</v>
      </c>
      <c r="J24">
        <v>-1442</v>
      </c>
      <c r="K24">
        <v>-1442</v>
      </c>
      <c r="L24">
        <v>-1442</v>
      </c>
    </row>
    <row r="25" spans="2:12" x14ac:dyDescent="0.3">
      <c r="B25" s="6" t="s">
        <v>98</v>
      </c>
      <c r="C25">
        <v>-2.9169999999999998</v>
      </c>
      <c r="D25">
        <v>-3</v>
      </c>
      <c r="E25">
        <v>1307</v>
      </c>
      <c r="F25">
        <v>-812</v>
      </c>
      <c r="G25">
        <v>-16</v>
      </c>
      <c r="H25">
        <f>'Balance Sheet'!H27-'Balance Sheet'!G27</f>
        <v>0</v>
      </c>
      <c r="I25">
        <f>'Balance Sheet'!I27-'Balance Sheet'!H27</f>
        <v>0</v>
      </c>
      <c r="J25">
        <f>'Balance Sheet'!J27-'Balance Sheet'!I27</f>
        <v>0</v>
      </c>
      <c r="K25">
        <f>'Balance Sheet'!K27-'Balance Sheet'!J27</f>
        <v>0</v>
      </c>
      <c r="L25">
        <f>'Balance Sheet'!L27-'Balance Sheet'!K27</f>
        <v>0</v>
      </c>
    </row>
    <row r="26" spans="2:12" x14ac:dyDescent="0.3">
      <c r="B26" s="6" t="s">
        <v>85</v>
      </c>
      <c r="C26">
        <v>15.956</v>
      </c>
      <c r="D26">
        <v>7</v>
      </c>
      <c r="E26">
        <v>-7</v>
      </c>
      <c r="F26">
        <v>-621</v>
      </c>
      <c r="G26">
        <v>-1037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3">
      <c r="B27" s="13" t="s">
        <v>99</v>
      </c>
      <c r="C27" s="14">
        <f t="shared" ref="C27:L27" si="2">SUM(C23:C26)</f>
        <v>-833.54100000000005</v>
      </c>
      <c r="D27" s="14">
        <f t="shared" si="2"/>
        <v>-676</v>
      </c>
      <c r="E27" s="14">
        <f t="shared" si="2"/>
        <v>291</v>
      </c>
      <c r="F27" s="14">
        <f t="shared" si="2"/>
        <v>-2544</v>
      </c>
      <c r="G27" s="14">
        <f t="shared" si="2"/>
        <v>-2866</v>
      </c>
      <c r="H27" s="14">
        <f t="shared" si="2"/>
        <v>-1824.47</v>
      </c>
      <c r="I27" s="14">
        <f t="shared" si="2"/>
        <v>-1824.47</v>
      </c>
      <c r="J27" s="14">
        <f t="shared" si="2"/>
        <v>-1824.47</v>
      </c>
      <c r="K27" s="14">
        <f t="shared" si="2"/>
        <v>-1824.47</v>
      </c>
      <c r="L27" s="14">
        <f t="shared" si="2"/>
        <v>-1824.47</v>
      </c>
    </row>
    <row r="28" spans="2:12" x14ac:dyDescent="0.3">
      <c r="B28" s="6"/>
    </row>
    <row r="29" spans="2:12" x14ac:dyDescent="0.3">
      <c r="B29" s="6" t="s">
        <v>100</v>
      </c>
      <c r="C29">
        <f t="shared" ref="C29:L29" si="3">C14+C21+C27</f>
        <v>-654.93300000000011</v>
      </c>
      <c r="D29">
        <f t="shared" si="3"/>
        <v>99</v>
      </c>
      <c r="E29">
        <f t="shared" si="3"/>
        <v>1170</v>
      </c>
      <c r="F29">
        <f t="shared" si="3"/>
        <v>2236</v>
      </c>
      <c r="G29">
        <f t="shared" si="3"/>
        <v>-3220</v>
      </c>
      <c r="H29">
        <f t="shared" si="3"/>
        <v>1948.9807987670499</v>
      </c>
      <c r="I29">
        <f t="shared" si="3"/>
        <v>2627.4134764978453</v>
      </c>
      <c r="J29">
        <f t="shared" si="3"/>
        <v>3494.9678225044654</v>
      </c>
      <c r="K29">
        <f t="shared" si="3"/>
        <v>4535.5773425460247</v>
      </c>
      <c r="L29">
        <f t="shared" si="3"/>
        <v>5783.8185093287502</v>
      </c>
    </row>
    <row r="30" spans="2:12" x14ac:dyDescent="0.3">
      <c r="B30" s="13" t="s">
        <v>101</v>
      </c>
      <c r="C30" s="4"/>
      <c r="D30" s="4"/>
      <c r="E30" s="4"/>
      <c r="F30" s="4"/>
      <c r="G30" s="4">
        <f>'Balance Sheet'!G8</f>
        <v>7422</v>
      </c>
      <c r="H30" s="4">
        <f>G30+H29</f>
        <v>9370.9807987670501</v>
      </c>
      <c r="I30" s="4">
        <f>H30+I29</f>
        <v>11998.394275264895</v>
      </c>
      <c r="J30" s="4">
        <f>I30+J29</f>
        <v>15493.362097769361</v>
      </c>
      <c r="K30" s="4">
        <f>J30+K29</f>
        <v>20028.939440315386</v>
      </c>
      <c r="L30" s="4">
        <f>K30+L29</f>
        <v>25812.757949644136</v>
      </c>
    </row>
    <row r="31" spans="2:12" x14ac:dyDescent="0.3">
      <c r="B31" s="6"/>
    </row>
    <row r="32" spans="2:12" x14ac:dyDescent="0.3">
      <c r="B32" s="15" t="s">
        <v>38</v>
      </c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 x14ac:dyDescent="0.3">
      <c r="B33" s="6" t="s">
        <v>102</v>
      </c>
      <c r="C33" s="16">
        <f>-C16/'Income Statement'!C7</f>
        <v>2.6141368580672848E-2</v>
      </c>
      <c r="D33" s="16">
        <f>-D16/'Income Statement'!D7</f>
        <v>1.716566866267465E-2</v>
      </c>
      <c r="E33" s="16">
        <f>-E16/'Income Statement'!E7</f>
        <v>2.5470332850940667E-2</v>
      </c>
      <c r="F33" s="16">
        <f>-F16/'Income Statement'!F7</f>
        <v>6.1045913115091617E-2</v>
      </c>
      <c r="G33" s="16">
        <f>-G16/'Income Statement'!G7</f>
        <v>5.1212017753499491E-2</v>
      </c>
      <c r="H33" s="16">
        <f>AVERAGE(C33:G33)</f>
        <v>3.620706019257585E-2</v>
      </c>
      <c r="I33" s="16">
        <f>H33</f>
        <v>3.620706019257585E-2</v>
      </c>
      <c r="J33" s="16">
        <f>H33</f>
        <v>3.620706019257585E-2</v>
      </c>
      <c r="K33" s="16">
        <f>H33</f>
        <v>3.620706019257585E-2</v>
      </c>
      <c r="L33" s="16">
        <f>H33</f>
        <v>3.620706019257585E-2</v>
      </c>
    </row>
    <row r="34" spans="2:12" x14ac:dyDescent="0.3">
      <c r="B34" s="6" t="s">
        <v>103</v>
      </c>
      <c r="C34" s="16">
        <f>C11/C14</f>
        <v>0.19312189175581015</v>
      </c>
      <c r="D34" s="16">
        <f>D11/D14</f>
        <v>0.23914893617021277</v>
      </c>
      <c r="E34" s="16">
        <f>E11/E14</f>
        <v>0.18002392344497609</v>
      </c>
      <c r="F34" s="16">
        <f>F11/F14</f>
        <v>0.12278697886921759</v>
      </c>
      <c r="G34" s="16">
        <f>G11/G14</f>
        <v>0.13678867218808444</v>
      </c>
      <c r="H34" s="16">
        <f>AVERAGE(C34:G34)</f>
        <v>0.17437408048566022</v>
      </c>
      <c r="I34" s="16">
        <f>H34</f>
        <v>0.17437408048566022</v>
      </c>
      <c r="J34" s="16">
        <f>H34</f>
        <v>0.17437408048566022</v>
      </c>
      <c r="K34" s="16">
        <f>H34</f>
        <v>0.17437408048566022</v>
      </c>
      <c r="L34" s="16">
        <f>H34</f>
        <v>0.17437408048566022</v>
      </c>
    </row>
    <row r="35" spans="2:12" x14ac:dyDescent="0.3">
      <c r="B35" s="6" t="s">
        <v>104</v>
      </c>
      <c r="C35">
        <f t="shared" ref="C35:L35" si="4">C14+C16</f>
        <v>783.27499999999998</v>
      </c>
      <c r="D35">
        <f t="shared" si="4"/>
        <v>1089</v>
      </c>
      <c r="E35">
        <f t="shared" si="4"/>
        <v>1496</v>
      </c>
      <c r="F35">
        <f t="shared" si="4"/>
        <v>2909</v>
      </c>
      <c r="G35">
        <f t="shared" si="4"/>
        <v>3143</v>
      </c>
      <c r="H35">
        <f t="shared" si="4"/>
        <v>3773.4507987670499</v>
      </c>
      <c r="I35">
        <f t="shared" si="4"/>
        <v>4451.8834764978455</v>
      </c>
      <c r="J35">
        <f t="shared" si="4"/>
        <v>5319.4378225044657</v>
      </c>
      <c r="K35">
        <f t="shared" si="4"/>
        <v>6360.047342546025</v>
      </c>
      <c r="L35">
        <f t="shared" si="4"/>
        <v>7608.2885093287505</v>
      </c>
    </row>
    <row r="36" spans="2:12" x14ac:dyDescent="0.3">
      <c r="B36" s="6" t="s">
        <v>105</v>
      </c>
      <c r="C36" s="16"/>
      <c r="D36" s="16">
        <f t="shared" ref="D36:L36" si="5">D35/C35-1</f>
        <v>0.39031630015001118</v>
      </c>
      <c r="E36" s="16">
        <f t="shared" si="5"/>
        <v>0.3737373737373737</v>
      </c>
      <c r="F36" s="16">
        <f t="shared" si="5"/>
        <v>0.94451871657754016</v>
      </c>
      <c r="G36" s="16">
        <f t="shared" si="5"/>
        <v>8.0440013750429751E-2</v>
      </c>
      <c r="H36" s="16">
        <f t="shared" si="5"/>
        <v>0.20058886375025442</v>
      </c>
      <c r="I36" s="16">
        <f t="shared" si="5"/>
        <v>0.17979104907170629</v>
      </c>
      <c r="J36" s="16">
        <f t="shared" si="5"/>
        <v>0.1948735519666156</v>
      </c>
      <c r="K36" s="16">
        <f t="shared" si="5"/>
        <v>0.19562396530685011</v>
      </c>
      <c r="L36" s="16">
        <f t="shared" si="5"/>
        <v>0.19626287345890026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Cashflow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2019-06-25T14:54:03Z</dcterms:created>
  <dcterms:modified xsi:type="dcterms:W3CDTF">2019-06-25T18:55:06Z</dcterms:modified>
</cp:coreProperties>
</file>