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arkdownMaster\Class_Notes\2A_Fluid_Mech\"/>
    </mc:Choice>
  </mc:AlternateContent>
  <xr:revisionPtr revIDLastSave="0" documentId="13_ncr:1_{9E2386B7-F915-40CF-B7CC-211ED0A2EE72}" xr6:coauthVersionLast="47" xr6:coauthVersionMax="47" xr10:uidLastSave="{00000000-0000-0000-0000-000000000000}"/>
  <bookViews>
    <workbookView xWindow="-108" yWindow="-108" windowWidth="22320" windowHeight="13176" activeTab="1" xr2:uid="{00000000-000D-0000-FFFF-FFFF00000000}"/>
  </bookViews>
  <sheets>
    <sheet name="Analysis" sheetId="1" r:id="rId1"/>
    <sheet name="Conclu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3" i="1"/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30" i="1"/>
  <c r="AG8" i="1"/>
  <c r="AG9" i="1"/>
  <c r="AG10" i="1"/>
  <c r="AG7" i="1"/>
  <c r="B19" i="1"/>
  <c r="B20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3" i="1"/>
  <c r="D134" i="1"/>
  <c r="D135" i="1" s="1"/>
  <c r="D125" i="1"/>
  <c r="D126" i="1" s="1"/>
  <c r="D127" i="1" s="1"/>
  <c r="D128" i="1" s="1"/>
  <c r="D129" i="1" s="1"/>
  <c r="D130" i="1" s="1"/>
  <c r="D131" i="1" s="1"/>
  <c r="D132" i="1" s="1"/>
  <c r="D133" i="1" s="1"/>
  <c r="D120" i="1"/>
  <c r="D121" i="1" s="1"/>
  <c r="D122" i="1" s="1"/>
  <c r="D123" i="1" s="1"/>
  <c r="D124" i="1" s="1"/>
  <c r="D118" i="1"/>
  <c r="D119" i="1" s="1"/>
  <c r="D107" i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06" i="1"/>
  <c r="D104" i="1"/>
  <c r="D105" i="1" s="1"/>
  <c r="D96" i="1"/>
  <c r="D97" i="1" s="1"/>
  <c r="D98" i="1" s="1"/>
  <c r="D99" i="1" s="1"/>
  <c r="D100" i="1" s="1"/>
  <c r="D101" i="1" s="1"/>
  <c r="D102" i="1" s="1"/>
  <c r="D103" i="1" s="1"/>
  <c r="D87" i="1"/>
  <c r="D88" i="1" s="1"/>
  <c r="D89" i="1" s="1"/>
  <c r="D90" i="1" s="1"/>
  <c r="D91" i="1" s="1"/>
  <c r="D92" i="1" s="1"/>
  <c r="D93" i="1" s="1"/>
  <c r="D94" i="1" s="1"/>
  <c r="D95" i="1" s="1"/>
  <c r="D86" i="1"/>
  <c r="D85" i="1"/>
  <c r="D81" i="1"/>
  <c r="D82" i="1" s="1"/>
  <c r="D83" i="1" s="1"/>
  <c r="D84" i="1" s="1"/>
  <c r="D79" i="1"/>
  <c r="D80" i="1" s="1"/>
  <c r="D67" i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66" i="1"/>
  <c r="D61" i="1"/>
  <c r="D62" i="1" s="1"/>
  <c r="D63" i="1" s="1"/>
  <c r="D64" i="1" s="1"/>
  <c r="D65" i="1" s="1"/>
  <c r="D57" i="1"/>
  <c r="D58" i="1"/>
  <c r="D59" i="1" s="1"/>
  <c r="D60" i="1" s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29" i="1"/>
  <c r="D30" i="1"/>
  <c r="D22" i="1"/>
  <c r="D23" i="1" s="1"/>
  <c r="D24" i="1" s="1"/>
  <c r="D25" i="1" s="1"/>
  <c r="D26" i="1" s="1"/>
  <c r="D27" i="1" s="1"/>
  <c r="D28" i="1" s="1"/>
  <c r="D21" i="1"/>
  <c r="D15" i="1"/>
  <c r="D16" i="1" s="1"/>
  <c r="D17" i="1" s="1"/>
  <c r="D18" i="1" s="1"/>
  <c r="D19" i="1" s="1"/>
  <c r="D20" i="1" s="1"/>
  <c r="D14" i="1"/>
  <c r="T5" i="1"/>
  <c r="AB7" i="1"/>
  <c r="AG6" i="1"/>
  <c r="AG4" i="1"/>
  <c r="AG5" i="1"/>
  <c r="AG3" i="1"/>
  <c r="AF7" i="1"/>
  <c r="AF8" i="1"/>
  <c r="AF9" i="1"/>
  <c r="AF10" i="1"/>
  <c r="AE4" i="1"/>
  <c r="AE5" i="1"/>
  <c r="AE6" i="1"/>
  <c r="AE7" i="1"/>
  <c r="AE8" i="1"/>
  <c r="AE9" i="1"/>
  <c r="AE10" i="1"/>
  <c r="AE3" i="1"/>
  <c r="AB8" i="1"/>
  <c r="AB9" i="1"/>
  <c r="AB10" i="1"/>
  <c r="B14" i="1"/>
  <c r="AC8" i="1"/>
  <c r="AC9" i="1"/>
  <c r="AC10" i="1"/>
  <c r="AC7" i="1"/>
  <c r="W4" i="1"/>
  <c r="AB4" i="1" s="1"/>
  <c r="W5" i="1"/>
  <c r="AB5" i="1" s="1"/>
  <c r="W6" i="1"/>
  <c r="AB6" i="1" s="1"/>
  <c r="W3" i="1"/>
  <c r="Y3" i="1" s="1"/>
  <c r="AC3" i="1" s="1"/>
  <c r="H10" i="1"/>
  <c r="L10" i="1" s="1"/>
  <c r="H9" i="1"/>
  <c r="L9" i="1" s="1"/>
  <c r="H8" i="1"/>
  <c r="L8" i="1" s="1"/>
  <c r="H7" i="1"/>
  <c r="L7" i="1" s="1"/>
  <c r="H6" i="1"/>
  <c r="L6" i="1" s="1"/>
  <c r="H5" i="1"/>
  <c r="L5" i="1" s="1"/>
  <c r="H4" i="1"/>
  <c r="L4" i="1" s="1"/>
  <c r="H3" i="1"/>
  <c r="L3" i="1" s="1"/>
  <c r="G4" i="1"/>
  <c r="J4" i="1" s="1"/>
  <c r="G5" i="1"/>
  <c r="J5" i="1" s="1"/>
  <c r="G6" i="1"/>
  <c r="J6" i="1" s="1"/>
  <c r="G7" i="1"/>
  <c r="J7" i="1" s="1"/>
  <c r="N7" i="1" s="1"/>
  <c r="S7" i="1" s="1"/>
  <c r="G8" i="1"/>
  <c r="J8" i="1" s="1"/>
  <c r="G9" i="1"/>
  <c r="J9" i="1" s="1"/>
  <c r="G10" i="1"/>
  <c r="J10" i="1" s="1"/>
  <c r="G3" i="1"/>
  <c r="J3" i="1" s="1"/>
  <c r="Q7" i="1" l="1"/>
  <c r="AB3" i="1"/>
  <c r="N3" i="1"/>
  <c r="M5" i="1"/>
  <c r="M3" i="1"/>
  <c r="M10" i="1"/>
  <c r="M9" i="1"/>
  <c r="M8" i="1"/>
  <c r="M7" i="1"/>
  <c r="M6" i="1"/>
  <c r="M4" i="1"/>
  <c r="N6" i="1"/>
  <c r="Y6" i="1"/>
  <c r="AC6" i="1" s="1"/>
  <c r="N5" i="1"/>
  <c r="Y5" i="1"/>
  <c r="AC5" i="1" s="1"/>
  <c r="Y4" i="1"/>
  <c r="AC4" i="1" s="1"/>
  <c r="N4" i="1"/>
  <c r="N9" i="1"/>
  <c r="N10" i="1"/>
  <c r="N8" i="1"/>
  <c r="S8" i="1" l="1"/>
  <c r="Q8" i="1"/>
  <c r="S6" i="1"/>
  <c r="Q6" i="1"/>
  <c r="S3" i="1"/>
  <c r="Q3" i="1"/>
  <c r="S5" i="1"/>
  <c r="Q5" i="1"/>
  <c r="S10" i="1"/>
  <c r="Q10" i="1"/>
  <c r="S9" i="1"/>
  <c r="Q9" i="1"/>
  <c r="S4" i="1"/>
  <c r="Q4" i="1"/>
  <c r="O8" i="1"/>
  <c r="P8" i="1" s="1"/>
  <c r="O9" i="1"/>
  <c r="P9" i="1" s="1"/>
  <c r="O10" i="1"/>
  <c r="P10" i="1" s="1"/>
  <c r="O5" i="1"/>
  <c r="P5" i="1" s="1"/>
  <c r="O7" i="1"/>
  <c r="P7" i="1" s="1"/>
  <c r="O3" i="1"/>
  <c r="P3" i="1" s="1"/>
  <c r="R3" i="1" s="1"/>
  <c r="T3" i="1" s="1"/>
  <c r="O4" i="1"/>
  <c r="P4" i="1" s="1"/>
  <c r="O6" i="1"/>
  <c r="P6" i="1" s="1"/>
  <c r="R7" i="1" l="1"/>
  <c r="T7" i="1" s="1"/>
  <c r="AD7" i="1"/>
  <c r="R6" i="1"/>
  <c r="T6" i="1" s="1"/>
  <c r="AD6" i="1"/>
  <c r="AF6" i="1" s="1"/>
  <c r="R8" i="1"/>
  <c r="T8" i="1" s="1"/>
  <c r="AD8" i="1"/>
  <c r="R5" i="1"/>
  <c r="AD5" i="1"/>
  <c r="AF5" i="1" s="1"/>
  <c r="R10" i="1"/>
  <c r="T10" i="1" s="1"/>
  <c r="AD10" i="1"/>
  <c r="R4" i="1"/>
  <c r="T4" i="1" s="1"/>
  <c r="AD4" i="1"/>
  <c r="AF4" i="1" s="1"/>
  <c r="R9" i="1"/>
  <c r="T9" i="1" s="1"/>
  <c r="AD9" i="1"/>
  <c r="AD3" i="1"/>
  <c r="AF3" i="1" s="1"/>
</calcChain>
</file>

<file path=xl/sharedStrings.xml><?xml version="1.0" encoding="utf-8"?>
<sst xmlns="http://schemas.openxmlformats.org/spreadsheetml/2006/main" count="89" uniqueCount="64">
  <si>
    <t>Flow Regime</t>
  </si>
  <si>
    <t>Laminar 1</t>
  </si>
  <si>
    <t>Laminar 2</t>
  </si>
  <si>
    <t>Laminar 3</t>
  </si>
  <si>
    <t>Laminar 4</t>
  </si>
  <si>
    <t>Turbulent 1</t>
  </si>
  <si>
    <t>Turbulent 2</t>
  </si>
  <si>
    <t>Turbulent 3</t>
  </si>
  <si>
    <t>Turbulent 4</t>
  </si>
  <si>
    <t>Title</t>
  </si>
  <si>
    <t>Units</t>
  </si>
  <si>
    <t>None</t>
  </si>
  <si>
    <t>s</t>
  </si>
  <si>
    <t>ml</t>
  </si>
  <si>
    <t>m^3/s</t>
  </si>
  <si>
    <t>ml/s</t>
  </si>
  <si>
    <t>%</t>
  </si>
  <si>
    <t>δt</t>
  </si>
  <si>
    <t>δt/t</t>
  </si>
  <si>
    <t>δV</t>
  </si>
  <si>
    <t>δV/V</t>
  </si>
  <si>
    <t>t1</t>
  </si>
  <si>
    <t>V1</t>
  </si>
  <si>
    <t>t2</t>
  </si>
  <si>
    <t>V2</t>
  </si>
  <si>
    <t>Q</t>
  </si>
  <si>
    <t>δQ/Q</t>
  </si>
  <si>
    <t>Q_avg</t>
  </si>
  <si>
    <t>t_avg</t>
  </si>
  <si>
    <t>V_avg</t>
  </si>
  <si>
    <t>Re</t>
  </si>
  <si>
    <t>z1</t>
  </si>
  <si>
    <t>z2</t>
  </si>
  <si>
    <t>Δz</t>
  </si>
  <si>
    <t>Δp</t>
  </si>
  <si>
    <t>cm</t>
  </si>
  <si>
    <t>Pa</t>
  </si>
  <si>
    <t>bar</t>
  </si>
  <si>
    <t>δz</t>
  </si>
  <si>
    <t>δz/Δz</t>
  </si>
  <si>
    <t>δΔp/Δp</t>
  </si>
  <si>
    <t>δΔp</t>
  </si>
  <si>
    <t>Constants</t>
  </si>
  <si>
    <t>Pipe diam</t>
  </si>
  <si>
    <t>Pipe area</t>
  </si>
  <si>
    <t>Pipe Length</t>
  </si>
  <si>
    <t>Viscosity</t>
  </si>
  <si>
    <t>Density</t>
  </si>
  <si>
    <t>u_bar</t>
  </si>
  <si>
    <t>m/s</t>
  </si>
  <si>
    <t>Value (std units)</t>
  </si>
  <si>
    <t>δRe</t>
  </si>
  <si>
    <t>δRe/Re</t>
  </si>
  <si>
    <t>Gravity</t>
  </si>
  <si>
    <t>δu_bar/u_bar</t>
  </si>
  <si>
    <t>cf</t>
  </si>
  <si>
    <t>cf (predicted)</t>
  </si>
  <si>
    <t>δcf/cf</t>
  </si>
  <si>
    <t>δcf</t>
  </si>
  <si>
    <t>Roughness k</t>
  </si>
  <si>
    <t>Laminar</t>
  </si>
  <si>
    <t>Cf Predicted</t>
  </si>
  <si>
    <t>k/D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</si>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</sst>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2" formatCode="0.0"/>
    <numFmt numFmtId="173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0" xfId="0" applyBorder="1"/>
    <xf numFmtId="17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5" xfId="0" applyNumberFormat="1" applyBorder="1"/>
    <xf numFmtId="0" fontId="0" fillId="0" borderId="5" xfId="0" applyNumberFormat="1" applyBorder="1"/>
    <xf numFmtId="0" fontId="0" fillId="0" borderId="8" xfId="0" applyBorder="1"/>
    <xf numFmtId="0" fontId="0" fillId="0" borderId="9" xfId="0" applyBorder="1"/>
    <xf numFmtId="169" fontId="0" fillId="0" borderId="0" xfId="0" applyNumberFormat="1" applyBorder="1"/>
    <xf numFmtId="2" fontId="0" fillId="0" borderId="0" xfId="0" applyNumberFormat="1" applyBorder="1"/>
    <xf numFmtId="11" fontId="0" fillId="0" borderId="0" xfId="0" applyNumberFormat="1" applyBorder="1"/>
    <xf numFmtId="172" fontId="0" fillId="0" borderId="0" xfId="0" applyNumberFormat="1" applyBorder="1"/>
    <xf numFmtId="173" fontId="0" fillId="0" borderId="0" xfId="0" applyNumberFormat="1" applyBorder="1"/>
    <xf numFmtId="0" fontId="0" fillId="0" borderId="11" xfId="0" applyBorder="1"/>
    <xf numFmtId="169" fontId="0" fillId="0" borderId="11" xfId="0" applyNumberFormat="1" applyBorder="1"/>
    <xf numFmtId="2" fontId="0" fillId="0" borderId="11" xfId="0" applyNumberFormat="1" applyBorder="1"/>
    <xf numFmtId="11" fontId="0" fillId="0" borderId="11" xfId="0" applyNumberFormat="1" applyBorder="1"/>
    <xf numFmtId="173" fontId="0" fillId="0" borderId="11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172" fontId="0" fillId="0" borderId="5" xfId="0" applyNumberFormat="1" applyBorder="1"/>
    <xf numFmtId="172" fontId="0" fillId="0" borderId="7" xfId="0" applyNumberFormat="1" applyBorder="1"/>
    <xf numFmtId="1" fontId="0" fillId="0" borderId="0" xfId="0" applyNumberFormat="1" applyBorder="1"/>
    <xf numFmtId="1" fontId="0" fillId="0" borderId="1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eorgia" panose="02040502050405020303" pitchFamily="18" charset="0"/>
              </a:rPr>
              <a:t>Reynold's</a:t>
            </a:r>
            <a:r>
              <a:rPr lang="en-US" baseline="0">
                <a:latin typeface="Georgia" panose="02040502050405020303" pitchFamily="18" charset="0"/>
              </a:rPr>
              <a:t> Number vs. Coefficient of Friction</a:t>
            </a:r>
            <a:endParaRPr lang="en-US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Laminar Flow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Analysis!$T$3:$T$6</c:f>
                <c:numCache>
                  <c:formatCode>General</c:formatCode>
                  <c:ptCount val="4"/>
                  <c:pt idx="0">
                    <c:v>30.208977018387095</c:v>
                  </c:pt>
                  <c:pt idx="1">
                    <c:v>24.462704215976501</c:v>
                  </c:pt>
                  <c:pt idx="2">
                    <c:v>50.567200661213185</c:v>
                  </c:pt>
                  <c:pt idx="3">
                    <c:v>56.149294240697749</c:v>
                  </c:pt>
                </c:numCache>
              </c:numRef>
            </c:plus>
            <c:minus>
              <c:numRef>
                <c:f>Analysis!$T$3:$T$6</c:f>
                <c:numCache>
                  <c:formatCode>General</c:formatCode>
                  <c:ptCount val="4"/>
                  <c:pt idx="0">
                    <c:v>30.208977018387095</c:v>
                  </c:pt>
                  <c:pt idx="1">
                    <c:v>24.462704215976501</c:v>
                  </c:pt>
                  <c:pt idx="2">
                    <c:v>50.567200661213185</c:v>
                  </c:pt>
                  <c:pt idx="3">
                    <c:v>56.149294240697749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Analysis!$AF$3:$AF$6</c:f>
                <c:numCache>
                  <c:formatCode>General</c:formatCode>
                  <c:ptCount val="4"/>
                  <c:pt idx="0">
                    <c:v>3.5336573348161383E-3</c:v>
                  </c:pt>
                  <c:pt idx="1">
                    <c:v>1.2223638345444307E-3</c:v>
                  </c:pt>
                  <c:pt idx="2">
                    <c:v>1.4431549679408896E-3</c:v>
                  </c:pt>
                  <c:pt idx="3">
                    <c:v>8.1484718208514996E-4</c:v>
                  </c:pt>
                </c:numCache>
              </c:numRef>
            </c:plus>
            <c:minus>
              <c:numRef>
                <c:f>Analysis!$AF$3:$AF$6</c:f>
                <c:numCache>
                  <c:formatCode>General</c:formatCode>
                  <c:ptCount val="4"/>
                  <c:pt idx="0">
                    <c:v>3.5336573348161383E-3</c:v>
                  </c:pt>
                  <c:pt idx="1">
                    <c:v>1.2223638345444307E-3</c:v>
                  </c:pt>
                  <c:pt idx="2">
                    <c:v>1.4431549679408896E-3</c:v>
                  </c:pt>
                  <c:pt idx="3">
                    <c:v>8.1484718208514996E-4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Analysis!$R$3:$R$6</c:f>
              <c:numCache>
                <c:formatCode>0</c:formatCode>
                <c:ptCount val="4"/>
                <c:pt idx="0">
                  <c:v>709.25424304039268</c:v>
                </c:pt>
                <c:pt idx="1">
                  <c:v>1142.687391565077</c:v>
                </c:pt>
                <c:pt idx="2">
                  <c:v>1339.7024590762974</c:v>
                </c:pt>
                <c:pt idx="3">
                  <c:v>2009.5536886144459</c:v>
                </c:pt>
              </c:numCache>
            </c:numRef>
          </c:xVal>
          <c:yVal>
            <c:numRef>
              <c:f>Analysis!$AD$3:$AD$6</c:f>
              <c:numCache>
                <c:formatCode>0.0E+00</c:formatCode>
                <c:ptCount val="4"/>
                <c:pt idx="0">
                  <c:v>2.2302070566769194E-2</c:v>
                </c:pt>
                <c:pt idx="1">
                  <c:v>1.384790991013933E-2</c:v>
                </c:pt>
                <c:pt idx="2">
                  <c:v>1.3051023461826617E-2</c:v>
                </c:pt>
                <c:pt idx="3">
                  <c:v>1.0939454363714319E-2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89-4661-97C0-F52D34A0F72A}"/>
            </c:ext>
          </c:extLst>
        </c:ser>
        <c:ser>
          <c:idx val="1"/>
          <c:order val="1"/>
          <c:tx>
            <c:v>Turbulent Flow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Analysis!$T$7:$T$10</c:f>
                <c:numCache>
                  <c:formatCode>General</c:formatCode>
                  <c:ptCount val="4"/>
                  <c:pt idx="0">
                    <c:v>270.56735938207567</c:v>
                  </c:pt>
                  <c:pt idx="1">
                    <c:v>285.01513099956514</c:v>
                  </c:pt>
                  <c:pt idx="2">
                    <c:v>290.26886613319766</c:v>
                  </c:pt>
                  <c:pt idx="3">
                    <c:v>339.97310823423783</c:v>
                  </c:pt>
                </c:numCache>
              </c:numRef>
            </c:plus>
            <c:minus>
              <c:numRef>
                <c:f>Analysis!$T$7:$T$10</c:f>
                <c:numCache>
                  <c:formatCode>General</c:formatCode>
                  <c:ptCount val="4"/>
                  <c:pt idx="0">
                    <c:v>270.56735938207567</c:v>
                  </c:pt>
                  <c:pt idx="1">
                    <c:v>285.01513099956514</c:v>
                  </c:pt>
                  <c:pt idx="2">
                    <c:v>290.26886613319766</c:v>
                  </c:pt>
                  <c:pt idx="3">
                    <c:v>339.97310823423783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Analysis!$AF$7:$AF$10</c:f>
                <c:numCache>
                  <c:formatCode>General</c:formatCode>
                  <c:ptCount val="4"/>
                  <c:pt idx="0">
                    <c:v>9.1425735308782658E-4</c:v>
                  </c:pt>
                  <c:pt idx="1">
                    <c:v>7.8804047775441594E-4</c:v>
                  </c:pt>
                  <c:pt idx="2">
                    <c:v>8.1069138830577121E-4</c:v>
                  </c:pt>
                  <c:pt idx="3">
                    <c:v>6.7815938279663717E-4</c:v>
                  </c:pt>
                </c:numCache>
              </c:numRef>
            </c:plus>
            <c:minus>
              <c:numRef>
                <c:f>Analysis!$AF$7:$AF$10</c:f>
                <c:numCache>
                  <c:formatCode>General</c:formatCode>
                  <c:ptCount val="4"/>
                  <c:pt idx="0">
                    <c:v>9.1425735308782658E-4</c:v>
                  </c:pt>
                  <c:pt idx="1">
                    <c:v>7.8804047775441594E-4</c:v>
                  </c:pt>
                  <c:pt idx="2">
                    <c:v>8.1069138830577121E-4</c:v>
                  </c:pt>
                  <c:pt idx="3">
                    <c:v>6.7815938279663717E-4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Analysis!$R$7:$R$10</c:f>
              <c:numCache>
                <c:formatCode>0</c:formatCode>
                <c:ptCount val="4"/>
                <c:pt idx="0">
                  <c:v>6777.3183223859742</c:v>
                </c:pt>
                <c:pt idx="1">
                  <c:v>7644.184619435342</c:v>
                </c:pt>
                <c:pt idx="2">
                  <c:v>7959.408727453294</c:v>
                </c:pt>
                <c:pt idx="3">
                  <c:v>9241.7977123445107</c:v>
                </c:pt>
              </c:numCache>
            </c:numRef>
          </c:xVal>
          <c:yVal>
            <c:numRef>
              <c:f>Analysis!$AD$7:$AD$10</c:f>
              <c:numCache>
                <c:formatCode>0.0E+00</c:formatCode>
                <c:ptCount val="4"/>
                <c:pt idx="0">
                  <c:v>9.1567700736280774E-3</c:v>
                </c:pt>
                <c:pt idx="1">
                  <c:v>8.6372798126755201E-3</c:v>
                </c:pt>
                <c:pt idx="2">
                  <c:v>9.2944672140353544E-3</c:v>
                </c:pt>
                <c:pt idx="3">
                  <c:v>7.8788919389084291E-3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389-4661-97C0-F52D34A0F72A}"/>
            </c:ext>
          </c:extLst>
        </c:ser>
        <c:ser>
          <c:idx val="2"/>
          <c:order val="2"/>
          <c:tx>
            <c:v>Laminar Predicted</c:v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Analysis!$D$13:$D$29</c:f>
              <c:numCache>
                <c:formatCode>General</c:formatCode>
                <c:ptCount val="1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1200</c:v>
                </c:pt>
                <c:pt idx="9">
                  <c:v>1400</c:v>
                </c:pt>
                <c:pt idx="10">
                  <c:v>1600</c:v>
                </c:pt>
                <c:pt idx="11">
                  <c:v>1800</c:v>
                </c:pt>
                <c:pt idx="12">
                  <c:v>2000</c:v>
                </c:pt>
                <c:pt idx="13">
                  <c:v>2200</c:v>
                </c:pt>
                <c:pt idx="14">
                  <c:v>2400</c:v>
                </c:pt>
                <c:pt idx="15">
                  <c:v>2600</c:v>
                </c:pt>
                <c:pt idx="16">
                  <c:v>2800</c:v>
                </c:pt>
              </c:numCache>
            </c:numRef>
          </c:xVal>
          <c:yVal>
            <c:numRef>
              <c:f>Analysis!$E$13:$E$29</c:f>
              <c:numCache>
                <c:formatCode>General</c:formatCode>
                <c:ptCount val="17"/>
                <c:pt idx="0">
                  <c:v>5.3333333333333337E-2</c:v>
                </c:pt>
                <c:pt idx="1">
                  <c:v>0.04</c:v>
                </c:pt>
                <c:pt idx="2">
                  <c:v>3.2000000000000001E-2</c:v>
                </c:pt>
                <c:pt idx="3">
                  <c:v>2.6666666666666668E-2</c:v>
                </c:pt>
                <c:pt idx="4">
                  <c:v>2.2857142857142857E-2</c:v>
                </c:pt>
                <c:pt idx="5">
                  <c:v>0.02</c:v>
                </c:pt>
                <c:pt idx="6">
                  <c:v>1.7777777777777778E-2</c:v>
                </c:pt>
                <c:pt idx="7">
                  <c:v>1.6E-2</c:v>
                </c:pt>
                <c:pt idx="8">
                  <c:v>1.3333333333333334E-2</c:v>
                </c:pt>
                <c:pt idx="9">
                  <c:v>1.1428571428571429E-2</c:v>
                </c:pt>
                <c:pt idx="10">
                  <c:v>0.01</c:v>
                </c:pt>
                <c:pt idx="11">
                  <c:v>8.8888888888888889E-3</c:v>
                </c:pt>
                <c:pt idx="12">
                  <c:v>8.0000000000000002E-3</c:v>
                </c:pt>
                <c:pt idx="13">
                  <c:v>7.2727272727272727E-3</c:v>
                </c:pt>
                <c:pt idx="14">
                  <c:v>6.6666666666666671E-3</c:v>
                </c:pt>
                <c:pt idx="15">
                  <c:v>6.1538461538461538E-3</c:v>
                </c:pt>
                <c:pt idx="16">
                  <c:v>5.7142857142857143E-3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89-4661-97C0-F52D34A0F72A}"/>
            </c:ext>
          </c:extLst>
        </c:ser>
        <c:ser>
          <c:idx val="3"/>
          <c:order val="3"/>
          <c:tx>
            <c:v>Turbulent Predicted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Analysis!$D$30:$D$135</c:f>
              <c:numCache>
                <c:formatCode>General</c:formatCode>
                <c:ptCount val="106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  <c:pt idx="19">
                  <c:v>6800</c:v>
                </c:pt>
                <c:pt idx="20">
                  <c:v>7000</c:v>
                </c:pt>
                <c:pt idx="21">
                  <c:v>7200</c:v>
                </c:pt>
                <c:pt idx="22">
                  <c:v>7400</c:v>
                </c:pt>
                <c:pt idx="23">
                  <c:v>7600</c:v>
                </c:pt>
                <c:pt idx="24">
                  <c:v>7800</c:v>
                </c:pt>
                <c:pt idx="25">
                  <c:v>8000</c:v>
                </c:pt>
                <c:pt idx="26">
                  <c:v>8200</c:v>
                </c:pt>
                <c:pt idx="27">
                  <c:v>8400</c:v>
                </c:pt>
                <c:pt idx="28">
                  <c:v>8600</c:v>
                </c:pt>
                <c:pt idx="29">
                  <c:v>8800</c:v>
                </c:pt>
                <c:pt idx="30">
                  <c:v>9000</c:v>
                </c:pt>
                <c:pt idx="31">
                  <c:v>9200</c:v>
                </c:pt>
                <c:pt idx="32">
                  <c:v>9400</c:v>
                </c:pt>
                <c:pt idx="33">
                  <c:v>9600</c:v>
                </c:pt>
                <c:pt idx="34">
                  <c:v>9800</c:v>
                </c:pt>
                <c:pt idx="35">
                  <c:v>10000</c:v>
                </c:pt>
                <c:pt idx="36">
                  <c:v>10500</c:v>
                </c:pt>
                <c:pt idx="37">
                  <c:v>11000</c:v>
                </c:pt>
                <c:pt idx="38">
                  <c:v>11500</c:v>
                </c:pt>
                <c:pt idx="39">
                  <c:v>12000</c:v>
                </c:pt>
                <c:pt idx="40">
                  <c:v>12500</c:v>
                </c:pt>
                <c:pt idx="41">
                  <c:v>13000</c:v>
                </c:pt>
                <c:pt idx="42">
                  <c:v>13500</c:v>
                </c:pt>
                <c:pt idx="43">
                  <c:v>14000</c:v>
                </c:pt>
                <c:pt idx="44">
                  <c:v>14500</c:v>
                </c:pt>
                <c:pt idx="45">
                  <c:v>15000</c:v>
                </c:pt>
                <c:pt idx="46">
                  <c:v>15500</c:v>
                </c:pt>
                <c:pt idx="47">
                  <c:v>16000</c:v>
                </c:pt>
                <c:pt idx="48">
                  <c:v>16500</c:v>
                </c:pt>
                <c:pt idx="49">
                  <c:v>17000</c:v>
                </c:pt>
                <c:pt idx="50">
                  <c:v>17500</c:v>
                </c:pt>
                <c:pt idx="51">
                  <c:v>18000</c:v>
                </c:pt>
                <c:pt idx="52">
                  <c:v>18500</c:v>
                </c:pt>
                <c:pt idx="53">
                  <c:v>19000</c:v>
                </c:pt>
                <c:pt idx="54">
                  <c:v>19500</c:v>
                </c:pt>
                <c:pt idx="55">
                  <c:v>20000</c:v>
                </c:pt>
                <c:pt idx="56">
                  <c:v>21000</c:v>
                </c:pt>
                <c:pt idx="57">
                  <c:v>22000</c:v>
                </c:pt>
                <c:pt idx="58">
                  <c:v>23000</c:v>
                </c:pt>
                <c:pt idx="59">
                  <c:v>24000</c:v>
                </c:pt>
                <c:pt idx="60">
                  <c:v>25000</c:v>
                </c:pt>
                <c:pt idx="61">
                  <c:v>26000</c:v>
                </c:pt>
                <c:pt idx="62">
                  <c:v>27000</c:v>
                </c:pt>
                <c:pt idx="63">
                  <c:v>28000</c:v>
                </c:pt>
                <c:pt idx="64">
                  <c:v>29000</c:v>
                </c:pt>
                <c:pt idx="65">
                  <c:v>30000</c:v>
                </c:pt>
                <c:pt idx="66">
                  <c:v>31000</c:v>
                </c:pt>
                <c:pt idx="67">
                  <c:v>32000</c:v>
                </c:pt>
                <c:pt idx="68">
                  <c:v>33000</c:v>
                </c:pt>
                <c:pt idx="69">
                  <c:v>34000</c:v>
                </c:pt>
                <c:pt idx="70">
                  <c:v>35000</c:v>
                </c:pt>
                <c:pt idx="71">
                  <c:v>36000</c:v>
                </c:pt>
                <c:pt idx="72">
                  <c:v>37000</c:v>
                </c:pt>
                <c:pt idx="73">
                  <c:v>38000</c:v>
                </c:pt>
                <c:pt idx="74">
                  <c:v>39000</c:v>
                </c:pt>
                <c:pt idx="75">
                  <c:v>40000</c:v>
                </c:pt>
                <c:pt idx="76">
                  <c:v>42000</c:v>
                </c:pt>
                <c:pt idx="77">
                  <c:v>44000</c:v>
                </c:pt>
                <c:pt idx="78">
                  <c:v>46000</c:v>
                </c:pt>
                <c:pt idx="79">
                  <c:v>48000</c:v>
                </c:pt>
                <c:pt idx="80">
                  <c:v>50000</c:v>
                </c:pt>
                <c:pt idx="81">
                  <c:v>52000</c:v>
                </c:pt>
                <c:pt idx="82">
                  <c:v>54000</c:v>
                </c:pt>
                <c:pt idx="83">
                  <c:v>56000</c:v>
                </c:pt>
                <c:pt idx="84">
                  <c:v>58000</c:v>
                </c:pt>
                <c:pt idx="85">
                  <c:v>60000</c:v>
                </c:pt>
                <c:pt idx="86">
                  <c:v>62000</c:v>
                </c:pt>
                <c:pt idx="87">
                  <c:v>64000</c:v>
                </c:pt>
                <c:pt idx="88">
                  <c:v>66000</c:v>
                </c:pt>
                <c:pt idx="89">
                  <c:v>68000</c:v>
                </c:pt>
                <c:pt idx="90">
                  <c:v>70000</c:v>
                </c:pt>
                <c:pt idx="91">
                  <c:v>72000</c:v>
                </c:pt>
                <c:pt idx="92">
                  <c:v>74000</c:v>
                </c:pt>
                <c:pt idx="93">
                  <c:v>76000</c:v>
                </c:pt>
                <c:pt idx="94">
                  <c:v>78000</c:v>
                </c:pt>
                <c:pt idx="95">
                  <c:v>80000</c:v>
                </c:pt>
                <c:pt idx="96">
                  <c:v>82000</c:v>
                </c:pt>
                <c:pt idx="97">
                  <c:v>84000</c:v>
                </c:pt>
                <c:pt idx="98">
                  <c:v>86000</c:v>
                </c:pt>
                <c:pt idx="99">
                  <c:v>88000</c:v>
                </c:pt>
                <c:pt idx="100">
                  <c:v>90000</c:v>
                </c:pt>
                <c:pt idx="101">
                  <c:v>92000</c:v>
                </c:pt>
                <c:pt idx="102">
                  <c:v>94000</c:v>
                </c:pt>
                <c:pt idx="103">
                  <c:v>96000</c:v>
                </c:pt>
                <c:pt idx="104">
                  <c:v>98000</c:v>
                </c:pt>
                <c:pt idx="105">
                  <c:v>100000</c:v>
                </c:pt>
              </c:numCache>
            </c:numRef>
          </c:xVal>
          <c:yVal>
            <c:numRef>
              <c:f>Analysis!$E$30:$E$135</c:f>
              <c:numCache>
                <c:formatCode>General</c:formatCode>
                <c:ptCount val="106"/>
                <c:pt idx="0">
                  <c:v>1.1043128238560636E-2</c:v>
                </c:pt>
                <c:pt idx="1">
                  <c:v>1.0843584393511805E-2</c:v>
                </c:pt>
                <c:pt idx="2">
                  <c:v>1.0660248956536021E-2</c:v>
                </c:pt>
                <c:pt idx="3">
                  <c:v>1.0490974643118678E-2</c:v>
                </c:pt>
                <c:pt idx="4">
                  <c:v>1.0333998254103024E-2</c:v>
                </c:pt>
                <c:pt idx="5">
                  <c:v>1.0187855932426671E-2</c:v>
                </c:pt>
                <c:pt idx="6">
                  <c:v>1.0051320316547419E-2</c:v>
                </c:pt>
                <c:pt idx="7">
                  <c:v>9.9233531820886994E-3</c:v>
                </c:pt>
                <c:pt idx="8">
                  <c:v>9.803069239134406E-3</c:v>
                </c:pt>
                <c:pt idx="9">
                  <c:v>9.6897080966335102E-3</c:v>
                </c:pt>
                <c:pt idx="10">
                  <c:v>9.5826122948131174E-3</c:v>
                </c:pt>
                <c:pt idx="11">
                  <c:v>9.4812099068462014E-3</c:v>
                </c:pt>
                <c:pt idx="12">
                  <c:v>9.3850006235692042E-3</c:v>
                </c:pt>
                <c:pt idx="13">
                  <c:v>9.2935445232141586E-3</c:v>
                </c:pt>
                <c:pt idx="14">
                  <c:v>9.2064529324439367E-3</c:v>
                </c:pt>
                <c:pt idx="15">
                  <c:v>9.1233809318600288E-3</c:v>
                </c:pt>
                <c:pt idx="16">
                  <c:v>9.0440211660876135E-3</c:v>
                </c:pt>
                <c:pt idx="17">
                  <c:v>8.968098697315241E-3</c:v>
                </c:pt>
                <c:pt idx="18">
                  <c:v>8.8953666998291669E-3</c:v>
                </c:pt>
                <c:pt idx="19">
                  <c:v>8.8256028372142459E-3</c:v>
                </c:pt>
                <c:pt idx="20">
                  <c:v>8.7586061974090964E-3</c:v>
                </c:pt>
                <c:pt idx="21">
                  <c:v>8.6941946864834019E-3</c:v>
                </c:pt>
                <c:pt idx="22">
                  <c:v>8.6322028018445893E-3</c:v>
                </c:pt>
                <c:pt idx="23">
                  <c:v>8.5724797210291782E-3</c:v>
                </c:pt>
                <c:pt idx="24">
                  <c:v>8.5148876543501874E-3</c:v>
                </c:pt>
                <c:pt idx="25">
                  <c:v>8.4593004192415246E-3</c:v>
                </c:pt>
                <c:pt idx="26">
                  <c:v>8.4056022017475335E-3</c:v>
                </c:pt>
                <c:pt idx="27">
                  <c:v>8.3536864766908143E-3</c:v>
                </c:pt>
                <c:pt idx="28">
                  <c:v>8.3034550629472147E-3</c:v>
                </c:pt>
                <c:pt idx="29">
                  <c:v>8.2548172942179445E-3</c:v>
                </c:pt>
                <c:pt idx="30">
                  <c:v>8.2076892889101621E-3</c:v>
                </c:pt>
                <c:pt idx="31">
                  <c:v>8.1619933053709622E-3</c:v>
                </c:pt>
                <c:pt idx="32">
                  <c:v>8.117657170882326E-3</c:v>
                </c:pt>
                <c:pt idx="33">
                  <c:v>8.074613774609345E-3</c:v>
                </c:pt>
                <c:pt idx="34">
                  <c:v>8.032800616172649E-3</c:v>
                </c:pt>
                <c:pt idx="35">
                  <c:v>7.992159402746642E-3</c:v>
                </c:pt>
                <c:pt idx="36">
                  <c:v>7.8953349286131399E-3</c:v>
                </c:pt>
                <c:pt idx="37">
                  <c:v>7.8047443472078464E-3</c:v>
                </c:pt>
                <c:pt idx="38">
                  <c:v>7.7197397286567068E-3</c:v>
                </c:pt>
                <c:pt idx="39">
                  <c:v>7.6397647466770972E-3</c:v>
                </c:pt>
                <c:pt idx="40">
                  <c:v>7.5643385502488858E-3</c:v>
                </c:pt>
                <c:pt idx="41">
                  <c:v>7.4930429920904281E-3</c:v>
                </c:pt>
                <c:pt idx="42">
                  <c:v>7.4255124156197578E-3</c:v>
                </c:pt>
                <c:pt idx="43">
                  <c:v>7.361425413939744E-3</c:v>
                </c:pt>
                <c:pt idx="44">
                  <c:v>7.3004981245882363E-3</c:v>
                </c:pt>
                <c:pt idx="45">
                  <c:v>7.2424787317586364E-3</c:v>
                </c:pt>
                <c:pt idx="46">
                  <c:v>7.1871429262914364E-3</c:v>
                </c:pt>
                <c:pt idx="47">
                  <c:v>7.1342901316277969E-3</c:v>
                </c:pt>
                <c:pt idx="48">
                  <c:v>7.0837403470238383E-3</c:v>
                </c:pt>
                <c:pt idx="49">
                  <c:v>7.0353314917509149E-3</c:v>
                </c:pt>
                <c:pt idx="50">
                  <c:v>6.98891715863122E-3</c:v>
                </c:pt>
                <c:pt idx="51">
                  <c:v>6.9443647041230998E-3</c:v>
                </c:pt>
                <c:pt idx="52">
                  <c:v>6.9015536167440113E-3</c:v>
                </c:pt>
                <c:pt idx="53">
                  <c:v>6.8603741169649861E-3</c:v>
                </c:pt>
                <c:pt idx="54">
                  <c:v>6.820725950609033E-3</c:v>
                </c:pt>
                <c:pt idx="55">
                  <c:v>6.7825173448130306E-3</c:v>
                </c:pt>
                <c:pt idx="56">
                  <c:v>6.7100888053647683E-3</c:v>
                </c:pt>
                <c:pt idx="57">
                  <c:v>6.6424922550981915E-3</c:v>
                </c:pt>
                <c:pt idx="58">
                  <c:v>6.5792198040515986E-3</c:v>
                </c:pt>
                <c:pt idx="59">
                  <c:v>6.5198356722989612E-3</c:v>
                </c:pt>
                <c:pt idx="60">
                  <c:v>6.4639634681237339E-3</c:v>
                </c:pt>
                <c:pt idx="61">
                  <c:v>6.4112761170805428E-3</c:v>
                </c:pt>
                <c:pt idx="62">
                  <c:v>6.3614878110271975E-3</c:v>
                </c:pt>
                <c:pt idx="63">
                  <c:v>6.3143475137330532E-3</c:v>
                </c:pt>
                <c:pt idx="64">
                  <c:v>6.2696336784201709E-3</c:v>
                </c:pt>
                <c:pt idx="65">
                  <c:v>6.227149917936302E-3</c:v>
                </c:pt>
                <c:pt idx="66">
                  <c:v>6.1867214303755113E-3</c:v>
                </c:pt>
                <c:pt idx="67">
                  <c:v>6.1481920287077161E-3</c:v>
                </c:pt>
                <c:pt idx="68">
                  <c:v>6.1114216570365516E-3</c:v>
                </c:pt>
                <c:pt idx="69">
                  <c:v>6.0762843017200061E-3</c:v>
                </c:pt>
                <c:pt idx="70">
                  <c:v>6.042666225036528E-3</c:v>
                </c:pt>
                <c:pt idx="71">
                  <c:v>6.0104644639765179E-3</c:v>
                </c:pt>
                <c:pt idx="72">
                  <c:v>5.9795855482453458E-3</c:v>
                </c:pt>
                <c:pt idx="73">
                  <c:v>5.9499444005206726E-3</c:v>
                </c:pt>
                <c:pt idx="74">
                  <c:v>5.9214633890300634E-3</c:v>
                </c:pt>
                <c:pt idx="75">
                  <c:v>5.8940715080602526E-3</c:v>
                </c:pt>
                <c:pt idx="76">
                  <c:v>5.8423000673756406E-3</c:v>
                </c:pt>
                <c:pt idx="77">
                  <c:v>5.7941696960423393E-3</c:v>
                </c:pt>
                <c:pt idx="78">
                  <c:v>5.7492888962963591E-3</c:v>
                </c:pt>
                <c:pt idx="79">
                  <c:v>5.7073223297004223E-3</c:v>
                </c:pt>
                <c:pt idx="80">
                  <c:v>5.6679808582163239E-3</c:v>
                </c:pt>
                <c:pt idx="81">
                  <c:v>5.6310136664715696E-3</c:v>
                </c:pt>
                <c:pt idx="82">
                  <c:v>5.5962019689919018E-3</c:v>
                </c:pt>
                <c:pt idx="83">
                  <c:v>5.5633539380950071E-3</c:v>
                </c:pt>
                <c:pt idx="84">
                  <c:v>5.5323005816210694E-3</c:v>
                </c:pt>
                <c:pt idx="85">
                  <c:v>5.5028923668325909E-3</c:v>
                </c:pt>
                <c:pt idx="86">
                  <c:v>5.4749964356774873E-3</c:v>
                </c:pt>
                <c:pt idx="87">
                  <c:v>5.4484942925795525E-3</c:v>
                </c:pt>
                <c:pt idx="88">
                  <c:v>5.4232798726902409E-3</c:v>
                </c:pt>
                <c:pt idx="89">
                  <c:v>5.399257918661457E-3</c:v>
                </c:pt>
                <c:pt idx="90">
                  <c:v>5.3763426092734521E-3</c:v>
                </c:pt>
                <c:pt idx="91">
                  <c:v>5.3544563949473756E-3</c:v>
                </c:pt>
                <c:pt idx="92">
                  <c:v>5.333529004201666E-3</c:v>
                </c:pt>
                <c:pt idx="93">
                  <c:v>5.3134965921373435E-3</c:v>
                </c:pt>
                <c:pt idx="94">
                  <c:v>5.2943010075443622E-3</c:v>
                </c:pt>
                <c:pt idx="95">
                  <c:v>5.2758891595674571E-3</c:v>
                </c:pt>
                <c:pt idx="96">
                  <c:v>5.2582124683228839E-3</c:v>
                </c:pt>
                <c:pt idx="97">
                  <c:v>5.2412263866172563E-3</c:v>
                </c:pt>
                <c:pt idx="98">
                  <c:v>5.2248899821387956E-3</c:v>
                </c:pt>
                <c:pt idx="99">
                  <c:v>5.2091655712852474E-3</c:v>
                </c:pt>
                <c:pt idx="100">
                  <c:v>5.1940183972508606E-3</c:v>
                </c:pt>
                <c:pt idx="101">
                  <c:v>5.1794163461857928E-3</c:v>
                </c:pt>
                <c:pt idx="102">
                  <c:v>5.1653296962188263E-3</c:v>
                </c:pt>
                <c:pt idx="103">
                  <c:v>5.151730894940156E-3</c:v>
                </c:pt>
                <c:pt idx="104">
                  <c:v>5.1385943616084175E-3</c:v>
                </c:pt>
                <c:pt idx="105">
                  <c:v>5.1258963109009703E-3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389-4661-97C0-F52D34A0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09903"/>
        <c:axId val="474412399"/>
      </c:scatterChart>
      <c:valAx>
        <c:axId val="474409903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eorgia" panose="02040502050405020303" pitchFamily="18" charset="0"/>
                  </a:rPr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474412399"/>
        <c:crossesAt val="1.0000000000000002E-3"/>
        <c:crossBetween val="midCat"/>
      </c:valAx>
      <c:valAx>
        <c:axId val="474412399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Georgia" panose="02040502050405020303" pitchFamily="18" charset="0"/>
                  </a:rPr>
                  <a:t>C </a:t>
                </a:r>
                <a:r>
                  <a:rPr lang="en-US" sz="700">
                    <a:latin typeface="Georgia" panose="02040502050405020303" pitchFamily="18" charset="0"/>
                  </a:rPr>
                  <a:t>F</a:t>
                </a:r>
                <a:endParaRPr lang="en-US">
                  <a:latin typeface="Georgia" panose="020405020504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474409903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960120</xdr:colOff>
      <xdr:row>11</xdr:row>
      <xdr:rowOff>7620</xdr:rowOff>
    </xdr:from>
    <xdr:to>
      <xdr:col>15</xdr:col>
      <xdr:colOff>281940</xdr:colOff>
      <xdr:row>36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C84F5-C522-0608-1BEB-D870BC1A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10</xdr:col>
          <xdr:colOff>30480</xdr:colOff>
          <xdr:row>40</xdr:row>
          <xdr:rowOff>60960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3CC4C25-2109-B04B-BE0C-77BF0CFEC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36"/>
  <sheetViews>
    <sheetView topLeftCell="E1" zoomScaleNormal="100" workbookViewId="0">
      <selection activeCell="T12" sqref="T12"/>
    </sheetView>
  </sheetViews>
  <sheetFormatPr defaultRowHeight="14.4" x14ac:dyDescent="0.3"/>
  <cols>
    <col min="1" max="1" width="10.44140625" customWidth="1"/>
    <col min="2" max="2" width="13.6640625" customWidth="1"/>
    <col min="3" max="8" width="14.21875" customWidth="1"/>
    <col min="9" max="10" width="13" customWidth="1"/>
    <col min="11" max="11" width="15.5546875" customWidth="1"/>
    <col min="12" max="12" width="13.109375" customWidth="1"/>
    <col min="13" max="14" width="16.109375" customWidth="1"/>
    <col min="15" max="16" width="16.21875" customWidth="1"/>
    <col min="17" max="17" width="16.109375" customWidth="1"/>
    <col min="18" max="20" width="16.21875" customWidth="1"/>
    <col min="21" max="75" width="13.6640625" customWidth="1"/>
  </cols>
  <sheetData>
    <row r="1" spans="1:88" ht="16.05" customHeight="1" x14ac:dyDescent="0.3">
      <c r="A1" s="5" t="s">
        <v>9</v>
      </c>
      <c r="B1" s="13" t="s">
        <v>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28</v>
      </c>
      <c r="H1" s="13" t="s">
        <v>29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27</v>
      </c>
      <c r="N1" s="13" t="s">
        <v>26</v>
      </c>
      <c r="O1" s="13" t="s">
        <v>25</v>
      </c>
      <c r="P1" s="13" t="s">
        <v>48</v>
      </c>
      <c r="Q1" s="13" t="s">
        <v>54</v>
      </c>
      <c r="R1" s="13" t="s">
        <v>30</v>
      </c>
      <c r="S1" s="13" t="s">
        <v>52</v>
      </c>
      <c r="T1" s="13" t="s">
        <v>51</v>
      </c>
      <c r="U1" s="13" t="s">
        <v>31</v>
      </c>
      <c r="V1" s="13" t="s">
        <v>32</v>
      </c>
      <c r="W1" s="13" t="s">
        <v>33</v>
      </c>
      <c r="X1" s="13" t="s">
        <v>38</v>
      </c>
      <c r="Y1" s="13" t="s">
        <v>39</v>
      </c>
      <c r="Z1" s="13" t="s">
        <v>34</v>
      </c>
      <c r="AA1" s="13" t="s">
        <v>41</v>
      </c>
      <c r="AB1" s="13" t="s">
        <v>34</v>
      </c>
      <c r="AC1" s="13" t="s">
        <v>40</v>
      </c>
      <c r="AD1" s="13" t="s">
        <v>55</v>
      </c>
      <c r="AE1" s="13" t="s">
        <v>57</v>
      </c>
      <c r="AF1" s="13" t="s">
        <v>58</v>
      </c>
      <c r="AG1" s="13" t="s">
        <v>56</v>
      </c>
      <c r="AH1" s="32" t="s">
        <v>63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</row>
    <row r="2" spans="1:88" s="1" customFormat="1" ht="16.05" customHeight="1" thickBot="1" x14ac:dyDescent="0.35">
      <c r="A2" s="14" t="s">
        <v>10</v>
      </c>
      <c r="B2" s="1" t="s">
        <v>11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11</v>
      </c>
      <c r="K2" s="1" t="s">
        <v>13</v>
      </c>
      <c r="L2" s="1" t="s">
        <v>11</v>
      </c>
      <c r="M2" s="1" t="s">
        <v>15</v>
      </c>
      <c r="N2" s="1" t="s">
        <v>11</v>
      </c>
      <c r="O2" s="1" t="s">
        <v>14</v>
      </c>
      <c r="P2" s="1" t="s">
        <v>49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35</v>
      </c>
      <c r="V2" s="1" t="s">
        <v>35</v>
      </c>
      <c r="W2" s="1" t="s">
        <v>35</v>
      </c>
      <c r="X2" s="1" t="s">
        <v>35</v>
      </c>
      <c r="Y2" s="1" t="s">
        <v>11</v>
      </c>
      <c r="Z2" s="1" t="s">
        <v>37</v>
      </c>
      <c r="AA2" s="1" t="s">
        <v>37</v>
      </c>
      <c r="AB2" s="1" t="s">
        <v>36</v>
      </c>
      <c r="AC2" s="1" t="s">
        <v>11</v>
      </c>
      <c r="AD2" s="1" t="s">
        <v>11</v>
      </c>
      <c r="AE2" s="1" t="s">
        <v>11</v>
      </c>
      <c r="AF2" s="1" t="s">
        <v>11</v>
      </c>
      <c r="AG2" s="1" t="s">
        <v>11</v>
      </c>
      <c r="AH2" s="33" t="s">
        <v>16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</row>
    <row r="3" spans="1:88" ht="16.05" customHeight="1" thickTop="1" x14ac:dyDescent="0.3">
      <c r="A3" s="7" t="s">
        <v>60</v>
      </c>
      <c r="B3" s="3" t="s">
        <v>1</v>
      </c>
      <c r="C3" s="3">
        <v>60</v>
      </c>
      <c r="D3" s="3">
        <v>90</v>
      </c>
      <c r="E3" s="3">
        <v>120</v>
      </c>
      <c r="F3" s="3">
        <v>180</v>
      </c>
      <c r="G3" s="3">
        <f>AVERAGE(C3,E3)</f>
        <v>90</v>
      </c>
      <c r="H3" s="3">
        <f>AVERAGE(D3,F3)</f>
        <v>135</v>
      </c>
      <c r="I3" s="3">
        <v>0.5</v>
      </c>
      <c r="J3" s="15">
        <f>I3/G3</f>
        <v>5.5555555555555558E-3</v>
      </c>
      <c r="K3" s="3">
        <v>5</v>
      </c>
      <c r="L3" s="15">
        <f>K3/H3</f>
        <v>3.7037037037037035E-2</v>
      </c>
      <c r="M3" s="16">
        <f>H3/G3</f>
        <v>1.5</v>
      </c>
      <c r="N3" s="16">
        <f>J3+L3</f>
        <v>4.2592592592592592E-2</v>
      </c>
      <c r="O3" s="17">
        <f>M3*0.000001</f>
        <v>1.5E-6</v>
      </c>
      <c r="P3" s="17">
        <f>O3/$B$14</f>
        <v>0.21220659078919379</v>
      </c>
      <c r="Q3" s="16">
        <f>N3</f>
        <v>4.2592592592592592E-2</v>
      </c>
      <c r="R3" s="36">
        <f>P3*B$13*B$17/B$16</f>
        <v>709.25424304039268</v>
      </c>
      <c r="S3" s="16">
        <f>N3</f>
        <v>4.2592592592592592E-2</v>
      </c>
      <c r="T3" s="36">
        <f>S3*R3</f>
        <v>30.208977018387095</v>
      </c>
      <c r="U3" s="18">
        <v>35.229999999999997</v>
      </c>
      <c r="V3" s="18">
        <v>32.5</v>
      </c>
      <c r="W3" s="18">
        <f>U3-V3</f>
        <v>2.7299999999999969</v>
      </c>
      <c r="X3" s="18">
        <v>0.2</v>
      </c>
      <c r="Y3" s="19">
        <f>X3/W3</f>
        <v>7.3260073260073347E-2</v>
      </c>
      <c r="Z3" s="3"/>
      <c r="AA3" s="3"/>
      <c r="AB3" s="19">
        <f>W3*0.01*B$18*B$17</f>
        <v>266.74174799999975</v>
      </c>
      <c r="AC3" s="19">
        <f>Y3</f>
        <v>7.3260073260073347E-2</v>
      </c>
      <c r="AD3" s="19">
        <f>AB3*B$13/(B$17*2*B$15*(P3^2))</f>
        <v>2.2302070566769194E-2</v>
      </c>
      <c r="AE3" s="16">
        <f>AC3+2*Q3</f>
        <v>0.15844525844525853</v>
      </c>
      <c r="AF3" s="19">
        <f>AE3*AD3</f>
        <v>3.5336573348161383E-3</v>
      </c>
      <c r="AG3" s="17">
        <f>16/R3</f>
        <v>2.2558906283608633E-2</v>
      </c>
      <c r="AH3" s="34">
        <f>(AG3-AD3)/AG3*100</f>
        <v>1.1385113870793304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</row>
    <row r="4" spans="1:88" ht="16.05" customHeight="1" x14ac:dyDescent="0.3">
      <c r="A4" s="7"/>
      <c r="B4" s="3" t="s">
        <v>2</v>
      </c>
      <c r="C4" s="3">
        <v>120</v>
      </c>
      <c r="D4" s="3">
        <v>290</v>
      </c>
      <c r="E4" s="3">
        <v>120</v>
      </c>
      <c r="F4" s="3">
        <v>290</v>
      </c>
      <c r="G4" s="3">
        <f>AVERAGE(C4,E4)</f>
        <v>120</v>
      </c>
      <c r="H4" s="3">
        <f>AVERAGE(D4,F4)</f>
        <v>290</v>
      </c>
      <c r="I4" s="3">
        <v>0.5</v>
      </c>
      <c r="J4" s="15">
        <f t="shared" ref="J4:J10" si="0">I4/G4</f>
        <v>4.1666666666666666E-3</v>
      </c>
      <c r="K4" s="3">
        <v>5</v>
      </c>
      <c r="L4" s="15">
        <f t="shared" ref="L4:L10" si="1">K4/H4</f>
        <v>1.7241379310344827E-2</v>
      </c>
      <c r="M4" s="16">
        <f t="shared" ref="M4:M10" si="2">H4/G4</f>
        <v>2.4166666666666665</v>
      </c>
      <c r="N4" s="16">
        <f t="shared" ref="N4:N10" si="3">J4+L4</f>
        <v>2.1408045977011493E-2</v>
      </c>
      <c r="O4" s="17">
        <f t="shared" ref="O4:O10" si="4">M4*0.000001</f>
        <v>2.4166666666666663E-6</v>
      </c>
      <c r="P4" s="17">
        <f t="shared" ref="P4:P9" si="5">O4/$B$14</f>
        <v>0.34188839627147882</v>
      </c>
      <c r="Q4" s="16">
        <f t="shared" ref="Q4:Q10" si="6">N4</f>
        <v>2.1408045977011493E-2</v>
      </c>
      <c r="R4" s="36">
        <f t="shared" ref="R4:R10" si="7">P4*B$13*B$17/B$16</f>
        <v>1142.687391565077</v>
      </c>
      <c r="S4" s="16">
        <f t="shared" ref="S4:S10" si="8">N4</f>
        <v>2.1408045977011493E-2</v>
      </c>
      <c r="T4" s="36">
        <f t="shared" ref="T4:T10" si="9">S4*R4</f>
        <v>24.462704215976501</v>
      </c>
      <c r="U4" s="3">
        <v>31.7</v>
      </c>
      <c r="V4" s="3">
        <v>27.3</v>
      </c>
      <c r="W4" s="3">
        <f t="shared" ref="W4:W6" si="10">U4-V4</f>
        <v>4.3999999999999986</v>
      </c>
      <c r="X4" s="3">
        <v>0.2</v>
      </c>
      <c r="Y4" s="19">
        <f t="shared" ref="Y4:Y6" si="11">X4/W4</f>
        <v>4.545454545454547E-2</v>
      </c>
      <c r="Z4" s="3"/>
      <c r="AA4" s="3"/>
      <c r="AB4" s="19">
        <f t="shared" ref="AB4:AB6" si="12">W4*0.01*B$18*B$17</f>
        <v>429.91343999999987</v>
      </c>
      <c r="AC4" s="19">
        <f t="shared" ref="AC4:AC6" si="13">Y4</f>
        <v>4.545454545454547E-2</v>
      </c>
      <c r="AD4" s="19">
        <f t="shared" ref="AD4:AD10" si="14">AB4*B$13/(B$17*2*B$15*(P4^2))</f>
        <v>1.384790991013933E-2</v>
      </c>
      <c r="AE4" s="16">
        <f t="shared" ref="AE4:AE10" si="15">AC4+2*Q4</f>
        <v>8.8270637408568456E-2</v>
      </c>
      <c r="AF4" s="19">
        <f t="shared" ref="AF4:AF10" si="16">AE4*AD4</f>
        <v>1.2223638345444307E-3</v>
      </c>
      <c r="AG4" s="17">
        <f t="shared" ref="AG4:AG5" si="17">16/R4</f>
        <v>1.4002079762239843E-2</v>
      </c>
      <c r="AH4" s="34">
        <f t="shared" ref="AH4:AH10" si="18">(AG4-AD4)/AG4*100</f>
        <v>1.1010496634669276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</row>
    <row r="5" spans="1:88" ht="16.05" customHeight="1" x14ac:dyDescent="0.3">
      <c r="A5" s="7"/>
      <c r="B5" s="3" t="s">
        <v>3</v>
      </c>
      <c r="C5" s="3">
        <v>60</v>
      </c>
      <c r="D5" s="3">
        <v>170</v>
      </c>
      <c r="E5" s="3">
        <v>60</v>
      </c>
      <c r="F5" s="3">
        <v>170</v>
      </c>
      <c r="G5" s="3">
        <f>AVERAGE(C5,E5)</f>
        <v>60</v>
      </c>
      <c r="H5" s="3">
        <f>AVERAGE(D5,F5)</f>
        <v>170</v>
      </c>
      <c r="I5" s="3">
        <v>0.5</v>
      </c>
      <c r="J5" s="15">
        <f t="shared" si="0"/>
        <v>8.3333333333333332E-3</v>
      </c>
      <c r="K5" s="3">
        <v>5</v>
      </c>
      <c r="L5" s="15">
        <f t="shared" si="1"/>
        <v>2.9411764705882353E-2</v>
      </c>
      <c r="M5" s="16">
        <f t="shared" si="2"/>
        <v>2.8333333333333335</v>
      </c>
      <c r="N5" s="16">
        <f t="shared" si="3"/>
        <v>3.7745098039215684E-2</v>
      </c>
      <c r="O5" s="17">
        <f t="shared" si="4"/>
        <v>2.8333333333333335E-6</v>
      </c>
      <c r="P5" s="17">
        <f t="shared" si="5"/>
        <v>0.4008346714906994</v>
      </c>
      <c r="Q5" s="16">
        <f t="shared" si="6"/>
        <v>3.7745098039215684E-2</v>
      </c>
      <c r="R5" s="36">
        <f t="shared" si="7"/>
        <v>1339.7024590762974</v>
      </c>
      <c r="S5" s="16">
        <f t="shared" si="8"/>
        <v>3.7745098039215684E-2</v>
      </c>
      <c r="T5" s="36">
        <f t="shared" si="9"/>
        <v>50.567200661213185</v>
      </c>
      <c r="U5" s="3">
        <v>30.9</v>
      </c>
      <c r="V5" s="3">
        <v>25.2</v>
      </c>
      <c r="W5" s="3">
        <f t="shared" si="10"/>
        <v>5.6999999999999993</v>
      </c>
      <c r="X5" s="3">
        <v>0.2</v>
      </c>
      <c r="Y5" s="19">
        <f t="shared" si="11"/>
        <v>3.5087719298245619E-2</v>
      </c>
      <c r="Z5" s="3"/>
      <c r="AA5" s="3"/>
      <c r="AB5" s="19">
        <f t="shared" si="12"/>
        <v>556.93331999999998</v>
      </c>
      <c r="AC5" s="19">
        <f t="shared" si="13"/>
        <v>3.5087719298245619E-2</v>
      </c>
      <c r="AD5" s="19">
        <f t="shared" si="14"/>
        <v>1.3051023461826617E-2</v>
      </c>
      <c r="AE5" s="16">
        <f t="shared" si="15"/>
        <v>0.11057791537667699</v>
      </c>
      <c r="AF5" s="19">
        <f t="shared" si="16"/>
        <v>1.4431549679408896E-3</v>
      </c>
      <c r="AG5" s="17">
        <f t="shared" si="17"/>
        <v>1.1942950385439865E-2</v>
      </c>
      <c r="AH5" s="34">
        <f t="shared" si="18"/>
        <v>-9.2780514079473111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</row>
    <row r="6" spans="1:88" ht="16.05" customHeight="1" x14ac:dyDescent="0.3">
      <c r="A6" s="7"/>
      <c r="B6" s="3" t="s">
        <v>4</v>
      </c>
      <c r="C6" s="3">
        <v>60</v>
      </c>
      <c r="D6" s="3">
        <v>250</v>
      </c>
      <c r="E6" s="3">
        <v>60</v>
      </c>
      <c r="F6" s="3">
        <v>260</v>
      </c>
      <c r="G6" s="3">
        <f>AVERAGE(C6,E6)</f>
        <v>60</v>
      </c>
      <c r="H6" s="3">
        <f>AVERAGE(D6,F6)</f>
        <v>255</v>
      </c>
      <c r="I6" s="3">
        <v>0.5</v>
      </c>
      <c r="J6" s="15">
        <f t="shared" si="0"/>
        <v>8.3333333333333332E-3</v>
      </c>
      <c r="K6" s="3">
        <v>5</v>
      </c>
      <c r="L6" s="15">
        <f t="shared" si="1"/>
        <v>1.9607843137254902E-2</v>
      </c>
      <c r="M6" s="16">
        <f t="shared" si="2"/>
        <v>4.25</v>
      </c>
      <c r="N6" s="16">
        <f t="shared" si="3"/>
        <v>2.7941176470588233E-2</v>
      </c>
      <c r="O6" s="17">
        <f t="shared" si="4"/>
        <v>4.25E-6</v>
      </c>
      <c r="P6" s="17">
        <f t="shared" si="5"/>
        <v>0.6012520072360491</v>
      </c>
      <c r="Q6" s="16">
        <f t="shared" si="6"/>
        <v>2.7941176470588233E-2</v>
      </c>
      <c r="R6" s="36">
        <f t="shared" si="7"/>
        <v>2009.5536886144459</v>
      </c>
      <c r="S6" s="16">
        <f t="shared" si="8"/>
        <v>2.7941176470588233E-2</v>
      </c>
      <c r="T6" s="36">
        <f t="shared" si="9"/>
        <v>56.149294240697749</v>
      </c>
      <c r="U6" s="3">
        <v>23.25</v>
      </c>
      <c r="V6" s="3">
        <v>12.5</v>
      </c>
      <c r="W6" s="3">
        <f t="shared" si="10"/>
        <v>10.75</v>
      </c>
      <c r="X6" s="3">
        <v>0.2</v>
      </c>
      <c r="Y6" s="19">
        <f t="shared" si="11"/>
        <v>1.8604651162790697E-2</v>
      </c>
      <c r="Z6" s="3"/>
      <c r="AA6" s="3"/>
      <c r="AB6" s="19">
        <f t="shared" si="12"/>
        <v>1050.3567</v>
      </c>
      <c r="AC6" s="19">
        <f t="shared" si="13"/>
        <v>1.8604651162790697E-2</v>
      </c>
      <c r="AD6" s="19">
        <f t="shared" si="14"/>
        <v>1.0939454363714319E-2</v>
      </c>
      <c r="AE6" s="16">
        <f t="shared" si="15"/>
        <v>7.4487004103967164E-2</v>
      </c>
      <c r="AF6" s="19">
        <f t="shared" si="16"/>
        <v>8.1484718208514996E-4</v>
      </c>
      <c r="AG6" s="17">
        <f>16/R6</f>
        <v>7.9619669236265771E-3</v>
      </c>
      <c r="AH6" s="34">
        <f t="shared" si="18"/>
        <v>-37.396380425196909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</row>
    <row r="7" spans="1:88" ht="16.05" customHeight="1" x14ac:dyDescent="0.3">
      <c r="A7" s="7"/>
      <c r="B7" s="3" t="s">
        <v>5</v>
      </c>
      <c r="C7" s="3">
        <v>30</v>
      </c>
      <c r="D7" s="3">
        <v>425</v>
      </c>
      <c r="E7" s="3">
        <v>30</v>
      </c>
      <c r="F7" s="3">
        <v>435</v>
      </c>
      <c r="G7" s="3">
        <f>AVERAGE(C7,E7)</f>
        <v>30</v>
      </c>
      <c r="H7" s="3">
        <f>AVERAGE(D7,F7)</f>
        <v>430</v>
      </c>
      <c r="I7" s="3">
        <v>0.5</v>
      </c>
      <c r="J7" s="15">
        <f t="shared" si="0"/>
        <v>1.6666666666666666E-2</v>
      </c>
      <c r="K7" s="3">
        <v>10</v>
      </c>
      <c r="L7" s="15">
        <f t="shared" si="1"/>
        <v>2.3255813953488372E-2</v>
      </c>
      <c r="M7" s="16">
        <f t="shared" si="2"/>
        <v>14.333333333333334</v>
      </c>
      <c r="N7" s="16">
        <f t="shared" si="3"/>
        <v>3.9922480620155035E-2</v>
      </c>
      <c r="O7" s="17">
        <f t="shared" si="4"/>
        <v>1.4333333333333334E-5</v>
      </c>
      <c r="P7" s="17">
        <f t="shared" si="5"/>
        <v>2.0277518675411854</v>
      </c>
      <c r="Q7" s="16">
        <f t="shared" si="6"/>
        <v>3.9922480620155035E-2</v>
      </c>
      <c r="R7" s="36">
        <f t="shared" si="7"/>
        <v>6777.3183223859742</v>
      </c>
      <c r="S7" s="16">
        <f t="shared" si="8"/>
        <v>3.9922480620155035E-2</v>
      </c>
      <c r="T7" s="36">
        <f t="shared" si="9"/>
        <v>270.56735938207567</v>
      </c>
      <c r="U7" s="3"/>
      <c r="V7" s="3"/>
      <c r="W7" s="3"/>
      <c r="X7" s="3"/>
      <c r="Y7" s="3"/>
      <c r="Z7" s="16">
        <v>0.1</v>
      </c>
      <c r="AA7" s="15">
        <v>2E-3</v>
      </c>
      <c r="AB7" s="19">
        <f>Z7*100000</f>
        <v>10000</v>
      </c>
      <c r="AC7" s="16">
        <f>AA7/Z7</f>
        <v>0.02</v>
      </c>
      <c r="AD7" s="19">
        <f t="shared" si="14"/>
        <v>9.1567700736280774E-3</v>
      </c>
      <c r="AE7" s="16">
        <f t="shared" si="15"/>
        <v>9.9844961240310073E-2</v>
      </c>
      <c r="AF7" s="19">
        <f t="shared" si="16"/>
        <v>9.1425735308782658E-4</v>
      </c>
      <c r="AG7" s="17">
        <f>0.00138*(1 + (20000*B$20 + 1000000/R7)^(1/3))</f>
        <v>8.8333719524299175E-3</v>
      </c>
      <c r="AH7" s="34">
        <f t="shared" si="18"/>
        <v>-3.6610947998085641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</row>
    <row r="8" spans="1:88" ht="16.05" customHeight="1" x14ac:dyDescent="0.3">
      <c r="A8" s="7"/>
      <c r="B8" s="3" t="s">
        <v>6</v>
      </c>
      <c r="C8" s="3">
        <v>30</v>
      </c>
      <c r="D8" s="3">
        <v>480</v>
      </c>
      <c r="E8" s="3">
        <v>30</v>
      </c>
      <c r="F8" s="3">
        <v>490</v>
      </c>
      <c r="G8" s="3">
        <f>AVERAGE(C8,E8)</f>
        <v>30</v>
      </c>
      <c r="H8" s="3">
        <f>AVERAGE(D8,F8)</f>
        <v>485</v>
      </c>
      <c r="I8" s="3">
        <v>0.5</v>
      </c>
      <c r="J8" s="15">
        <f t="shared" si="0"/>
        <v>1.6666666666666666E-2</v>
      </c>
      <c r="K8" s="3">
        <v>10</v>
      </c>
      <c r="L8" s="15">
        <f t="shared" si="1"/>
        <v>2.0618556701030927E-2</v>
      </c>
      <c r="M8" s="16">
        <f t="shared" si="2"/>
        <v>16.166666666666668</v>
      </c>
      <c r="N8" s="16">
        <f t="shared" si="3"/>
        <v>3.7285223367697594E-2</v>
      </c>
      <c r="O8" s="17">
        <f t="shared" si="4"/>
        <v>1.6166666666666665E-5</v>
      </c>
      <c r="P8" s="17">
        <f t="shared" si="5"/>
        <v>2.287115478505755</v>
      </c>
      <c r="Q8" s="16">
        <f t="shared" si="6"/>
        <v>3.7285223367697594E-2</v>
      </c>
      <c r="R8" s="36">
        <f t="shared" si="7"/>
        <v>7644.184619435342</v>
      </c>
      <c r="S8" s="16">
        <f t="shared" si="8"/>
        <v>3.7285223367697594E-2</v>
      </c>
      <c r="T8" s="36">
        <f t="shared" si="9"/>
        <v>285.01513099956514</v>
      </c>
      <c r="U8" s="3"/>
      <c r="V8" s="3"/>
      <c r="W8" s="3"/>
      <c r="X8" s="3"/>
      <c r="Y8" s="3"/>
      <c r="Z8" s="3">
        <v>0.12</v>
      </c>
      <c r="AA8" s="15">
        <v>2E-3</v>
      </c>
      <c r="AB8" s="19">
        <f t="shared" ref="AB8:AB10" si="19">Z8*100000</f>
        <v>12000</v>
      </c>
      <c r="AC8" s="16">
        <f t="shared" ref="AC8:AC10" si="20">AA8/Z8</f>
        <v>1.6666666666666666E-2</v>
      </c>
      <c r="AD8" s="19">
        <f t="shared" si="14"/>
        <v>8.6372798126755201E-3</v>
      </c>
      <c r="AE8" s="16">
        <f t="shared" si="15"/>
        <v>9.1237113402061851E-2</v>
      </c>
      <c r="AF8" s="19">
        <f t="shared" si="16"/>
        <v>7.8804047775441594E-4</v>
      </c>
      <c r="AG8" s="17">
        <f t="shared" ref="AG8:AG10" si="21">0.00138*(1 + (20000*B$20 + 1000000/R8)^(1/3))</f>
        <v>8.5595775034125292E-3</v>
      </c>
      <c r="AH8" s="34">
        <f t="shared" si="18"/>
        <v>-0.90778206321529975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</row>
    <row r="9" spans="1:88" ht="16.05" customHeight="1" x14ac:dyDescent="0.3">
      <c r="A9" s="7"/>
      <c r="B9" s="3" t="s">
        <v>7</v>
      </c>
      <c r="C9" s="3">
        <v>30</v>
      </c>
      <c r="D9" s="3">
        <v>510</v>
      </c>
      <c r="E9" s="3">
        <v>30</v>
      </c>
      <c r="F9" s="3">
        <v>500</v>
      </c>
      <c r="G9" s="3">
        <f>AVERAGE(C9,E9)</f>
        <v>30</v>
      </c>
      <c r="H9" s="3">
        <f>AVERAGE(D9,F9)</f>
        <v>505</v>
      </c>
      <c r="I9" s="3">
        <v>0.5</v>
      </c>
      <c r="J9" s="15">
        <f t="shared" si="0"/>
        <v>1.6666666666666666E-2</v>
      </c>
      <c r="K9" s="3">
        <v>10</v>
      </c>
      <c r="L9" s="15">
        <f t="shared" si="1"/>
        <v>1.9801980198019802E-2</v>
      </c>
      <c r="M9" s="16">
        <f t="shared" si="2"/>
        <v>16.833333333333332</v>
      </c>
      <c r="N9" s="16">
        <f t="shared" si="3"/>
        <v>3.6468646864686469E-2</v>
      </c>
      <c r="O9" s="17">
        <f t="shared" si="4"/>
        <v>1.683333333333333E-5</v>
      </c>
      <c r="P9" s="17">
        <f t="shared" si="5"/>
        <v>2.3814295188565078</v>
      </c>
      <c r="Q9" s="16">
        <f t="shared" si="6"/>
        <v>3.6468646864686469E-2</v>
      </c>
      <c r="R9" s="36">
        <f t="shared" si="7"/>
        <v>7959.408727453294</v>
      </c>
      <c r="S9" s="16">
        <f t="shared" si="8"/>
        <v>3.6468646864686469E-2</v>
      </c>
      <c r="T9" s="36">
        <f t="shared" si="9"/>
        <v>290.26886613319766</v>
      </c>
      <c r="U9" s="3"/>
      <c r="V9" s="3"/>
      <c r="W9" s="3"/>
      <c r="X9" s="3"/>
      <c r="Y9" s="3"/>
      <c r="Z9" s="3">
        <v>0.14000000000000001</v>
      </c>
      <c r="AA9" s="15">
        <v>2E-3</v>
      </c>
      <c r="AB9" s="19">
        <f t="shared" si="19"/>
        <v>14000.000000000002</v>
      </c>
      <c r="AC9" s="16">
        <f t="shared" si="20"/>
        <v>1.4285714285714285E-2</v>
      </c>
      <c r="AD9" s="19">
        <f t="shared" si="14"/>
        <v>9.2944672140353544E-3</v>
      </c>
      <c r="AE9" s="16">
        <f t="shared" si="15"/>
        <v>8.7223008015087228E-2</v>
      </c>
      <c r="AF9" s="19">
        <f t="shared" si="16"/>
        <v>8.1069138830577121E-4</v>
      </c>
      <c r="AG9" s="17">
        <f t="shared" si="21"/>
        <v>8.4704257994343037E-3</v>
      </c>
      <c r="AH9" s="34">
        <f t="shared" si="18"/>
        <v>-9.7284532574039453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</row>
    <row r="10" spans="1:88" s="1" customFormat="1" ht="16.05" customHeight="1" thickBot="1" x14ac:dyDescent="0.35">
      <c r="A10" s="9"/>
      <c r="B10" s="20" t="s">
        <v>8</v>
      </c>
      <c r="C10" s="20">
        <v>30</v>
      </c>
      <c r="D10" s="20">
        <v>600</v>
      </c>
      <c r="E10" s="20">
        <v>25</v>
      </c>
      <c r="F10" s="20">
        <v>475</v>
      </c>
      <c r="G10" s="20">
        <f>AVERAGE(C10,E10)</f>
        <v>27.5</v>
      </c>
      <c r="H10" s="20">
        <f>AVERAGE(D10,F10)</f>
        <v>537.5</v>
      </c>
      <c r="I10" s="20">
        <v>0.5</v>
      </c>
      <c r="J10" s="21">
        <f t="shared" si="0"/>
        <v>1.8181818181818181E-2</v>
      </c>
      <c r="K10" s="20">
        <v>10</v>
      </c>
      <c r="L10" s="21">
        <f t="shared" si="1"/>
        <v>1.8604651162790697E-2</v>
      </c>
      <c r="M10" s="22">
        <f t="shared" si="2"/>
        <v>19.545454545454547</v>
      </c>
      <c r="N10" s="22">
        <f t="shared" si="3"/>
        <v>3.6786469344608878E-2</v>
      </c>
      <c r="O10" s="23">
        <f t="shared" si="4"/>
        <v>1.9545454545454546E-5</v>
      </c>
      <c r="P10" s="23">
        <f>O10/$B$14</f>
        <v>2.7651161830107069</v>
      </c>
      <c r="Q10" s="22">
        <f t="shared" si="6"/>
        <v>3.6786469344608878E-2</v>
      </c>
      <c r="R10" s="37">
        <f t="shared" si="7"/>
        <v>9241.7977123445107</v>
      </c>
      <c r="S10" s="22">
        <f t="shared" si="8"/>
        <v>3.6786469344608878E-2</v>
      </c>
      <c r="T10" s="37">
        <f t="shared" si="9"/>
        <v>339.97310823423783</v>
      </c>
      <c r="U10" s="20"/>
      <c r="V10" s="20"/>
      <c r="W10" s="20"/>
      <c r="X10" s="20"/>
      <c r="Y10" s="20"/>
      <c r="Z10" s="20">
        <v>0.16</v>
      </c>
      <c r="AA10" s="21">
        <v>2E-3</v>
      </c>
      <c r="AB10" s="24">
        <f t="shared" si="19"/>
        <v>16000</v>
      </c>
      <c r="AC10" s="22">
        <f t="shared" si="20"/>
        <v>1.2500000000000001E-2</v>
      </c>
      <c r="AD10" s="24">
        <f t="shared" si="14"/>
        <v>7.8788919389084291E-3</v>
      </c>
      <c r="AE10" s="22">
        <f t="shared" si="15"/>
        <v>8.6072938689217754E-2</v>
      </c>
      <c r="AF10" s="24">
        <f t="shared" si="16"/>
        <v>6.7815938279663717E-4</v>
      </c>
      <c r="AG10" s="23">
        <f t="shared" si="21"/>
        <v>8.1526174683078673E-3</v>
      </c>
      <c r="AH10" s="35">
        <f t="shared" si="18"/>
        <v>3.357517146652679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</row>
    <row r="11" spans="1:88" ht="16.05" customHeight="1" thickBot="1" x14ac:dyDescent="0.35"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</row>
    <row r="12" spans="1:88" ht="15.6" customHeight="1" x14ac:dyDescent="0.3">
      <c r="A12" s="5" t="s">
        <v>42</v>
      </c>
      <c r="B12" s="6" t="s">
        <v>50</v>
      </c>
      <c r="D12" s="5" t="s">
        <v>30</v>
      </c>
      <c r="E12" s="6" t="s">
        <v>61</v>
      </c>
      <c r="K12" s="2"/>
      <c r="L12" s="2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</row>
    <row r="13" spans="1:88" ht="16.05" customHeight="1" x14ac:dyDescent="0.3">
      <c r="A13" s="7" t="s">
        <v>43</v>
      </c>
      <c r="B13" s="8">
        <v>3.0000000000000001E-3</v>
      </c>
      <c r="D13" s="25">
        <v>300</v>
      </c>
      <c r="E13" s="26">
        <f>16/D13</f>
        <v>5.3333333333333337E-2</v>
      </c>
      <c r="G13" s="4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</row>
    <row r="14" spans="1:88" ht="16.05" customHeight="1" x14ac:dyDescent="0.3">
      <c r="A14" s="7" t="s">
        <v>44</v>
      </c>
      <c r="B14" s="11">
        <f>(B13/2)^2*PI()</f>
        <v>7.0685834705770344E-6</v>
      </c>
      <c r="D14" s="25">
        <f>D13+100</f>
        <v>400</v>
      </c>
      <c r="E14" s="26">
        <f t="shared" ref="E14:E29" si="22">16/D14</f>
        <v>0.04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88" ht="16.05" customHeight="1" x14ac:dyDescent="0.3">
      <c r="A15" s="7" t="s">
        <v>45</v>
      </c>
      <c r="B15" s="8">
        <v>0.4</v>
      </c>
      <c r="D15" s="25">
        <f t="shared" ref="D15:D32" si="23">D14+100</f>
        <v>500</v>
      </c>
      <c r="E15" s="26">
        <f t="shared" si="22"/>
        <v>3.2000000000000001E-2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</row>
    <row r="16" spans="1:88" ht="16.05" customHeight="1" x14ac:dyDescent="0.3">
      <c r="A16" s="7" t="s">
        <v>46</v>
      </c>
      <c r="B16" s="11">
        <v>8.9400000000000005E-4</v>
      </c>
      <c r="D16" s="25">
        <f t="shared" si="23"/>
        <v>600</v>
      </c>
      <c r="E16" s="26">
        <f t="shared" si="22"/>
        <v>2.6666666666666668E-2</v>
      </c>
    </row>
    <row r="17" spans="1:5" ht="16.05" customHeight="1" x14ac:dyDescent="0.3">
      <c r="A17" s="7" t="s">
        <v>47</v>
      </c>
      <c r="B17" s="8">
        <v>996</v>
      </c>
      <c r="D17" s="25">
        <f t="shared" si="23"/>
        <v>700</v>
      </c>
      <c r="E17" s="26">
        <f t="shared" si="22"/>
        <v>2.2857142857142857E-2</v>
      </c>
    </row>
    <row r="18" spans="1:5" ht="16.05" customHeight="1" x14ac:dyDescent="0.3">
      <c r="A18" s="7" t="s">
        <v>53</v>
      </c>
      <c r="B18" s="12">
        <v>9.81</v>
      </c>
      <c r="D18" s="25">
        <f t="shared" si="23"/>
        <v>800</v>
      </c>
      <c r="E18" s="26">
        <f t="shared" si="22"/>
        <v>0.02</v>
      </c>
    </row>
    <row r="19" spans="1:5" ht="16.05" customHeight="1" x14ac:dyDescent="0.3">
      <c r="A19" s="7" t="s">
        <v>59</v>
      </c>
      <c r="B19" s="8">
        <f>0.0015*0.001</f>
        <v>1.5E-6</v>
      </c>
      <c r="D19" s="25">
        <f t="shared" si="23"/>
        <v>900</v>
      </c>
      <c r="E19" s="26">
        <f t="shared" si="22"/>
        <v>1.7777777777777778E-2</v>
      </c>
    </row>
    <row r="20" spans="1:5" ht="15" thickBot="1" x14ac:dyDescent="0.35">
      <c r="A20" s="9" t="s">
        <v>62</v>
      </c>
      <c r="B20" s="10">
        <f>B19/B13</f>
        <v>5.0000000000000001E-4</v>
      </c>
      <c r="D20" s="25">
        <f t="shared" si="23"/>
        <v>1000</v>
      </c>
      <c r="E20" s="26">
        <f t="shared" si="22"/>
        <v>1.6E-2</v>
      </c>
    </row>
    <row r="21" spans="1:5" x14ac:dyDescent="0.3">
      <c r="D21" s="25">
        <f>D20+200</f>
        <v>1200</v>
      </c>
      <c r="E21" s="26">
        <f t="shared" si="22"/>
        <v>1.3333333333333334E-2</v>
      </c>
    </row>
    <row r="22" spans="1:5" x14ac:dyDescent="0.3">
      <c r="D22" s="25">
        <f t="shared" ref="D22:D67" si="24">D21+200</f>
        <v>1400</v>
      </c>
      <c r="E22" s="26">
        <f t="shared" si="22"/>
        <v>1.1428571428571429E-2</v>
      </c>
    </row>
    <row r="23" spans="1:5" x14ac:dyDescent="0.3">
      <c r="D23" s="25">
        <f t="shared" si="24"/>
        <v>1600</v>
      </c>
      <c r="E23" s="26">
        <f t="shared" si="22"/>
        <v>0.01</v>
      </c>
    </row>
    <row r="24" spans="1:5" x14ac:dyDescent="0.3">
      <c r="D24" s="25">
        <f t="shared" si="24"/>
        <v>1800</v>
      </c>
      <c r="E24" s="26">
        <f t="shared" si="22"/>
        <v>8.8888888888888889E-3</v>
      </c>
    </row>
    <row r="25" spans="1:5" x14ac:dyDescent="0.3">
      <c r="D25" s="25">
        <f t="shared" si="24"/>
        <v>2000</v>
      </c>
      <c r="E25" s="26">
        <f t="shared" si="22"/>
        <v>8.0000000000000002E-3</v>
      </c>
    </row>
    <row r="26" spans="1:5" x14ac:dyDescent="0.3">
      <c r="D26" s="25">
        <f t="shared" si="24"/>
        <v>2200</v>
      </c>
      <c r="E26" s="26">
        <f t="shared" si="22"/>
        <v>7.2727272727272727E-3</v>
      </c>
    </row>
    <row r="27" spans="1:5" x14ac:dyDescent="0.3">
      <c r="D27" s="25">
        <f t="shared" si="24"/>
        <v>2400</v>
      </c>
      <c r="E27" s="26">
        <f t="shared" si="22"/>
        <v>6.6666666666666671E-3</v>
      </c>
    </row>
    <row r="28" spans="1:5" x14ac:dyDescent="0.3">
      <c r="D28" s="25">
        <f t="shared" si="24"/>
        <v>2600</v>
      </c>
      <c r="E28" s="26">
        <f t="shared" si="22"/>
        <v>6.1538461538461538E-3</v>
      </c>
    </row>
    <row r="29" spans="1:5" x14ac:dyDescent="0.3">
      <c r="D29" s="25">
        <f>D28+200</f>
        <v>2800</v>
      </c>
      <c r="E29" s="26">
        <f t="shared" si="22"/>
        <v>5.7142857142857143E-3</v>
      </c>
    </row>
    <row r="30" spans="1:5" x14ac:dyDescent="0.3">
      <c r="D30" s="27">
        <f t="shared" si="24"/>
        <v>3000</v>
      </c>
      <c r="E30" s="28">
        <f>0.00138*(1+(20000*B$20+1000000/D30)^(1/3))</f>
        <v>1.1043128238560636E-2</v>
      </c>
    </row>
    <row r="31" spans="1:5" x14ac:dyDescent="0.3">
      <c r="D31" s="27">
        <f t="shared" si="24"/>
        <v>3200</v>
      </c>
      <c r="E31" s="28">
        <f t="shared" ref="E31:E94" si="25">0.00138*(1+(20000*B$20+1000000/D31)^(1/3))</f>
        <v>1.0843584393511805E-2</v>
      </c>
    </row>
    <row r="32" spans="1:5" x14ac:dyDescent="0.3">
      <c r="D32" s="27">
        <f t="shared" si="24"/>
        <v>3400</v>
      </c>
      <c r="E32" s="28">
        <f t="shared" si="25"/>
        <v>1.0660248956536021E-2</v>
      </c>
    </row>
    <row r="33" spans="4:5" x14ac:dyDescent="0.3">
      <c r="D33" s="27">
        <f t="shared" si="24"/>
        <v>3600</v>
      </c>
      <c r="E33" s="28">
        <f t="shared" si="25"/>
        <v>1.0490974643118678E-2</v>
      </c>
    </row>
    <row r="34" spans="4:5" x14ac:dyDescent="0.3">
      <c r="D34" s="27">
        <f t="shared" si="24"/>
        <v>3800</v>
      </c>
      <c r="E34" s="28">
        <f t="shared" si="25"/>
        <v>1.0333998254103024E-2</v>
      </c>
    </row>
    <row r="35" spans="4:5" x14ac:dyDescent="0.3">
      <c r="D35" s="27">
        <f t="shared" si="24"/>
        <v>4000</v>
      </c>
      <c r="E35" s="28">
        <f t="shared" si="25"/>
        <v>1.0187855932426671E-2</v>
      </c>
    </row>
    <row r="36" spans="4:5" x14ac:dyDescent="0.3">
      <c r="D36" s="27">
        <f t="shared" si="24"/>
        <v>4200</v>
      </c>
      <c r="E36" s="28">
        <f t="shared" si="25"/>
        <v>1.0051320316547419E-2</v>
      </c>
    </row>
    <row r="37" spans="4:5" x14ac:dyDescent="0.3">
      <c r="D37" s="27">
        <f t="shared" si="24"/>
        <v>4400</v>
      </c>
      <c r="E37" s="28">
        <f t="shared" si="25"/>
        <v>9.9233531820886994E-3</v>
      </c>
    </row>
    <row r="38" spans="4:5" x14ac:dyDescent="0.3">
      <c r="D38" s="27">
        <f t="shared" si="24"/>
        <v>4600</v>
      </c>
      <c r="E38" s="28">
        <f t="shared" si="25"/>
        <v>9.803069239134406E-3</v>
      </c>
    </row>
    <row r="39" spans="4:5" x14ac:dyDescent="0.3">
      <c r="D39" s="27">
        <f t="shared" si="24"/>
        <v>4800</v>
      </c>
      <c r="E39" s="28">
        <f t="shared" si="25"/>
        <v>9.6897080966335102E-3</v>
      </c>
    </row>
    <row r="40" spans="4:5" x14ac:dyDescent="0.3">
      <c r="D40" s="27">
        <f t="shared" si="24"/>
        <v>5000</v>
      </c>
      <c r="E40" s="28">
        <f t="shared" si="25"/>
        <v>9.5826122948131174E-3</v>
      </c>
    </row>
    <row r="41" spans="4:5" x14ac:dyDescent="0.3">
      <c r="D41" s="27">
        <f t="shared" si="24"/>
        <v>5200</v>
      </c>
      <c r="E41" s="28">
        <f t="shared" si="25"/>
        <v>9.4812099068462014E-3</v>
      </c>
    </row>
    <row r="42" spans="4:5" x14ac:dyDescent="0.3">
      <c r="D42" s="27">
        <f t="shared" si="24"/>
        <v>5400</v>
      </c>
      <c r="E42" s="28">
        <f t="shared" si="25"/>
        <v>9.3850006235692042E-3</v>
      </c>
    </row>
    <row r="43" spans="4:5" x14ac:dyDescent="0.3">
      <c r="D43" s="27">
        <f t="shared" si="24"/>
        <v>5600</v>
      </c>
      <c r="E43" s="28">
        <f t="shared" si="25"/>
        <v>9.2935445232141586E-3</v>
      </c>
    </row>
    <row r="44" spans="4:5" x14ac:dyDescent="0.3">
      <c r="D44" s="27">
        <f t="shared" si="24"/>
        <v>5800</v>
      </c>
      <c r="E44" s="28">
        <f t="shared" si="25"/>
        <v>9.2064529324439367E-3</v>
      </c>
    </row>
    <row r="45" spans="4:5" x14ac:dyDescent="0.3">
      <c r="D45" s="27">
        <f t="shared" si="24"/>
        <v>6000</v>
      </c>
      <c r="E45" s="28">
        <f t="shared" si="25"/>
        <v>9.1233809318600288E-3</v>
      </c>
    </row>
    <row r="46" spans="4:5" x14ac:dyDescent="0.3">
      <c r="D46" s="27">
        <f t="shared" si="24"/>
        <v>6200</v>
      </c>
      <c r="E46" s="28">
        <f t="shared" si="25"/>
        <v>9.0440211660876135E-3</v>
      </c>
    </row>
    <row r="47" spans="4:5" x14ac:dyDescent="0.3">
      <c r="D47" s="27">
        <f t="shared" si="24"/>
        <v>6400</v>
      </c>
      <c r="E47" s="28">
        <f t="shared" si="25"/>
        <v>8.968098697315241E-3</v>
      </c>
    </row>
    <row r="48" spans="4:5" x14ac:dyDescent="0.3">
      <c r="D48" s="27">
        <f t="shared" si="24"/>
        <v>6600</v>
      </c>
      <c r="E48" s="28">
        <f t="shared" si="25"/>
        <v>8.8953666998291669E-3</v>
      </c>
    </row>
    <row r="49" spans="4:5" x14ac:dyDescent="0.3">
      <c r="D49" s="27">
        <f t="shared" si="24"/>
        <v>6800</v>
      </c>
      <c r="E49" s="28">
        <f t="shared" si="25"/>
        <v>8.8256028372142459E-3</v>
      </c>
    </row>
    <row r="50" spans="4:5" x14ac:dyDescent="0.3">
      <c r="D50" s="27">
        <f t="shared" si="24"/>
        <v>7000</v>
      </c>
      <c r="E50" s="28">
        <f t="shared" si="25"/>
        <v>8.7586061974090964E-3</v>
      </c>
    </row>
    <row r="51" spans="4:5" x14ac:dyDescent="0.3">
      <c r="D51" s="27">
        <f t="shared" si="24"/>
        <v>7200</v>
      </c>
      <c r="E51" s="28">
        <f t="shared" si="25"/>
        <v>8.6941946864834019E-3</v>
      </c>
    </row>
    <row r="52" spans="4:5" x14ac:dyDescent="0.3">
      <c r="D52" s="27">
        <f t="shared" si="24"/>
        <v>7400</v>
      </c>
      <c r="E52" s="28">
        <f t="shared" si="25"/>
        <v>8.6322028018445893E-3</v>
      </c>
    </row>
    <row r="53" spans="4:5" x14ac:dyDescent="0.3">
      <c r="D53" s="27">
        <f t="shared" si="24"/>
        <v>7600</v>
      </c>
      <c r="E53" s="28">
        <f t="shared" si="25"/>
        <v>8.5724797210291782E-3</v>
      </c>
    </row>
    <row r="54" spans="4:5" x14ac:dyDescent="0.3">
      <c r="D54" s="27">
        <f t="shared" si="24"/>
        <v>7800</v>
      </c>
      <c r="E54" s="28">
        <f t="shared" si="25"/>
        <v>8.5148876543501874E-3</v>
      </c>
    </row>
    <row r="55" spans="4:5" x14ac:dyDescent="0.3">
      <c r="D55" s="27">
        <f t="shared" si="24"/>
        <v>8000</v>
      </c>
      <c r="E55" s="28">
        <f t="shared" si="25"/>
        <v>8.4593004192415246E-3</v>
      </c>
    </row>
    <row r="56" spans="4:5" x14ac:dyDescent="0.3">
      <c r="D56" s="27">
        <f t="shared" si="24"/>
        <v>8200</v>
      </c>
      <c r="E56" s="28">
        <f t="shared" si="25"/>
        <v>8.4056022017475335E-3</v>
      </c>
    </row>
    <row r="57" spans="4:5" x14ac:dyDescent="0.3">
      <c r="D57" s="27">
        <f t="shared" si="24"/>
        <v>8400</v>
      </c>
      <c r="E57" s="28">
        <f t="shared" si="25"/>
        <v>8.3536864766908143E-3</v>
      </c>
    </row>
    <row r="58" spans="4:5" x14ac:dyDescent="0.3">
      <c r="D58" s="27">
        <f t="shared" si="24"/>
        <v>8600</v>
      </c>
      <c r="E58" s="28">
        <f t="shared" si="25"/>
        <v>8.3034550629472147E-3</v>
      </c>
    </row>
    <row r="59" spans="4:5" x14ac:dyDescent="0.3">
      <c r="D59" s="27">
        <f t="shared" si="24"/>
        <v>8800</v>
      </c>
      <c r="E59" s="28">
        <f t="shared" si="25"/>
        <v>8.2548172942179445E-3</v>
      </c>
    </row>
    <row r="60" spans="4:5" x14ac:dyDescent="0.3">
      <c r="D60" s="27">
        <f t="shared" si="24"/>
        <v>9000</v>
      </c>
      <c r="E60" s="28">
        <f t="shared" si="25"/>
        <v>8.2076892889101621E-3</v>
      </c>
    </row>
    <row r="61" spans="4:5" x14ac:dyDescent="0.3">
      <c r="D61" s="27">
        <f t="shared" si="24"/>
        <v>9200</v>
      </c>
      <c r="E61" s="28">
        <f t="shared" si="25"/>
        <v>8.1619933053709622E-3</v>
      </c>
    </row>
    <row r="62" spans="4:5" x14ac:dyDescent="0.3">
      <c r="D62" s="27">
        <f t="shared" si="24"/>
        <v>9400</v>
      </c>
      <c r="E62" s="28">
        <f t="shared" si="25"/>
        <v>8.117657170882326E-3</v>
      </c>
    </row>
    <row r="63" spans="4:5" x14ac:dyDescent="0.3">
      <c r="D63" s="27">
        <f t="shared" si="24"/>
        <v>9600</v>
      </c>
      <c r="E63" s="28">
        <f t="shared" si="25"/>
        <v>8.074613774609345E-3</v>
      </c>
    </row>
    <row r="64" spans="4:5" x14ac:dyDescent="0.3">
      <c r="D64" s="27">
        <f t="shared" si="24"/>
        <v>9800</v>
      </c>
      <c r="E64" s="28">
        <f t="shared" si="25"/>
        <v>8.032800616172649E-3</v>
      </c>
    </row>
    <row r="65" spans="4:5" x14ac:dyDescent="0.3">
      <c r="D65" s="27">
        <f t="shared" si="24"/>
        <v>10000</v>
      </c>
      <c r="E65" s="28">
        <f t="shared" si="25"/>
        <v>7.992159402746642E-3</v>
      </c>
    </row>
    <row r="66" spans="4:5" x14ac:dyDescent="0.3">
      <c r="D66" s="27">
        <f>D65+500</f>
        <v>10500</v>
      </c>
      <c r="E66" s="28">
        <f t="shared" si="25"/>
        <v>7.8953349286131399E-3</v>
      </c>
    </row>
    <row r="67" spans="4:5" x14ac:dyDescent="0.3">
      <c r="D67" s="27">
        <f t="shared" ref="D67:D85" si="26">D66+500</f>
        <v>11000</v>
      </c>
      <c r="E67" s="28">
        <f t="shared" si="25"/>
        <v>7.8047443472078464E-3</v>
      </c>
    </row>
    <row r="68" spans="4:5" x14ac:dyDescent="0.3">
      <c r="D68" s="27">
        <f t="shared" si="26"/>
        <v>11500</v>
      </c>
      <c r="E68" s="28">
        <f t="shared" si="25"/>
        <v>7.7197397286567068E-3</v>
      </c>
    </row>
    <row r="69" spans="4:5" x14ac:dyDescent="0.3">
      <c r="D69" s="27">
        <f t="shared" si="26"/>
        <v>12000</v>
      </c>
      <c r="E69" s="28">
        <f t="shared" si="25"/>
        <v>7.6397647466770972E-3</v>
      </c>
    </row>
    <row r="70" spans="4:5" x14ac:dyDescent="0.3">
      <c r="D70" s="27">
        <f t="shared" si="26"/>
        <v>12500</v>
      </c>
      <c r="E70" s="28">
        <f t="shared" si="25"/>
        <v>7.5643385502488858E-3</v>
      </c>
    </row>
    <row r="71" spans="4:5" x14ac:dyDescent="0.3">
      <c r="D71" s="27">
        <f t="shared" si="26"/>
        <v>13000</v>
      </c>
      <c r="E71" s="28">
        <f t="shared" si="25"/>
        <v>7.4930429920904281E-3</v>
      </c>
    </row>
    <row r="72" spans="4:5" x14ac:dyDescent="0.3">
      <c r="D72" s="27">
        <f t="shared" si="26"/>
        <v>13500</v>
      </c>
      <c r="E72" s="28">
        <f t="shared" si="25"/>
        <v>7.4255124156197578E-3</v>
      </c>
    </row>
    <row r="73" spans="4:5" x14ac:dyDescent="0.3">
      <c r="D73" s="27">
        <f t="shared" si="26"/>
        <v>14000</v>
      </c>
      <c r="E73" s="28">
        <f t="shared" si="25"/>
        <v>7.361425413939744E-3</v>
      </c>
    </row>
    <row r="74" spans="4:5" x14ac:dyDescent="0.3">
      <c r="D74" s="27">
        <f t="shared" si="26"/>
        <v>14500</v>
      </c>
      <c r="E74" s="28">
        <f t="shared" si="25"/>
        <v>7.3004981245882363E-3</v>
      </c>
    </row>
    <row r="75" spans="4:5" x14ac:dyDescent="0.3">
      <c r="D75" s="27">
        <f t="shared" si="26"/>
        <v>15000</v>
      </c>
      <c r="E75" s="28">
        <f t="shared" si="25"/>
        <v>7.2424787317586364E-3</v>
      </c>
    </row>
    <row r="76" spans="4:5" x14ac:dyDescent="0.3">
      <c r="D76" s="27">
        <f t="shared" si="26"/>
        <v>15500</v>
      </c>
      <c r="E76" s="28">
        <f t="shared" si="25"/>
        <v>7.1871429262914364E-3</v>
      </c>
    </row>
    <row r="77" spans="4:5" x14ac:dyDescent="0.3">
      <c r="D77" s="27">
        <f t="shared" si="26"/>
        <v>16000</v>
      </c>
      <c r="E77" s="28">
        <f t="shared" si="25"/>
        <v>7.1342901316277969E-3</v>
      </c>
    </row>
    <row r="78" spans="4:5" x14ac:dyDescent="0.3">
      <c r="D78" s="27">
        <f t="shared" si="26"/>
        <v>16500</v>
      </c>
      <c r="E78" s="28">
        <f t="shared" si="25"/>
        <v>7.0837403470238383E-3</v>
      </c>
    </row>
    <row r="79" spans="4:5" x14ac:dyDescent="0.3">
      <c r="D79" s="27">
        <f>D78+500</f>
        <v>17000</v>
      </c>
      <c r="E79" s="28">
        <f t="shared" si="25"/>
        <v>7.0353314917509149E-3</v>
      </c>
    </row>
    <row r="80" spans="4:5" x14ac:dyDescent="0.3">
      <c r="D80" s="27">
        <f t="shared" si="26"/>
        <v>17500</v>
      </c>
      <c r="E80" s="28">
        <f t="shared" si="25"/>
        <v>6.98891715863122E-3</v>
      </c>
    </row>
    <row r="81" spans="4:5" x14ac:dyDescent="0.3">
      <c r="D81" s="27">
        <f>D80+500</f>
        <v>18000</v>
      </c>
      <c r="E81" s="28">
        <f t="shared" si="25"/>
        <v>6.9443647041230998E-3</v>
      </c>
    </row>
    <row r="82" spans="4:5" x14ac:dyDescent="0.3">
      <c r="D82" s="27">
        <f t="shared" si="26"/>
        <v>18500</v>
      </c>
      <c r="E82" s="28">
        <f t="shared" si="25"/>
        <v>6.9015536167440113E-3</v>
      </c>
    </row>
    <row r="83" spans="4:5" x14ac:dyDescent="0.3">
      <c r="D83" s="27">
        <f t="shared" si="26"/>
        <v>19000</v>
      </c>
      <c r="E83" s="28">
        <f t="shared" si="25"/>
        <v>6.8603741169649861E-3</v>
      </c>
    </row>
    <row r="84" spans="4:5" x14ac:dyDescent="0.3">
      <c r="D84" s="27">
        <f t="shared" si="26"/>
        <v>19500</v>
      </c>
      <c r="E84" s="28">
        <f t="shared" si="25"/>
        <v>6.820725950609033E-3</v>
      </c>
    </row>
    <row r="85" spans="4:5" x14ac:dyDescent="0.3">
      <c r="D85" s="27">
        <f t="shared" si="26"/>
        <v>20000</v>
      </c>
      <c r="E85" s="28">
        <f t="shared" si="25"/>
        <v>6.7825173448130306E-3</v>
      </c>
    </row>
    <row r="86" spans="4:5" x14ac:dyDescent="0.3">
      <c r="D86" s="27">
        <f>D85+1000</f>
        <v>21000</v>
      </c>
      <c r="E86" s="28">
        <f t="shared" si="25"/>
        <v>6.7100888053647683E-3</v>
      </c>
    </row>
    <row r="87" spans="4:5" x14ac:dyDescent="0.3">
      <c r="D87" s="27">
        <f t="shared" ref="D87:D106" si="27">D86+1000</f>
        <v>22000</v>
      </c>
      <c r="E87" s="28">
        <f t="shared" si="25"/>
        <v>6.6424922550981915E-3</v>
      </c>
    </row>
    <row r="88" spans="4:5" x14ac:dyDescent="0.3">
      <c r="D88" s="27">
        <f t="shared" si="27"/>
        <v>23000</v>
      </c>
      <c r="E88" s="28">
        <f t="shared" si="25"/>
        <v>6.5792198040515986E-3</v>
      </c>
    </row>
    <row r="89" spans="4:5" x14ac:dyDescent="0.3">
      <c r="D89" s="27">
        <f t="shared" si="27"/>
        <v>24000</v>
      </c>
      <c r="E89" s="28">
        <f t="shared" si="25"/>
        <v>6.5198356722989612E-3</v>
      </c>
    </row>
    <row r="90" spans="4:5" x14ac:dyDescent="0.3">
      <c r="D90" s="27">
        <f t="shared" si="27"/>
        <v>25000</v>
      </c>
      <c r="E90" s="28">
        <f t="shared" si="25"/>
        <v>6.4639634681237339E-3</v>
      </c>
    </row>
    <row r="91" spans="4:5" x14ac:dyDescent="0.3">
      <c r="D91" s="27">
        <f t="shared" si="27"/>
        <v>26000</v>
      </c>
      <c r="E91" s="28">
        <f t="shared" si="25"/>
        <v>6.4112761170805428E-3</v>
      </c>
    </row>
    <row r="92" spans="4:5" x14ac:dyDescent="0.3">
      <c r="D92" s="27">
        <f t="shared" si="27"/>
        <v>27000</v>
      </c>
      <c r="E92" s="28">
        <f t="shared" si="25"/>
        <v>6.3614878110271975E-3</v>
      </c>
    </row>
    <row r="93" spans="4:5" x14ac:dyDescent="0.3">
      <c r="D93" s="27">
        <f t="shared" si="27"/>
        <v>28000</v>
      </c>
      <c r="E93" s="28">
        <f t="shared" si="25"/>
        <v>6.3143475137330532E-3</v>
      </c>
    </row>
    <row r="94" spans="4:5" x14ac:dyDescent="0.3">
      <c r="D94" s="27">
        <f t="shared" si="27"/>
        <v>29000</v>
      </c>
      <c r="E94" s="28">
        <f t="shared" si="25"/>
        <v>6.2696336784201709E-3</v>
      </c>
    </row>
    <row r="95" spans="4:5" x14ac:dyDescent="0.3">
      <c r="D95" s="27">
        <f t="shared" si="27"/>
        <v>30000</v>
      </c>
      <c r="E95" s="28">
        <f t="shared" ref="E95:E135" si="28">0.00138*(1+(20000*B$20+1000000/D95)^(1/3))</f>
        <v>6.227149917936302E-3</v>
      </c>
    </row>
    <row r="96" spans="4:5" x14ac:dyDescent="0.3">
      <c r="D96" s="27">
        <f t="shared" si="27"/>
        <v>31000</v>
      </c>
      <c r="E96" s="28">
        <f t="shared" si="28"/>
        <v>6.1867214303755113E-3</v>
      </c>
    </row>
    <row r="97" spans="4:5" x14ac:dyDescent="0.3">
      <c r="D97" s="27">
        <f t="shared" si="27"/>
        <v>32000</v>
      </c>
      <c r="E97" s="28">
        <f t="shared" si="28"/>
        <v>6.1481920287077161E-3</v>
      </c>
    </row>
    <row r="98" spans="4:5" x14ac:dyDescent="0.3">
      <c r="D98" s="27">
        <f t="shared" si="27"/>
        <v>33000</v>
      </c>
      <c r="E98" s="28">
        <f t="shared" si="28"/>
        <v>6.1114216570365516E-3</v>
      </c>
    </row>
    <row r="99" spans="4:5" x14ac:dyDescent="0.3">
      <c r="D99" s="27">
        <f t="shared" si="27"/>
        <v>34000</v>
      </c>
      <c r="E99" s="28">
        <f t="shared" si="28"/>
        <v>6.0762843017200061E-3</v>
      </c>
    </row>
    <row r="100" spans="4:5" x14ac:dyDescent="0.3">
      <c r="D100" s="27">
        <f t="shared" si="27"/>
        <v>35000</v>
      </c>
      <c r="E100" s="28">
        <f t="shared" si="28"/>
        <v>6.042666225036528E-3</v>
      </c>
    </row>
    <row r="101" spans="4:5" x14ac:dyDescent="0.3">
      <c r="D101" s="27">
        <f t="shared" si="27"/>
        <v>36000</v>
      </c>
      <c r="E101" s="28">
        <f t="shared" si="28"/>
        <v>6.0104644639765179E-3</v>
      </c>
    </row>
    <row r="102" spans="4:5" x14ac:dyDescent="0.3">
      <c r="D102" s="27">
        <f t="shared" si="27"/>
        <v>37000</v>
      </c>
      <c r="E102" s="28">
        <f t="shared" si="28"/>
        <v>5.9795855482453458E-3</v>
      </c>
    </row>
    <row r="103" spans="4:5" x14ac:dyDescent="0.3">
      <c r="D103" s="27">
        <f t="shared" si="27"/>
        <v>38000</v>
      </c>
      <c r="E103" s="28">
        <f t="shared" si="28"/>
        <v>5.9499444005206726E-3</v>
      </c>
    </row>
    <row r="104" spans="4:5" x14ac:dyDescent="0.3">
      <c r="D104" s="27">
        <f t="shared" si="27"/>
        <v>39000</v>
      </c>
      <c r="E104" s="28">
        <f t="shared" si="28"/>
        <v>5.9214633890300634E-3</v>
      </c>
    </row>
    <row r="105" spans="4:5" x14ac:dyDescent="0.3">
      <c r="D105" s="27">
        <f t="shared" si="27"/>
        <v>40000</v>
      </c>
      <c r="E105" s="28">
        <f t="shared" si="28"/>
        <v>5.8940715080602526E-3</v>
      </c>
    </row>
    <row r="106" spans="4:5" x14ac:dyDescent="0.3">
      <c r="D106" s="27">
        <f>D105+2000</f>
        <v>42000</v>
      </c>
      <c r="E106" s="28">
        <f t="shared" si="28"/>
        <v>5.8423000673756406E-3</v>
      </c>
    </row>
    <row r="107" spans="4:5" x14ac:dyDescent="0.3">
      <c r="D107" s="27">
        <f t="shared" ref="D107:D135" si="29">D106+2000</f>
        <v>44000</v>
      </c>
      <c r="E107" s="28">
        <f t="shared" si="28"/>
        <v>5.7941696960423393E-3</v>
      </c>
    </row>
    <row r="108" spans="4:5" x14ac:dyDescent="0.3">
      <c r="D108" s="27">
        <f t="shared" si="29"/>
        <v>46000</v>
      </c>
      <c r="E108" s="28">
        <f t="shared" si="28"/>
        <v>5.7492888962963591E-3</v>
      </c>
    </row>
    <row r="109" spans="4:5" x14ac:dyDescent="0.3">
      <c r="D109" s="27">
        <f t="shared" si="29"/>
        <v>48000</v>
      </c>
      <c r="E109" s="28">
        <f t="shared" si="28"/>
        <v>5.7073223297004223E-3</v>
      </c>
    </row>
    <row r="110" spans="4:5" x14ac:dyDescent="0.3">
      <c r="D110" s="27">
        <f t="shared" si="29"/>
        <v>50000</v>
      </c>
      <c r="E110" s="28">
        <f t="shared" si="28"/>
        <v>5.6679808582163239E-3</v>
      </c>
    </row>
    <row r="111" spans="4:5" x14ac:dyDescent="0.3">
      <c r="D111" s="27">
        <f t="shared" si="29"/>
        <v>52000</v>
      </c>
      <c r="E111" s="28">
        <f t="shared" si="28"/>
        <v>5.6310136664715696E-3</v>
      </c>
    </row>
    <row r="112" spans="4:5" x14ac:dyDescent="0.3">
      <c r="D112" s="27">
        <f t="shared" si="29"/>
        <v>54000</v>
      </c>
      <c r="E112" s="28">
        <f t="shared" si="28"/>
        <v>5.5962019689919018E-3</v>
      </c>
    </row>
    <row r="113" spans="4:5" x14ac:dyDescent="0.3">
      <c r="D113" s="27">
        <f t="shared" si="29"/>
        <v>56000</v>
      </c>
      <c r="E113" s="28">
        <f t="shared" si="28"/>
        <v>5.5633539380950071E-3</v>
      </c>
    </row>
    <row r="114" spans="4:5" x14ac:dyDescent="0.3">
      <c r="D114" s="27">
        <f t="shared" si="29"/>
        <v>58000</v>
      </c>
      <c r="E114" s="28">
        <f t="shared" si="28"/>
        <v>5.5323005816210694E-3</v>
      </c>
    </row>
    <row r="115" spans="4:5" x14ac:dyDescent="0.3">
      <c r="D115" s="27">
        <f t="shared" si="29"/>
        <v>60000</v>
      </c>
      <c r="E115" s="28">
        <f t="shared" si="28"/>
        <v>5.5028923668325909E-3</v>
      </c>
    </row>
    <row r="116" spans="4:5" x14ac:dyDescent="0.3">
      <c r="D116" s="27">
        <f t="shared" si="29"/>
        <v>62000</v>
      </c>
      <c r="E116" s="28">
        <f t="shared" si="28"/>
        <v>5.4749964356774873E-3</v>
      </c>
    </row>
    <row r="117" spans="4:5" x14ac:dyDescent="0.3">
      <c r="D117" s="27">
        <f t="shared" si="29"/>
        <v>64000</v>
      </c>
      <c r="E117" s="28">
        <f t="shared" si="28"/>
        <v>5.4484942925795525E-3</v>
      </c>
    </row>
    <row r="118" spans="4:5" x14ac:dyDescent="0.3">
      <c r="D118" s="27">
        <f>D117+2000</f>
        <v>66000</v>
      </c>
      <c r="E118" s="28">
        <f t="shared" si="28"/>
        <v>5.4232798726902409E-3</v>
      </c>
    </row>
    <row r="119" spans="4:5" x14ac:dyDescent="0.3">
      <c r="D119" s="27">
        <f t="shared" si="29"/>
        <v>68000</v>
      </c>
      <c r="E119" s="28">
        <f t="shared" si="28"/>
        <v>5.399257918661457E-3</v>
      </c>
    </row>
    <row r="120" spans="4:5" x14ac:dyDescent="0.3">
      <c r="D120" s="27">
        <f>D119+2000</f>
        <v>70000</v>
      </c>
      <c r="E120" s="28">
        <f t="shared" si="28"/>
        <v>5.3763426092734521E-3</v>
      </c>
    </row>
    <row r="121" spans="4:5" x14ac:dyDescent="0.3">
      <c r="D121" s="27">
        <f t="shared" si="29"/>
        <v>72000</v>
      </c>
      <c r="E121" s="28">
        <f t="shared" si="28"/>
        <v>5.3544563949473756E-3</v>
      </c>
    </row>
    <row r="122" spans="4:5" x14ac:dyDescent="0.3">
      <c r="D122" s="27">
        <f t="shared" si="29"/>
        <v>74000</v>
      </c>
      <c r="E122" s="28">
        <f t="shared" si="28"/>
        <v>5.333529004201666E-3</v>
      </c>
    </row>
    <row r="123" spans="4:5" x14ac:dyDescent="0.3">
      <c r="D123" s="27">
        <f t="shared" si="29"/>
        <v>76000</v>
      </c>
      <c r="E123" s="28">
        <f t="shared" si="28"/>
        <v>5.3134965921373435E-3</v>
      </c>
    </row>
    <row r="124" spans="4:5" x14ac:dyDescent="0.3">
      <c r="D124" s="27">
        <f t="shared" si="29"/>
        <v>78000</v>
      </c>
      <c r="E124" s="28">
        <f t="shared" si="28"/>
        <v>5.2943010075443622E-3</v>
      </c>
    </row>
    <row r="125" spans="4:5" x14ac:dyDescent="0.3">
      <c r="D125" s="27">
        <f>D124+2000</f>
        <v>80000</v>
      </c>
      <c r="E125" s="28">
        <f t="shared" si="28"/>
        <v>5.2758891595674571E-3</v>
      </c>
    </row>
    <row r="126" spans="4:5" x14ac:dyDescent="0.3">
      <c r="D126" s="27">
        <f t="shared" si="29"/>
        <v>82000</v>
      </c>
      <c r="E126" s="28">
        <f t="shared" si="28"/>
        <v>5.2582124683228839E-3</v>
      </c>
    </row>
    <row r="127" spans="4:5" x14ac:dyDescent="0.3">
      <c r="D127" s="27">
        <f t="shared" si="29"/>
        <v>84000</v>
      </c>
      <c r="E127" s="28">
        <f t="shared" si="28"/>
        <v>5.2412263866172563E-3</v>
      </c>
    </row>
    <row r="128" spans="4:5" x14ac:dyDescent="0.3">
      <c r="D128" s="27">
        <f t="shared" si="29"/>
        <v>86000</v>
      </c>
      <c r="E128" s="28">
        <f t="shared" si="28"/>
        <v>5.2248899821387956E-3</v>
      </c>
    </row>
    <row r="129" spans="4:5" x14ac:dyDescent="0.3">
      <c r="D129" s="27">
        <f t="shared" si="29"/>
        <v>88000</v>
      </c>
      <c r="E129" s="28">
        <f t="shared" si="28"/>
        <v>5.2091655712852474E-3</v>
      </c>
    </row>
    <row r="130" spans="4:5" x14ac:dyDescent="0.3">
      <c r="D130" s="27">
        <f t="shared" si="29"/>
        <v>90000</v>
      </c>
      <c r="E130" s="28">
        <f t="shared" si="28"/>
        <v>5.1940183972508606E-3</v>
      </c>
    </row>
    <row r="131" spans="4:5" x14ac:dyDescent="0.3">
      <c r="D131" s="27">
        <f t="shared" si="29"/>
        <v>92000</v>
      </c>
      <c r="E131" s="28">
        <f t="shared" si="28"/>
        <v>5.1794163461857928E-3</v>
      </c>
    </row>
    <row r="132" spans="4:5" x14ac:dyDescent="0.3">
      <c r="D132" s="27">
        <f t="shared" si="29"/>
        <v>94000</v>
      </c>
      <c r="E132" s="28">
        <f t="shared" si="28"/>
        <v>5.1653296962188263E-3</v>
      </c>
    </row>
    <row r="133" spans="4:5" x14ac:dyDescent="0.3">
      <c r="D133" s="27">
        <f t="shared" si="29"/>
        <v>96000</v>
      </c>
      <c r="E133" s="28">
        <f t="shared" si="28"/>
        <v>5.151730894940156E-3</v>
      </c>
    </row>
    <row r="134" spans="4:5" x14ac:dyDescent="0.3">
      <c r="D134" s="27">
        <f>D133+2000</f>
        <v>98000</v>
      </c>
      <c r="E134" s="28">
        <f t="shared" si="28"/>
        <v>5.1385943616084175E-3</v>
      </c>
    </row>
    <row r="135" spans="4:5" ht="15" thickBot="1" x14ac:dyDescent="0.35">
      <c r="D135" s="29">
        <f t="shared" si="29"/>
        <v>100000</v>
      </c>
      <c r="E135" s="30">
        <f t="shared" si="28"/>
        <v>5.1258963109009703E-3</v>
      </c>
    </row>
    <row r="136" spans="4:5" x14ac:dyDescent="0.3">
      <c r="E136" s="3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9514-48A6-4471-8E61-7F09CD6BE944}">
  <dimension ref="A1"/>
  <sheetViews>
    <sheetView tabSelected="1" workbookViewId="0">
      <selection activeCell="M15" sqref="M15"/>
    </sheetView>
  </sheetViews>
  <sheetFormatPr defaultRowHeight="14.4" x14ac:dyDescent="0.3"/>
  <cols>
    <col min="1" max="16384" width="8.88671875" style="38"/>
  </cols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pad.Document.1" shapeId="2049" r:id="rId3">
          <objectPr defaultSize="0" r:id="rId4">
            <anchor moveWithCells="1">
              <from>
                <xdr:col>1</xdr:col>
                <xdr:colOff>7620</xdr:colOff>
                <xdr:row>1</xdr:row>
                <xdr:rowOff>0</xdr:rowOff>
              </from>
              <to>
                <xdr:col>10</xdr:col>
                <xdr:colOff>30480</xdr:colOff>
                <xdr:row>40</xdr:row>
                <xdr:rowOff>60960</xdr:rowOff>
              </to>
            </anchor>
          </objectPr>
        </oleObject>
      </mc:Choice>
      <mc:Fallback>
        <oleObject progId="Wordpad.Document.1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Jasper Day</cp:lastModifiedBy>
  <dcterms:created xsi:type="dcterms:W3CDTF">2022-11-16T11:27:35Z</dcterms:created>
  <dcterms:modified xsi:type="dcterms:W3CDTF">2022-11-17T14:58:45Z</dcterms:modified>
</cp:coreProperties>
</file>