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ess langen -filterretweets " sheetId="1" r:id="rId4"/>
    <sheet state="visible" name="Twitter Archiver Logs" sheetId="2" r:id="rId5"/>
    <sheet state="visible" name="Sheet2" sheetId="3" r:id="rId6"/>
  </sheets>
  <definedNames/>
  <calcPr/>
</workbook>
</file>

<file path=xl/sharedStrings.xml><?xml version="1.0" encoding="utf-8"?>
<sst xmlns="http://schemas.openxmlformats.org/spreadsheetml/2006/main" count="14647" uniqueCount="11101">
  <si>
    <t>Date</t>
  </si>
  <si>
    <t>Event Log</t>
  </si>
  <si>
    <t>This sheet will store the Twitter Archiver Logs</t>
  </si>
  <si>
    <t>Twitter Query: #stress lang:en -filter:retweets -filter:replies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</si>
  <si>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</si>
  <si>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</si>
  <si>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</si>
  <si>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</si>
  <si>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</si>
  <si>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</si>
  <si>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</si>
  <si>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</si>
  <si>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</si>
  <si>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</si>
  <si>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</si>
  <si>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</si>
  <si>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</si>
  <si>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</si>
  <si>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</si>
  <si>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</si>
  <si>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</si>
  <si>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</si>
  <si>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</si>
  <si>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Michael Walters</t>
  </si>
  <si>
    <t>Stress (an acrostic one-sided conversation) #acrostic #amwriting #conversation #story #stress</t>
  </si>
  <si>
    <t>https://nevershortonwords.wordpress.com/2020/01/18/stress-an-acrostic-one-sided-conversation/</t>
  </si>
  <si>
    <t>https://pbs.twimg.com/media/EOnSXnbXUAE5gvp.jpg</t>
  </si>
  <si>
    <t>Potsdam, NY</t>
  </si>
  <si>
    <t>A physicist and roboticist with the heart of a writer/poet. For my writing see http://nevershortonwords.wordpress.com and http://drivebyhaiku.wordpress.com.</t>
  </si>
  <si>
    <t>http://www.unemployedgames.com</t>
  </si>
  <si>
    <t>Daniela Falecki</t>
  </si>
  <si>
    <t>Are you starting to think about work and get ready for term 1 ? Be sure to think about supporting your wellbeing too. Checkout this #tedtalk on how to make stress your friend  #teacherwellbeing #stress #burnout #resilience</t>
  </si>
  <si>
    <t>https://youtu.be/RcGyVTAoXEU</t>
  </si>
  <si>
    <t>Sydney, Australia</t>
  </si>
  <si>
    <t>Teacher Wellbeing Director - 20 yrs as a teacher (primary, high school, university), Lecturer UWS, NLP &amp; Life Coach &amp; most importantly, human being.</t>
  </si>
  <si>
    <t>http://www.teacher-wellbeing.com.au</t>
  </si>
  <si>
    <t>SUCCESS magazine</t>
  </si>
  <si>
    <t>#DidYouKNow: #Laughing boosts the immune system, burns calories and reduces #stress hormones, making it a very healthy activity. #HappySaturday #LOL</t>
  </si>
  <si>
    <t>✅</t>
  </si>
  <si>
    <t>SUCCESS is your guide for personal and professional development through inspiration, motivation and training.</t>
  </si>
  <si>
    <t>http://www.SUCCESS.com/</t>
  </si>
  <si>
    <t>Ken Okel</t>
  </si>
  <si>
    <t>Never have enough time at work? Little problems are leaching your time.  #stress #management</t>
  </si>
  <si>
    <t>https://youtu.be/umE3v0I4TIY</t>
  </si>
  <si>
    <t>Boynton Beach, Florida</t>
  </si>
  <si>
    <t>I work with leaders who want to unleash employee production, performance, and profits. I also help people promote their business and their brand with video.</t>
  </si>
  <si>
    <t>http://www.kenokel.com</t>
  </si>
  <si>
    <t>Neel Raman</t>
  </si>
  <si>
    <t>A cluttered mind is the opposite of a calm, focused mind. When we have a cluttered mind, we will experience confusion and uncertainty. Here are some valuable ideas on "How to Deal With a Cluttered Mind When Under Pressure."  #lifelessons #stress</t>
  </si>
  <si>
    <t>https://bit.ly/2UK1vXC</t>
  </si>
  <si>
    <t>https://pbs.twimg.com/media/EOnLxR1X4AE4in2.png</t>
  </si>
  <si>
    <t>Australia</t>
  </si>
  <si>
    <t>#1 International Best-selling Author of "Ignite Your Leadership," TEDx Speaker, High-Performing Teams Trainer &amp; Business Coach</t>
  </si>
  <si>
    <t>http://www.NeelRaman.com</t>
  </si>
  <si>
    <t>AlyBCo</t>
  </si>
  <si>
    <t>Too many tasks? Feeling overwhelmed by the small things and unable to focus on the big picture for your business? You need an assistant! Get in touch with AlyBCo today. #stress #overwhelm #Focus</t>
  </si>
  <si>
    <t>United States</t>
  </si>
  <si>
    <t>👩‍👧‍👦Mom 🇺🇸 Army Wife 💻Online Business Manager 🏆Jill of All Trades</t>
  </si>
  <si>
    <t>https://calendly.com/alybco/discovery-call</t>
  </si>
  <si>
    <t>DHakimi</t>
  </si>
  <si>
    <t>Self care is a must. #selfcare #stress #managestress #taketime RT @EdSurge: "Teaching is recognized as an incredibly high-stress career—as stressful as an emergency room—which is compounded by the fact that many of us are not doing things that would help us manage that stress." #k12 #teacherlife</t>
  </si>
  <si>
    <t>https://twitter.com/edsurge/status/1218676696674656257
http://bit.ly/35Kf5eR</t>
  </si>
  <si>
    <t>Easton, PA</t>
  </si>
  <si>
    <t>Asst. Principal EAHS</t>
  </si>
  <si>
    <t>http://eastonsd.org</t>
  </si>
  <si>
    <t>⚔🅿AwAN 🅿RaTa🅿</t>
  </si>
  <si>
    <t>Don't #stress , do ur #best , #Forget the rest ... #SundayMotivation</t>
  </si>
  <si>
    <t>https://pbs.twimg.com/media/EOnIS0uVUAE6qu1.jpg</t>
  </si>
  <si>
    <t xml:space="preserve">Lucknow / अवध  (INDIA) </t>
  </si>
  <si>
    <t>#ज़िंदगी मे कभी #विश्वास करना हो न तो खुद पर करना सिर्फ #खुद पर और किसी पर नही #Tweet 👉❤👈</t>
  </si>
  <si>
    <t>Aditi Sharma</t>
  </si>
  <si>
    <t>Don't #stress. Do your #best. Forget the #rest. #ChartbusterSid</t>
  </si>
  <si>
    <t>Bengaluru, India</t>
  </si>
  <si>
    <t>#BB13 means #SidharthShukla Programmer 🐍 Ardent lover of plants🌱Traveller ✈️ Sustainable solutions ♻️ for better tomorrow 💚</t>
  </si>
  <si>
    <t>https://www.instagram.com/aditisharmanit1</t>
  </si>
  <si>
    <t>Victor Columba</t>
  </si>
  <si>
    <t>If you can't handle #stress, you can't handle #success. Period.</t>
  </si>
  <si>
    <t>Global village</t>
  </si>
  <si>
    <t>Stoic:- Wisdom. Courage. Justice and Temperance.</t>
  </si>
  <si>
    <t>AKASH MAURYA</t>
  </si>
  <si>
    <t>I dont know who want to hear this but You were born with certain #genetics and #circumstances So dnt #stress yourself much Relax bitch!!!</t>
  </si>
  <si>
    <t>pic.twitter.com/lNZDnJbXMR</t>
  </si>
  <si>
    <t>sarcasm par zinda hu bas</t>
  </si>
  <si>
    <t>https://www.instagram.com/monkeykinggggggg/</t>
  </si>
  <si>
    <t>Dr. Nick Engerer</t>
  </si>
  <si>
    <t>You do you Meghan! Every person has the right to prioritiae their #mentalhealth and #wellness. No one should accept a #stress driven lifestyle, no matter the cost of the change. #megexit #weloveyoumeghan</t>
  </si>
  <si>
    <t>Byron Bay, New South Wales</t>
  </si>
  <si>
    <t>I like to think of life as an optimisation experiment, which for me is currently focused on #longevity &amp; #healthspan! [subscribe to my blog👇🏻]. CTO at Solcast</t>
  </si>
  <si>
    <t>http://www.nickengerer.org/longevity/subscribe</t>
  </si>
  <si>
    <t>ㅊ ㄹ ㅇ</t>
  </si>
  <si>
    <t>damn cool 🔥  #THE_UNSEEN #stress</t>
  </si>
  <si>
    <t>https://www.youtube.com/watch?v=wq8664T0ggM</t>
  </si>
  <si>
    <t>pic.twitter.com/njzpFVnCtr</t>
  </si>
  <si>
    <t>ᴛᴡᴇᴇᴛ/ʀᴛ | ᴀᴘɪɴᴋ | 초롱 | 𝖘𝖊𝖒𝖎-𝖍𝖎𝖆𝖙𝖚𝖘 ❄️ ✨ | Fan account</t>
  </si>
  <si>
    <t>Mindfulness Training</t>
  </si>
  <si>
    <t>[Podcast] “Mindfulness Meditation Made Easy” on RadioMD:  #listen #mindfulness #stress meditation</t>
  </si>
  <si>
    <t>https://radiomd.com/healthy-talk/item/27162-mindfulness-meditation-made-easy</t>
  </si>
  <si>
    <t>Raleigh, NC</t>
  </si>
  <si>
    <t>Charles A. Francis, #meditation teacher, author “Mindfulness Meditation Made Simple: Your Guide to Finding True Inner Peace” #inspirational #quotes #mindfulness</t>
  </si>
  <si>
    <t>http://www.MindfulnessMeditationInstitute.org/</t>
  </si>
  <si>
    <t>HH Talk Radio</t>
  </si>
  <si>
    <t>Stop the rushing, stop the noise, stop the #stress… just stop. 🌟 Breathe the best air possible with @Molekule and Photo Electro-chemical Oxidation (PECO) nanotechnology that eliminates allergens, mold, bacteria, viruses, and airborne chemicals. 🥰</t>
  </si>
  <si>
    <t>Los Angeles</t>
  </si>
  <si>
    <t>Harvesting Happiness Talk Radio highlights what the greatest thinkers and doers in the world are doing to inspire well-being and human flourishing.</t>
  </si>
  <si>
    <t>http://harvestinghappinesstalkradio.com</t>
  </si>
  <si>
    <t>Loren M Gelberg-Goff</t>
  </si>
  <si>
    <t>#Sleep is imperative. When worry, #stress, or anxiety interfere, learn #strategies that will enable you to get the sleep you need and deserve.</t>
  </si>
  <si>
    <t>http://bit.ly/2tmeNKb</t>
  </si>
  <si>
    <t>New Jersey</t>
  </si>
  <si>
    <t>Empowering Family Caregivers to Take Back Their Lives- Learn to take as good care of yourself as you do of others in your life.</t>
  </si>
  <si>
    <t>http://www.LorenGelbergGoff.com</t>
  </si>
  <si>
    <t>ZZ Edibles</t>
  </si>
  <si>
    <t>#Svengoolie Thank you for #follow, enjoy some #Natural plant power #CBD cures #stress #pain #sleep better , helps #PTSD and improve workouts . Best Tasting #edibles  #motivation #follobackforfolloback</t>
  </si>
  <si>
    <t>http://zzedibles.com</t>
  </si>
  <si>
    <t>pic.twitter.com/7ex0L8659g</t>
  </si>
  <si>
    <t>USA</t>
  </si>
  <si>
    <t>ZZ Edibles offers all Made in the USA CBD Edibles. Our highest quality 100% natural #CBD isolates are derived from Non-GMO and Pesticide Free industrial hemp.</t>
  </si>
  <si>
    <t>http://www.zzedibles.com</t>
  </si>
  <si>
    <t>my jEARNey - Money | Wellness | Blogging</t>
  </si>
  <si>
    <t>"For fast-acting relief, try slowing down." - Lily Tomlin #selfcare #worklifebalance #wellbeing #stress #stressmanagement</t>
  </si>
  <si>
    <t>https://pbs.twimg.com/media/EOm-k8mUcAAWv0H.jpg</t>
  </si>
  <si>
    <t>Personal Finance + Wellness + Blogging Tips. Get FREE Access to the ever-growing Resource Library at myjearney dot com.</t>
  </si>
  <si>
    <t>http://myjearney.com</t>
  </si>
  <si>
    <t>Travelingthroughlifedaybyday</t>
  </si>
  <si>
    <t>Kick #Stress To The Curb! #FREE Mini-Course  #minicourse #money #budget</t>
  </si>
  <si>
    <t>https://travelingthroughlifedaybyday.com/kick-stress-to-the-curb-free-mini-course/?utm_source=ReviveOldPost&amp;utm_medium=social&amp;utm_campaign=ReviveOldPost</t>
  </si>
  <si>
    <t>I have a New FREE mini-course. http://bit.ly/2XvxZXM Course Creator, teacher, Blogger, travel, lifestyles, pets, and cancer. http://travelingthroughlifedaybyday.com.</t>
  </si>
  <si>
    <t>https://travelingthroughlifedaybyday.com</t>
  </si>
  <si>
    <t>Canine Companion Consulting</t>
  </si>
  <si>
    <t>Expressions of Discomfort in Dogs 🐶 -  #dog #dogs #noco #stress #discomfort</t>
  </si>
  <si>
    <t>https://mailchi.mp/f4cc28c45f7b/expressions-of-discomfort-in-dogs</t>
  </si>
  <si>
    <t>https://pbs.twimg.com/media/EOm7U3RUwAAcWni.jpg</t>
  </si>
  <si>
    <t>Fort Collins, CO</t>
  </si>
  <si>
    <t>At Canine Companion Consulting, we train dogs one human at a time using positive researched based methods.</t>
  </si>
  <si>
    <t>http://www.CanineCompanionConsulting.com</t>
  </si>
  <si>
    <t>Jeanne</t>
  </si>
  <si>
    <t>How to Use Deep Breathing to Beat Travel Anxiety ▸  #breathing #Anxiety #Stress</t>
  </si>
  <si>
    <t>https://lttr.ai/MS98</t>
  </si>
  <si>
    <t>https://pbs.twimg.com/media/EOm3yiKWoAE8baO.jpg</t>
  </si>
  <si>
    <t>Professor and writer @SocialMoms Email: info@theanxioustravelers.com Opinions are my own. Follows, RT, replies &amp; articles ≠ endorsement.</t>
  </si>
  <si>
    <t>http://www.TheAnxiousTravelers.com</t>
  </si>
  <si>
    <t>Managing Made Simple</t>
  </si>
  <si>
    <t>#stress free #managing of everything needs 1 of these; #passion to succeed or #lists to meet your #expectation. No passion? Then List it.</t>
  </si>
  <si>
    <t>Canada</t>
  </si>
  <si>
    <t>An effective yet simple #Managing System for #Managers #People #Entrepreneur . The only way to improve is by YOU investing in You. #Selfimprovement</t>
  </si>
  <si>
    <t>http://www.managingmadesimple.com/about-us/</t>
  </si>
  <si>
    <t>Isrg Rajan</t>
  </si>
  <si>
    <t>Best ways of getting over Depression, Stress and Anxiety See:  @isrgrajan #SundayMotivation #IsrgRajan #anxiety #Depression #Depression_counseling #Stress</t>
  </si>
  <si>
    <t>https://isrg.me/u8drED</t>
  </si>
  <si>
    <t>https://pbs.twimg.com/media/EOm3rQFU4AAOlo2.jpg</t>
  </si>
  <si>
    <t>New Delhi - India</t>
  </si>
  <si>
    <t>Entrepreneur, columnist and Founder of Isrg KB— http://isrgrajan.com</t>
  </si>
  <si>
    <t>http://isrg.me</t>
  </si>
  <si>
    <t>Dr. Diane</t>
  </si>
  <si>
    <t>#Bellabee Sale! Now is the time to get much needed relief from ​#Anxiety, #Insomnia, #Stress, #Concentration problems, #ADD &amp; #ADHD issues, #PTSD and #Depression. Boost your well-being today! #DrugFree #PharmaceuticalFree #SideEffectFree</t>
  </si>
  <si>
    <t>https://www.drdiane.com/product/bellabee/</t>
  </si>
  <si>
    <t>Skype with me from anywhere!</t>
  </si>
  <si>
    <t>Neuropsychologist | Author | Stroke &amp; Brain Injury Survivor | Brain Health Expert | @PsychToday Blogger | Specializes in Brain Rehabilitation and Brain Fitness</t>
  </si>
  <si>
    <t>https://www.DrDiane.com</t>
  </si>
  <si>
    <t>Capt Tom Bunn LCSW</t>
  </si>
  <si>
    <t>How do I release stress and anxiety in a healthy way?  #anxiety #stress #stressrelief</t>
  </si>
  <si>
    <t>https://goo.gl/y1v43I</t>
  </si>
  <si>
    <t>https://pbs.twimg.com/media/CyxfPyDVIAAW6Tq.jpg</t>
  </si>
  <si>
    <t>800 332-7359 • Get free app at</t>
  </si>
  <si>
    <t>Author of SOAR: The Breakthrough Treatment for Fear of Flying. Look inside book http://goo.gl/aTNgpb View SOAR video http://goo.gl/oBZJi3</t>
  </si>
  <si>
    <t>http://www.fearofflying.com/</t>
  </si>
  <si>
    <t>Dan Kuschell</t>
  </si>
  <si>
    <t>Do you need help scaling your #business with more #efficiency and less #stress? #Breakthrough3x can help.</t>
  </si>
  <si>
    <t>http://bit.ly/Breakthrough3X</t>
  </si>
  <si>
    <t>Scottsdale, AZ</t>
  </si>
  <si>
    <t>Dan Kuschell: Father, Husband, Entrepreneur, Author, Speaker and Mentor. My passion is helping others reach their potential...</t>
  </si>
  <si>
    <t>http://www.dankuschell.com</t>
  </si>
  <si>
    <t>Zen Life Naturals</t>
  </si>
  <si>
    <t>Natural option for anxiety and stress management #anxiety #stress #kava #kavapowder #zenlifestyle</t>
  </si>
  <si>
    <t>https://zenlifenaturals.com/product-category/kava-root-powder/</t>
  </si>
  <si>
    <t>https://pbs.twimg.com/media/EOmrUOlXkAARbIR.jpg</t>
  </si>
  <si>
    <t>Pinellas Park, FL</t>
  </si>
  <si>
    <t>Zen Life Naturals provides only the finest quality products to our customers. We provide quality kava, kratom powder, tea blends, &amp; more!</t>
  </si>
  <si>
    <t>thecrowdview</t>
  </si>
  <si>
    <t>MRT @carthagebuckley #lifecoaching Reduce stress w/ just 1 word #stress</t>
  </si>
  <si>
    <t>https://www.coachingpositiveperformance.com/reduce-stress-just-1-word/</t>
  </si>
  <si>
    <t>Retweet some of the best #motivation #spirital #leadership tweets to help #author to reach their audience. Authors: follow me and I will help u to #retweet.</t>
  </si>
  <si>
    <t>Sheanna Ramlogan</t>
  </si>
  <si>
    <t>Reality is the leading cause of #stress amongst those in touch with it. #JaneWagner</t>
  </si>
  <si>
    <t>Universe</t>
  </si>
  <si>
    <t>“What's wrong with the world today?" "I am." #GKChesterton</t>
  </si>
  <si>
    <t>Nathan D'Cunha</t>
  </si>
  <si>
    <t>Dietary Phospholipids: Role in Cognitive Processes Across the Lifespan  #stress #gutbrain #cortisol</t>
  </si>
  <si>
    <t>https://www.sciencedirect.com/science/article/pii/S0149763419310346</t>
  </si>
  <si>
    <t>Canberra, Australia</t>
  </si>
  <si>
    <t>PhD Candidate (Geriatrics &amp; Gerontology) @UniCanberra Researches Dementia, Ageing, and Nutrition. #atageing @CRIBBResearch @KUnews</t>
  </si>
  <si>
    <t>https://www.researchgate.net/profile/Nathan_Dcunha</t>
  </si>
  <si>
    <t>Mike Bratek</t>
  </si>
  <si>
    <t>🎉 The 𝗦𝘁𝗿𝗲𝘀𝘀𝗙𝗿𝗲𝗲.𝗣𝗿𝗼 GIVEAWAY 😇 #anxiety #stress #depression #mentalhealth</t>
  </si>
  <si>
    <t>https://kingsumo.com/g/9agctd/giveaway-january-2020/m27d4j7</t>
  </si>
  <si>
    <t>Cleveland, OH</t>
  </si>
  <si>
    <t>Love to enter contests! Love to read on kindle: mysteries. Love people of all ethnics, beauty, and kindness, no haters. Also big in technology and games.</t>
  </si>
  <si>
    <t>https://www.facebook.com/mike.bratek?ref=tn_tnmn</t>
  </si>
  <si>
    <t>HypnoNook</t>
  </si>
  <si>
    <t>For more great #Stress tips check out our website:</t>
  </si>
  <si>
    <t>https://hypnonook.com</t>
  </si>
  <si>
    <t>https://pbs.twimg.com/media/EOmjO33WsAYMteX.png</t>
  </si>
  <si>
    <t>👤</t>
  </si>
  <si>
    <t>Victoria Sully - Money &amp; Lifestyle Blogger</t>
  </si>
  <si>
    <t>How to make life less stressful as a working mum – Healthy Vix  #wahm #workingmum #workingparent #mbloggers #pbloggers #worklifebalance #stress</t>
  </si>
  <si>
    <t>http://dld.bz/hb2qx</t>
  </si>
  <si>
    <t>https://pbs.twimg.com/media/EOmiOcDUEAA1nRi.jpg</t>
  </si>
  <si>
    <t>Gloucestershire, South West UK</t>
  </si>
  <si>
    <t>👩🏻 Full-time money, healthy &amp; travel #blogger at 💰http://lyliarose.com/blog 🌿http://healthyvix.com 🌍http://travelvixta.com 🙌🏼 Email victoria@lyliarose.com 👩🏻‍💻</t>
  </si>
  <si>
    <t>https://linktr.ee/victoriasully</t>
  </si>
  <si>
    <t>Small Biz Bonfire</t>
  </si>
  <si>
    <t>How to protect your #family from your #work #stress by @Manager_Up #worklifebalance #productivity #stressmanagement #smallbiz #entrepreneur</t>
  </si>
  <si>
    <t>https://bnfr.me/35Kh1ou</t>
  </si>
  <si>
    <t>Allentown, PA</t>
  </si>
  <si>
    <t>Small business blog, newsletter &amp; online community founded in 2011 by @alyssagregory. Sharing content re: startup, marketing, tech, productivity &amp; more.🔥</t>
  </si>
  <si>
    <t>https://smallbusinessbonfire.com</t>
  </si>
  <si>
    <t>Pace</t>
  </si>
  <si>
    <t>I apologize in advance for this. #humor #stress</t>
  </si>
  <si>
    <t>https://www.youtube.com/watch?v=67sSyBKOF9E</t>
  </si>
  <si>
    <t>I am often found in Eugene, OR.</t>
  </si>
  <si>
    <t>Multiple Emmy-nominated journalist (thanks to Erik Bender and Dr. Ed Madison) and Reader's Choice Award-winning writer and editor (thanks to Miranda Anderson).</t>
  </si>
  <si>
    <t>https://www.dmsguild.com/browse.php?keywords=iam%20pace</t>
  </si>
  <si>
    <t>Matt Morey</t>
  </si>
  <si>
    <t>#Stress. It’s an unavoidable part of business &amp; personal lives today. To help you deal, here are 13 apps to take the stress out of business.'  via @bookedIN #anxiety #businessmanagement</t>
  </si>
  <si>
    <t>https://buff.ly/2YxR6kj</t>
  </si>
  <si>
    <t>https://pbs.twimg.com/media/EOmgHy6U8AAkcPp.jpg</t>
  </si>
  <si>
    <t>Texas, USA</t>
  </si>
  <si>
    <t>Projects Over Budget, Behind Schedule, and Not Achieving the Results You Are Looking For? I Can Help</t>
  </si>
  <si>
    <t>http://www.c4Leader.com</t>
  </si>
  <si>
    <t>IntelliCentrics</t>
  </si>
  <si>
    <t>We all feel stress sometimes, but left unchecked, #stress can cause health issues. Here are some ways to beat stress from our #SEC3URE facility @Elliot Health System:</t>
  </si>
  <si>
    <t>http://ow.ly/61V850xU7lV</t>
  </si>
  <si>
    <t>https://pbs.twimg.com/media/EOhSFIMXUAUWyMA.jpg</t>
  </si>
  <si>
    <t>Flower Mound, TX</t>
  </si>
  <si>
    <t>A community of health care professionals, facilities, technology leaders and software architects working together to create a secure health care experience</t>
  </si>
  <si>
    <t>http://www.IntelliCentrics.com/</t>
  </si>
  <si>
    <t>Ryan Collins ⓔ</t>
  </si>
  <si>
    <t>Are you burning out? #stress #burnout #eduk8me</t>
  </si>
  <si>
    <t>https://u.eduk8.me/2QA93Jp</t>
  </si>
  <si>
    <t>Ohio</t>
  </si>
  <si>
    <t>Teacher, learner, marathoner, and lover of the Oxford comma. Founder of Eduk8me LLC - http://eduk8.me What do you want to learn today? Teach like a hacker. #edtech</t>
  </si>
  <si>
    <t>https://eduk8.me</t>
  </si>
  <si>
    <t>Ryan Collins</t>
  </si>
  <si>
    <t>https://buff.ly/304jVSU</t>
  </si>
  <si>
    <t>Kenton, OH</t>
  </si>
  <si>
    <t>Teacher and learner 👨‍🏫 Director of Technology for Kenton City Schools 👨‍💻 Founder of https://eduk8.me ⓔ https://keybase.io/mr_rcollins</t>
  </si>
  <si>
    <t>http://ryancollins.org/</t>
  </si>
  <si>
    <t>Renascence</t>
  </si>
  <si>
    <t>How #meditation helps to manage #stress</t>
  </si>
  <si>
    <t>http://bit.ly/2jjniDI</t>
  </si>
  <si>
    <t>https://pbs.twimg.com/media/EOmaoeWWoAAwcxJ.jpg</t>
  </si>
  <si>
    <t>Round Rock, TX</t>
  </si>
  <si>
    <t>Music to help you #Relax, 🌺 Refocus and Reset. I create #music for your #Sync, #Film, #Meditation &amp; #Wellness needs.🎶 Spas, studios, guidance. Free downloads.</t>
  </si>
  <si>
    <t>http://anthonyclarkmusic.com</t>
  </si>
  <si>
    <t>Dr. K</t>
  </si>
  <si>
    <t>Stress doesn't necessarily need to be a bad thing. You can use it to your advantage to help get things done #stress</t>
  </si>
  <si>
    <t>Durham, North Carolina, USA</t>
  </si>
  <si>
    <t>Advice giver-outer. Pediatric neurologist/sleep physician at Duke. Author. Speaker. Listener. I wrote this book: http://amzn.to/2ivSawV</t>
  </si>
  <si>
    <t>http://amzn.to/2ivSawV</t>
  </si>
  <si>
    <t>The Natural Health Blogger</t>
  </si>
  <si>
    <t>Premium Quality Organic Jiaogulan Gynostemma Loose Tea – 100g BUY NOW FROM THE NATURAL HEALTH BLOGGER SHOP AT:  #Herbs #HerbalMedicine #Teas #HerbalTeas #Adaptogens #Stress #Health #Food #Diet #Nutrition #Plantbased #Superfoods #Paleo #Vegan</t>
  </si>
  <si>
    <t>http://thenaturalhealthblogger.com/product/premium-quality-organic-jiaogulan-gynostemma-loose-tea-100g/</t>
  </si>
  <si>
    <t>https://pbs.twimg.com/media/EOmX8mFX4AAAelr.jpg</t>
  </si>
  <si>
    <t>United Kingdom</t>
  </si>
  <si>
    <t>The Natural Health Blogger - Dedicated to all things natural health, diet/nutrition, medical science, fitness &amp; evidence based alternative medicine.</t>
  </si>
  <si>
    <t>http://thenaturalhealthblogger.com</t>
  </si>
  <si>
    <t>Hakan Akyol</t>
  </si>
  <si>
    <t>I’m actually fucking tired. In the mind #stress #WorkLifeBalance</t>
  </si>
  <si>
    <t>London, England</t>
  </si>
  <si>
    <t>chef</t>
  </si>
  <si>
    <t>A Sip of Courage</t>
  </si>
  <si>
    <t>How to decrease #stress-overcome anxiety with personal growth plan-#healing of self and the world:</t>
  </si>
  <si>
    <t>https://buff.ly/2KaI413</t>
  </si>
  <si>
    <t>Nice conversation piece with author, James Nussbaumer: it takes courage to gauge a great lifestyle of love and success. http://jamesnussbaumer.com/self-help-libr</t>
  </si>
  <si>
    <t>http://jamesnussbaumer.com/my-blog/</t>
  </si>
  <si>
    <t>A Touch Of Energy</t>
  </si>
  <si>
    <t>Reduce #Stress! Consume more #Healthy greens. DYK that leafy greens can aid #Relaxation?</t>
  </si>
  <si>
    <t>http://hlty.us/7MZQ</t>
  </si>
  <si>
    <t>https://pbs.twimg.com/media/EOmSFDKU8AAvCiB.jpg</t>
  </si>
  <si>
    <t>Wilmington NC 28405</t>
  </si>
  <si>
    <t>Licensed massage therapist #11773 and Energy Worker</t>
  </si>
  <si>
    <t>http://ATOUCHOFENERGY4YOU.COM</t>
  </si>
  <si>
    <t>The Stress Clinic</t>
  </si>
  <si>
    <t>"The ability to be in the present moment is a major component of mental wellness." #stress</t>
  </si>
  <si>
    <t>All around the world</t>
  </si>
  <si>
    <t>Stress: The Curse of the 21st Century. Life can be difficult &amp; stressful. Learn how relax and de-stress with Max Kirsten.</t>
  </si>
  <si>
    <t>https://www.maxkirsten.com</t>
  </si>
  <si>
    <t>New Beginnings</t>
  </si>
  <si>
    <t>Mix of #Stress and #Air #Pollution May Lead to #Cognitive Difficulties in Children.  #chemicals #toxins #detox</t>
  </si>
  <si>
    <t>http://ow.ly/xZWA50xXIx8</t>
  </si>
  <si>
    <t>Lenexa, KS</t>
  </si>
  <si>
    <t>New Beginnings Nutritionals provides high quality supplements specially designed for adults and children with special needs like Autism, ADHD and allergies.</t>
  </si>
  <si>
    <t>http://nbnus.com</t>
  </si>
  <si>
    <t>Sanvello</t>
  </si>
  <si>
    <t>Having a tough moment? Find relief with our new illustrated pocket guide: Revisit key cognitive behavioral therapy concepts, and ease #stress and #anxiety:  #CBTworks</t>
  </si>
  <si>
    <t>https://bit.ly/2Ra6UEV</t>
  </si>
  <si>
    <t>https://pbs.twimg.com/media/EOmO5X8WsAA7G5L.jpg</t>
  </si>
  <si>
    <t>Minneapolis, MN</t>
  </si>
  <si>
    <t>On-demand help with stress, anxiety, and depression. Start your #mentalhealth journey: Free to download from the App Store and Google Play.</t>
  </si>
  <si>
    <t>https://www.sanvello.com/</t>
  </si>
  <si>
    <t>The Brain Collective</t>
  </si>
  <si>
    <t>Other conditions we treat Memory problems, #Migraines, OCD, #PTSD, #Stress, #Stroke rehabilitation, Traumatic brain injury</t>
  </si>
  <si>
    <t>https://qoo.ly/33wt4i</t>
  </si>
  <si>
    <t>Harrogate, England</t>
  </si>
  <si>
    <t>The official page for The Brain Collective based in Harrogate. Neurotherapy technology which identifies correct brain dysregulation and improve flexibility.</t>
  </si>
  <si>
    <t>http://www.thebraincollective.c.uk</t>
  </si>
  <si>
    <t>TLA</t>
  </si>
  <si>
    <t>Athletes have a clear vision and goals which keeps them focused and motivated 🏊 🤺 Process goals are equally important: - enjoy each day - learn from what doesn't work - try new things - create a good support network #happy #mentalhealth #stress #anxiety #motivationalspeaker</t>
  </si>
  <si>
    <t>https://pbs.twimg.com/media/EOmNWiYX0AA4waQ.jpg</t>
  </si>
  <si>
    <t xml:space="preserve">Made in Britain </t>
  </si>
  <si>
    <t>Bringing performance psychology to the masses to make us champions of lifestyle &amp; business. Welcome to the revolution. A @virginstartup business</t>
  </si>
  <si>
    <t>https://mailchi.mp/ccd5ec8b547b/5stepstosuccess</t>
  </si>
  <si>
    <t>Self Therapist🍁</t>
  </si>
  <si>
    <t>“The world is also a travelling place of trade. So do your commerce and come; do not chase in vain the caravans which flee from you and pay you no attention. Do not weary yourself for nothing!… By #masternursi #quote #SundayMotivation #anxiety #stress #Travel</t>
  </si>
  <si>
    <t>https://pbs.twimg.com/media/EOmNM6YXsAERDEa.jpg</t>
  </si>
  <si>
    <t>Neverland</t>
  </si>
  <si>
    <t>📖A Blogger http://masternursi.com 📖my motto is: "A person who sees the good in things has good thoughts. And he who has good thoughts receives pleasure from life"</t>
  </si>
  <si>
    <t>https://www.masternursi.com/</t>
  </si>
  <si>
    <t>Hoda Fereydouni</t>
  </si>
  <si>
    <t>Life as a scientist.... are you agree with this article?  #Science #scientist #mentalhealth #stress #scientists_life</t>
  </si>
  <si>
    <t>https://www.nature.com/articles/d41586-020-00101-9?utm_source=fbk_nnc&amp;utm_medium=social&amp;utm_campaign=naturenews&amp;sf228357258=1</t>
  </si>
  <si>
    <t>Stockholm, Sweden</t>
  </si>
  <si>
    <t>Scientist🧬 @karolinskainst interesting in #Singlecell RNA seq &amp; #Multiomics |Professional distance Runner #MarathonRunner🏅</t>
  </si>
  <si>
    <t>https://ki.se/en/people/benfer</t>
  </si>
  <si>
    <t>Perry Mardon - Business Mentor &amp; Coach</t>
  </si>
  <si>
    <t>Want to know how to better deal with #stress in your life? One word. #Meditation. For a year, I meditated 3 x a day and before the year was up, my brain was reset. Find out more on my latest blog. #mindset #rewireyourbrain</t>
  </si>
  <si>
    <t>https://qoo.ly/33ws29</t>
  </si>
  <si>
    <t>https://pbs.twimg.com/media/EOmL0WAWkAEYiQn.png</t>
  </si>
  <si>
    <t>Byron Bay Australia</t>
  </si>
  <si>
    <t>Expert in human behaviour, #businessmentor specialising in developing dream teams. Love surfing &amp; a passionate life. #businesscoach http://perrymardon.com</t>
  </si>
  <si>
    <t>https://businessdnaindicator.com/</t>
  </si>
  <si>
    <t>Hypnotherapy Cardiff</t>
  </si>
  <si>
    <t>Registered hypnotherapist:  #mindfulness #healing #anxiety #stress #confidence #change #happy #live #happiness #advice #clinic #therapy #Cardiff #richardjdsouza #cognitive #behavioural</t>
  </si>
  <si>
    <t>https://www.thehypnotherapyassociation.co.uk/united-kingdom/cardiff/hypnotherapist/richard-dsouza</t>
  </si>
  <si>
    <t>https://pbs.twimg.com/media/EOmLzA0XsAAjLSU.jpg</t>
  </si>
  <si>
    <t>Cardiff, U.K.</t>
  </si>
  <si>
    <t>Richard J. D’Souza (B.A. Hons., P.G.C.E., D.C. Hyp.) #Hypnotherapy #Cardiff offers Clinical Hypnotherapy and Stress Management to treat a variety of conditions.</t>
  </si>
  <si>
    <t>https://www.clinicalhypnotherapy-cardiff.co.uk</t>
  </si>
  <si>
    <t>Get your RULE-Kits™</t>
  </si>
  <si>
    <t>Want to learn how to practice #mindfulness and self-compassion? Check out this conversation with Bridgeen Rea-Kaya (@Bridjeen) from Immeasurable Minds to learn how to do just this by reducing #stress &amp; improving your daily working life.</t>
  </si>
  <si>
    <t>https://snip.ly/kvcf7x</t>
  </si>
  <si>
    <t>https://pbs.twimg.com/media/EOmH3LmXkAIpZyY.jpg</t>
  </si>
  <si>
    <t>London</t>
  </si>
  <si>
    <t>20 years developing professionals, managers and leadership skills at work, secrets to success revealed in our blog RULE-Kits™ each week. Tweet your Rules #ro27</t>
  </si>
  <si>
    <t>https://theruleof27.com</t>
  </si>
  <si>
    <t>Transamerica Center for Health Studies</t>
  </si>
  <si>
    <t>Ever wondered how overthinking can affect your body? "Overthinking is a dangerous game that can have a lot of negative consequences on our well-being." @namesjules @HuffPostHealth #wellness #overthinking #stress</t>
  </si>
  <si>
    <t>http://bit.ly/2Rf9oQX</t>
  </si>
  <si>
    <t>Independent nonprofit empowering consumers &amp; employers to achieve the best health coverage &amp; outcomes in their personal health &amp; wellness.</t>
  </si>
  <si>
    <t>http://www.transamericacenterforhealthstudies.org/</t>
  </si>
  <si>
    <t>Allied Health Programs®</t>
  </si>
  <si>
    <t>A lot of people actually experience more stress because of holidays. Did you know that up to 50% of employees interviewed do not use their paid leave days because of this? Prevent holiday stress with these tips. #productivity #stress @weeklyninja</t>
  </si>
  <si>
    <t>https://app.quuu.co/r/OeQwp</t>
  </si>
  <si>
    <t>🤖 #EdTech using #AI &amp; #automation #technology to connect students with Allied Health Programs. 👩‍💻👨‍💻 Sign up at http://alliedhealthprograms.com/schools/</t>
  </si>
  <si>
    <t>https://alliedhealthprograms.com/</t>
  </si>
  <si>
    <t>Tony Burkinshaw</t>
  </si>
  <si>
    <t>You are not your thoughts. You're the one who thinks your thoughts. #anxiety #overthinking #catastrophising #stress</t>
  </si>
  <si>
    <t>https://pbs.twimg.com/media/EOmGgRBUwAAUWrj.jpg</t>
  </si>
  <si>
    <t>Harley St. London/Peterborough</t>
  </si>
  <si>
    <t>Harley Street Cognitive Hypnotherapist - Helping clients overcome anxiety, stress &amp; depression - (Also available in Peterborough!)</t>
  </si>
  <si>
    <t>https://tonyburkinshaw.co.uk/contact</t>
  </si>
  <si>
    <t>Joanne Jacobs</t>
  </si>
  <si>
    <t>#Dance #Dancing #stress #happiness Korea's best-in-world test scores are slipping. Teens now go to after-school "hagwons" to learn K-pop dance instead of test prep.</t>
  </si>
  <si>
    <t>http://bit.ly/375vWdC</t>
  </si>
  <si>
    <t>California</t>
  </si>
  <si>
    <t>Education (http://joannejacobs.com) blogger, author of Our School.</t>
  </si>
  <si>
    <t>http://www.joannejacobs.com</t>
  </si>
  <si>
    <t>Metro Offices</t>
  </si>
  <si>
    <t>You might be hearing a lot about job-related burnout lately, and with good reason; it's happening to more and more workers. The good news is that there are both ways to prevent burnout and ways to treat it. #burnout #stress #office #worklifebalance</t>
  </si>
  <si>
    <t>https://hubs.ly/H0mqDMl0</t>
  </si>
  <si>
    <t>Washington, D.C.</t>
  </si>
  <si>
    <t>Private &amp; shared spaces designed for businesses of any size. Where work gets done. What’s your M.O.? #workflow</t>
  </si>
  <si>
    <t>http://www.metroffice.com</t>
  </si>
  <si>
    <t>The Business Journal</t>
  </si>
  <si>
    <t>Gina DeAngelo, owner of Massage Cafe on U.S. Route 224, tells how massage therapy relieves employee stress. #Fitness #Stress #stressmanagement #stressrelief #BusinessNews #BusinessTips</t>
  </si>
  <si>
    <t>https://hubs.ly/H0myxSy0</t>
  </si>
  <si>
    <t>https://pbs.twimg.com/media/EOmFWu2U4AAbnXs.jpg</t>
  </si>
  <si>
    <t>Youngstown, Ohio</t>
  </si>
  <si>
    <t>Whether online or in-hand, The Business Journal acts as a catalyst, resource and point-of-contact for today’s business leaders in the five-county area.</t>
  </si>
  <si>
    <t>http://businessjournaldaily.com</t>
  </si>
  <si>
    <t>Lou Laggan</t>
  </si>
  <si>
    <t>#Coaching can help when everything feels #overwhelming. #businesscoaching #change #stress</t>
  </si>
  <si>
    <t>http://ow.ly/JhIo30q5mux</t>
  </si>
  <si>
    <t>Helping you thrive at home, at work, in life. Providing Personal and Business Coaching using NLP and Mindfulness</t>
  </si>
  <si>
    <t>http://www.loulaggancoaching.co.uk</t>
  </si>
  <si>
    <t>DCR</t>
  </si>
  <si>
    <t>When #problems turn up, what do you do? If you become overwhelmed or experience #stress then your inherent ability to handle virtually any obstacle gets squashed. Learn to breathe, stay relaxed and ask effective questions such as "How can I Resourcefully deal with this?"</t>
  </si>
  <si>
    <t>https://pbs.twimg.com/media/EOmErnyX0AEr525.jpg</t>
  </si>
  <si>
    <t>International</t>
  </si>
  <si>
    <t>Professional Life Coach to #VIP. Voted Best #London Life Coach, Best UK Life #Coach and Best International Life Coach 2018 - 2020.</t>
  </si>
  <si>
    <t>http://www.darrenchristopherrowland.com</t>
  </si>
  <si>
    <t>VC Trustee</t>
  </si>
  <si>
    <t>Hope to see a few new faces tomorrow morning for the next @BlackDogWalker meet #Anxiety #Depression #Loneliness #PTSD #Stress #Cornwall #Walking RT @BlackDogWalker: Just over 12 hours to go until the next #BlackDog Walking Club on Gwithian Beach If you need to get out and get some fresh air into your lungs feel free to join us #Anxiety #Depression #Loneliness #PTSD #Stress #Cornwall</t>
  </si>
  <si>
    <t>https://twitter.com/BlackDogWalker/status/1218644763651514369</t>
  </si>
  <si>
    <t>https://pbs.twimg.com/media/EOl-8gaVUAEF4-Q.jpg</t>
  </si>
  <si>
    <t>One of the Trustee team for @VeteransCharity, the Rapid Reaction Force among Military Charities. Creator of @BlackDogWalker @SpyAthlon &amp; @RibbonofPoppies</t>
  </si>
  <si>
    <t>https://www.veteranscharity.org.uk</t>
  </si>
  <si>
    <t>Xy5Z89🇩🇪</t>
  </si>
  <si>
    <t>#Germany #Berlin #BerlinConference Powerful act for #Berlin #police: #Libya conference, #GreenWeek and @HerthaBSC home game. Law enforcement #officers are facing #extreme #stress this weekend.</t>
  </si>
  <si>
    <t xml:space="preserve">Deutschland, EU </t>
  </si>
  <si>
    <t>A german 🇩🇪 with the dream of a REAL European Union,support the jewish state Israel 🇮🇱. Against Racism and Antisemitisem #ProEurope #supportIsrael</t>
  </si>
  <si>
    <t>Jessica</t>
  </si>
  <si>
    <t>13 Ways to De-Stress During the Workday .  . #stress #health #tips #motivate</t>
  </si>
  <si>
    <t>https://www.popsugarmoney.com/Tips-De-Stress-Work-22310420</t>
  </si>
  <si>
    <t>https://pbs.twimg.com/media/EOmDDlYUYAAlF-w.jpg</t>
  </si>
  <si>
    <t>OH-IO</t>
  </si>
  <si>
    <t>#LearningandDevelopment #ContentCuration #SeniorAssociate with @pwc #pwcproud | Owned by #Shilohthecoton 🐾 | #Coffee lover ☕</t>
  </si>
  <si>
    <t>The Altruist Party - Population Health &amp; Wellbeing</t>
  </si>
  <si>
    <t>Need for Citizen Connectivity - Mental Health - Why We Are Hard-Wired to Worry &amp; What We Can Do About It:  via @ConversationUS @UMassMedical #anxiety #stress</t>
  </si>
  <si>
    <t>https://theconversation.com/why-we-are-hard-wired-to-worry-and-what-we-can-do-to-calm-down-127674</t>
  </si>
  <si>
    <t>http://AltruistParty.org</t>
  </si>
  <si>
    <t>Messageplicity Media</t>
  </si>
  <si>
    <t>#Gaming Prescription? The #Xbox is used in U.S. Department of Veterans Affairs rehab centers to help wounded #vets recover! The use of an adaptive controller can help reduce #stress &amp; renew connections for #veterans via @MSFTnews  #Health #Technology</t>
  </si>
  <si>
    <t>https://news.microsoft.com/features/how-the-xbox-adaptive-controller-is-helping-va-medical-centers-support-veterans/</t>
  </si>
  <si>
    <t xml:space="preserve">Saint Louis, Missouri </t>
  </si>
  <si>
    <t>Your message with right mix of media to spark conversations and connections. Ignition underway!</t>
  </si>
  <si>
    <t>Bev Eardley - Eardley Designs</t>
  </si>
  <si>
    <t>Wondered why my #Etsy views and sales have been a little crazy since yesterday! My Worry Pets have been featured on a Facebook page 🥺🥰  #autism #anxiety #worry #stress #thankful #Facebook #HandmadeHour #SmallBiz #SaturdaySocial #proud #womaninbiz @EtsyUK</t>
  </si>
  <si>
    <t>http://Eardleydesigns.etsy.com</t>
  </si>
  <si>
    <t>https://pbs.twimg.com/media/EOmB-Y1X0AIHksv.jpg</t>
  </si>
  <si>
    <t>Stoke-on-Trent, England</t>
  </si>
  <si>
    <t>Mum to 3 amazing girls, Wife. Business owner creating Unique gifts |Handmade Toys | Sensory Toys For Children with Anxiety and Autism | Clothes |</t>
  </si>
  <si>
    <t>http://eardleydesigns.etsy.com</t>
  </si>
  <si>
    <t>Dr. Art Rastinehad</t>
  </si>
  <si>
    <t>No advanced notice. Sit and open the packet. #stress Good luck to everyone taking the boards this year. @AmerUrological thank you for coming to the board review course. @GopalBadlani @ThomasPolascik @APeterson_Duke RT @shubhamdotgupta: Roles reversed! @DrRastinehad becomes the examinee for a mock board protocol (and is sweating bullets!) at the @AmerUrological oral board review course</t>
  </si>
  <si>
    <t>https://twitter.com/shubhamdotgupta/status/1218646747905478661</t>
  </si>
  <si>
    <t>https://pbs.twimg.com/media/EOmAwMWXUAEtECh.jpg</t>
  </si>
  <si>
    <t>Manhattan, NY</t>
  </si>
  <si>
    <t>director of focal prostate cancer therapy and interventional urology at mount sinai.</t>
  </si>
  <si>
    <t>http://www.interventionalurology.com</t>
  </si>
  <si>
    <t>So Happy In Town</t>
  </si>
  <si>
    <t>Are we turning our kids into stresspots with our own stress?  #stress #stressedkids</t>
  </si>
  <si>
    <t>http://wp.me/p8anIU-8a</t>
  </si>
  <si>
    <t>For those who are S.H.I.T. &amp; proud, a lifestyle &amp; parenting blog. Mental Health campaigner. Writer @huffpostuk. Finalist #BiBs19. Insta @sohappyintown</t>
  </si>
  <si>
    <t>http://sohappyintown.com/shop/</t>
  </si>
  <si>
    <t>Black Dog Walking Club</t>
  </si>
  <si>
    <t>Just over 12 hours to go until the next #BlackDog Walking Club on Gwithian Beach If you need to get out and get some fresh air into your lungs feel free to join us #Anxiety #Depression #Loneliness #PTSD #Stress #Cornwall</t>
  </si>
  <si>
    <t>Rockpool Bar Car Park Gwithian</t>
  </si>
  <si>
    <t>1st #BlackDog #WalkingClub #Depression #Anxiety #Veterans &amp; #HMForces #EmergencyServices all welcome</t>
  </si>
  <si>
    <t>Boudi Kai</t>
  </si>
  <si>
    <t>is for #sale! #selldomain #domain #domains #domainname #domainnames #float #flotation #therapy #meditation #relax #spa #DomainNameForSale #domainforsale #services #business #blockchain #denver #Colorado #enterpreneur #recovery #stress #depression #startup</t>
  </si>
  <si>
    <t>http://FloatDenver.com</t>
  </si>
  <si>
    <t>https://pbs.twimg.com/media/EOl9ZQNWAAAzGzT.png</t>
  </si>
  <si>
    <t>Virtual Orator</t>
  </si>
  <si>
    <t>Remain calm under pressure is a challenge. Your posture and body language can help. #bodylanguage #stress</t>
  </si>
  <si>
    <t>https://www.wellandgood.com/good-advice/how-to-stay-calm-under-pressure/</t>
  </si>
  <si>
    <t>https://pbs.twimg.com/media/EOeX6PZWoAApNLt.jpg</t>
  </si>
  <si>
    <t>Czech Republic</t>
  </si>
  <si>
    <t>Improve your Public Speaking with VR. Virtual Orator provides the audiences for every training need. Overcome Fear. Train Skills. Hone Presentations.</t>
  </si>
  <si>
    <t>https://virtualorator.com</t>
  </si>
  <si>
    <t>Happiness Today</t>
  </si>
  <si>
    <t>#Stress #Anxiety #Depression. Learn how to stop negative emotions with a simple 3 step technique based on Psychology and Emotional Research. My book presents my 10 years of research and experience with the technique. "Target Your Emotions"...</t>
  </si>
  <si>
    <t>http://www.lulu.com/shop/stephen-w-barham/happiness-is-no-charge-2-target-your-emotions/paperback/product-24217399.html</t>
  </si>
  <si>
    <t>https://pbs.twimg.com/media/EOl8xhWU4AA7U-r.jpg</t>
  </si>
  <si>
    <t>Salem, OR</t>
  </si>
  <si>
    <t>I am an Emotional Researcher. I teach a technique that stops Negative Emotions. http://hnc-today.weebly.com/happiness-is-no-charge-blog-page Check it out.</t>
  </si>
  <si>
    <t>http://hnc-today.weebly.com</t>
  </si>
  <si>
    <t>Lisa Verzosa</t>
  </si>
  <si>
    <t>So, I’m not supposed to chuck my stress balls them? #Yoda #BabyYoda #babyyodamemes #StarWars #TheMandalorian #meme #memes2020 #funnymemes #stressed #stress #stressedout #stressballs</t>
  </si>
  <si>
    <t>https://pbs.twimg.com/media/EOl8taIUwAAnKWg.jpg</t>
  </si>
  <si>
    <t>🇨🇦🇺🇸DualCitizen•DualVoter✊•(604)&amp;(714)4ever• Truthful,honest,loyal,sarcastic&amp;a bit ruthless @ times😈•Human&amp;AnimalRights•🌎🌏🌍☮️•🎓UCIrvine,M.A.🎓UVic,B.A.</t>
  </si>
  <si>
    <t>Brendan Myers, PhD</t>
  </si>
  <si>
    <t>I fired my contractor today, for keeping me waiting too long, and not communicating enough. And now there's another one in the basement, taking measurements and building an estimate. (Thanks to my partner for scouting new contractors.) But still: #homeownership #stress</t>
  </si>
  <si>
    <t>Gatineau, Quebec, Canada</t>
  </si>
  <si>
    <t>Philosophy prof at a small college in west Quebec. Grad of Guelph and NUI Galway. Author of 17 books. I live in a library, next door to a forest.</t>
  </si>
  <si>
    <t>http://brendanmyers.net</t>
  </si>
  <si>
    <t>The Snooze Button</t>
  </si>
  <si>
    <t>ICYMI: The impact that #stress and #PTSD have on your #sleep and vice-versa. (If you're on mobile, this link will automagically open in your podcast app - even if you've never listened to a podcast before. )</t>
  </si>
  <si>
    <t>https://bit.ly/2M4a4XE</t>
  </si>
  <si>
    <t>In Bed</t>
  </si>
  <si>
    <t>The new sleep-obsessed podcast hosted by veteran broadcaster @neilhedley. Available everywhere, and on our website, too.</t>
  </si>
  <si>
    <t>http://thesnoozebutton.com</t>
  </si>
  <si>
    <t>OMENSOL</t>
  </si>
  <si>
    <t>5 Minute Guided #Meditation ~ #Sleep, Focus, #Stress &amp; #Anxiety - #YouTube ~ #meditate #yoga #love #mindfulness #peace #spirituality #spiritual #healing #life #selflove #breathe #selfcare #consciousness #relax #namaste #wellness #energy #wisdom #gratitude</t>
  </si>
  <si>
    <t>https://buff.ly/2tyMsUS</t>
  </si>
  <si>
    <t>Portland, OR</t>
  </si>
  <si>
    <t>A Single Source for all Market Research Needs...</t>
  </si>
  <si>
    <t>https://omensol.wordpress.com/</t>
  </si>
  <si>
    <t>MNP | Michael’s Naturopathic Programs</t>
  </si>
  <si>
    <t>One of the most damaging effects of fear 😨is stress. But it also: 1. Depletes B Vitamins 2. Attacks adrenal glands. 3. Depletes all basic nutrients Overcome the symptoms of fear and stress by getting enough supplements in your diet:  #Fear #Stress</t>
  </si>
  <si>
    <t>http://bit.ly/2s5jmvE</t>
  </si>
  <si>
    <t>https://pbs.twimg.com/media/EOl1UmLWAAAOCBt.jpg</t>
  </si>
  <si>
    <t>San Antonio, TX</t>
  </si>
  <si>
    <t>Formulate targeted #supplements to address specific health concerns based on body, mind, spirit, and nutritional counseling. #naturopathy #nutrition #wellness 🌿</t>
  </si>
  <si>
    <t>http://bit.ly/club-mnp</t>
  </si>
  <si>
    <t>Hypnosis Institute Magna Marbella</t>
  </si>
  <si>
    <t>Make an appointment for your hypnosis session! #diyhypno #mentaldisorder #addiction #anorexia #bulimia #overeating #bingeeating #vomiting #obsession #slimming #stopsmoking #stress #depression #dysthymia #mania #maniac #bipolar #anxiety #fear #phobia #agoraphobia #socialphobia</t>
  </si>
  <si>
    <t>https://pbs.twimg.com/media/EOlz1srU4AAWsD-.jpg</t>
  </si>
  <si>
    <t>Marbella</t>
  </si>
  <si>
    <t>We are welcoming clients from all over the world in #Marbella for #hypnosis and #hypnotherapy sessions in English, French, German and Spanish. [ #diyhypno ]</t>
  </si>
  <si>
    <t>http://www.diy-hypno.com</t>
  </si>
  <si>
    <t>Make an appointment for your hypnosis session! #diyhypno #mentaldisorder #disorder #slimming #stopsmoking #stress #depression #dysthymia #mania #maniac #bipolar #anxiety #fear #phobia #agoraphobia #socialphobia #panic #attack #posttraumatic #trauma #addiction #anorexia #bulimia</t>
  </si>
  <si>
    <t>https://pbs.twimg.com/media/EOlzkEZW4Ag-Fzo.jpg</t>
  </si>
  <si>
    <t>Lucky House Mystical Store</t>
  </si>
  <si>
    <t>#SpiritualWellnessChallenge: Today's task involves going out and experiencing #nature! Try to use mindfulness and observe how your being interacts with your environment. Interacting with nature is also a great way to receive vitamin D, which helps reduce #depression and #stress.</t>
  </si>
  <si>
    <t>https://pbs.twimg.com/media/EOlzHEZWoAUaxTQ.jpg</t>
  </si>
  <si>
    <t>We are a company that brings you the best and most unique spiritual products in the world. This was formed by an elite group of Mediums, reiki, energy healers.</t>
  </si>
  <si>
    <t>http://www.luckyhousemysticalstore.com</t>
  </si>
  <si>
    <t>OMG! You Mean I Have to Lead A Team! 3 simple baby steps remove the #stress and get in #control</t>
  </si>
  <si>
    <t>http://ow.ly/2pEn30qai1C</t>
  </si>
  <si>
    <t>“Teach Your Child Important Life Skills Through Family Meditation”  #life #mindfulness #meditation #stress #peace</t>
  </si>
  <si>
    <t>https://mindfulnessmeditationinstitute.org/2019/07/26/teach-your-child-important-life-skills-through-family-meditation/</t>
  </si>
  <si>
    <t>#Coaching helps with challenging #life events #lifecoaching #stress #change #nlp #NEFollowers</t>
  </si>
  <si>
    <t>http://ow.ly/tXCJ30q5muw</t>
  </si>
  <si>
    <t>Phil Willcox</t>
  </si>
  <si>
    <t>Over the last 5 days I have shared stats about #stress in the #UK and to finish off my series of posts here is a list of top 10 reasons Brits complain about their #job.</t>
  </si>
  <si>
    <t>https://pbs.twimg.com/media/EOlsdcsW4AEvH6v.png</t>
  </si>
  <si>
    <t>Lincoln</t>
  </si>
  <si>
    <t>Founder of Emotion At Work, all round #geek on #emotion #credibility &amp; #deception. The Lando of L&amp;D. Effortlessly cool &amp; always welcome at a party 🥳</t>
  </si>
  <si>
    <t>https://www.emotionatwork.co.uk</t>
  </si>
  <si>
    <t>You either have #control or #stress. The Amazing power we have is ... Our Power to Choose #selfimprovement</t>
  </si>
  <si>
    <t>Simply Smashing</t>
  </si>
  <si>
    <t>Stress can be causing you a lot more issues than you may think. Book a session for a #RageRoom at  and come #Smash away that #Stress!</t>
  </si>
  <si>
    <t>https://buff.ly/2OhrfZu
https://buff.ly/2TIn9KG</t>
  </si>
  <si>
    <t>https://pbs.twimg.com/media/EOlsO5CVAAA8Rs2.jpg</t>
  </si>
  <si>
    <t>1301 E University Dr, Tempe AZ</t>
  </si>
  <si>
    <t>#RageRoom Come &amp; Break Stuff &amp; Release your #anger &amp; #stress &amp; take out your frustrations! Smashing soon in #Tempe! #AngerRoom #BreakRoom</t>
  </si>
  <si>
    <t>https://www.simplysmashingrageroom.com</t>
  </si>
  <si>
    <t>The Right Way Recovery</t>
  </si>
  <si>
    <t>How to Relax: Easy Ways to Relax, Recharge, and Vanquish Stress  #relax #stress</t>
  </si>
  <si>
    <t>https://ecs.page.link/bnGz9</t>
  </si>
  <si>
    <t>California, USA</t>
  </si>
  <si>
    <t>We provide services to people struggling with addiction or mental health disorders on their path to recovery!</t>
  </si>
  <si>
    <t>http://drugandalcoholtreatmentservices.com</t>
  </si>
  <si>
    <t>April Federico</t>
  </si>
  <si>
    <t>January really is a trial month, but also like a “holiday hangover” #stress</t>
  </si>
  <si>
    <t>Rhode Island, USA</t>
  </si>
  <si>
    <t>RWU Creative Writing ‘20 | author, visual artist, activist | RI blogger (she/her/hers) ✍🏻🎨👩🏼‍💼 #supportsurvivors</t>
  </si>
  <si>
    <t>http://theaprildiaries.blog</t>
  </si>
  <si>
    <t>HealthyPlace</t>
  </si>
  <si>
    <t>Manage Your Time to Help You Manage Your #Anxiety ||  == #mentalhealth #gad #stress #timemanagement #mhsm #mhchat</t>
  </si>
  <si>
    <t>https://bit.ly/2TmO7ri</t>
  </si>
  <si>
    <t>https://pbs.twimg.com/media/EOlovAIX0AErbe3.jpg</t>
  </si>
  <si>
    <t>Texas</t>
  </si>
  <si>
    <t>Trusted information on psychological disorders and treatments, plus mental health support. Home to Stand Up for Mental Health campaign.</t>
  </si>
  <si>
    <t>http://www.HealthyPlace.com</t>
  </si>
  <si>
    <t>Brian E. Thomas</t>
  </si>
  <si>
    <t>Disrupting Healthcare with Artificial Intelligence  #AI #Healthcare #Medicine #ArtificialIntelligence #MachineLearning #Physician #Burnout #Stress #Analytics</t>
  </si>
  <si>
    <t>https://buff.ly/2Ox4DlW</t>
  </si>
  <si>
    <t>Kansas City</t>
  </si>
  <si>
    <t>An innovative, digital leader experienced in emerging trends, #Tech, #AI, #BigData; contributor @CIOOnline; podcaster &amp; blogger. #USMC combat vet.</t>
  </si>
  <si>
    <t>https://brianthomas.me</t>
  </si>
  <si>
    <t>JamesMaloneHypnotist</t>
  </si>
  <si>
    <t>Just got in a new batch of print copies of this book on creating healthy lifestyle changes. Connect if you are interested. #stress #health #weightloss #nj @ New Jersey Hypnotist</t>
  </si>
  <si>
    <t>https://www.instagram.com/p/B7eRklxgWNk/?igshid=1x4cxdkxgixal</t>
  </si>
  <si>
    <t>Point Pleasant Beach, NJ</t>
  </si>
  <si>
    <t>James Malone is Life Enhancement Hypnotist from Point Pleasant, NJ.</t>
  </si>
  <si>
    <t>http://www.njhypno.com</t>
  </si>
  <si>
    <t>Allie</t>
  </si>
  <si>
    <t>Be my go to .. Be my peace .. lords knows everyone need someone like that in they life .. #stress #free</t>
  </si>
  <si>
    <t>Atlanta, GA</t>
  </si>
  <si>
    <t>atl living 🏳️‍🌈</t>
  </si>
  <si>
    <t>Laurie  Weiss</t>
  </si>
  <si>
    <t>I overslept and dissolved the #anxiety and #stress using the process described in this #book.  via @BublishMe</t>
  </si>
  <si>
    <t>http://bit.ly/38kjPd5</t>
  </si>
  <si>
    <t>Littleton, CO USA</t>
  </si>
  <si>
    <t>Anxiety &amp; Stress Relief Expert; Relationship Communication Expert; PhD, MCC, Author, Psychotherapist Coach, Marriage Counselor, Logosynthesis &amp; TA Cert.</t>
  </si>
  <si>
    <t>http://www.laurieweiss.com/</t>
  </si>
  <si>
    <t>Craig Jarrow</t>
  </si>
  <si>
    <t>Need more time and less stress in your life? ORDER NOW:  #timemanagement #productivity #book #stress #time @MangoPublishing</t>
  </si>
  <si>
    <t>https://amzn.to/30OzTA5</t>
  </si>
  <si>
    <t>https://pbs.twimg.com/media/EOlh3lqUUAAk3sK.jpg</t>
  </si>
  <si>
    <t>Founder of Time Management Ninja. | Author, speaker, &amp; coach. | Helping you win the battle against wasted time, disorganization, and all other things evil...</t>
  </si>
  <si>
    <t>http://www.timemanagementninja.com</t>
  </si>
  <si>
    <t>Organic Live Food</t>
  </si>
  <si>
    <t>#Basil Leaves #health benefits:  Like supporting #healthy brain, managing #arthritis, managing #stress, slowing down #aging, and supporting #bone</t>
  </si>
  <si>
    <t>http://seattleorganicrestaurants.com/vegan-whole-foods/herbal-healing-secrets/</t>
  </si>
  <si>
    <t>https://pbs.twimg.com/media/EOlhumnWkAocULr.jpg</t>
  </si>
  <si>
    <t>US</t>
  </si>
  <si>
    <t>We provide #nutritional facts abt #organic foods, #raw/live foods, #superfoods, #herbs, #healthy #diet, #GMOs &amp; #pesticides http://seattleorganicrestaurants.com</t>
  </si>
  <si>
    <t>https://organiclivefood.com</t>
  </si>
  <si>
    <t>Health and Wellness of Successful Leaders  #health #success #vision #CBD #Cannabidiol #anxiety #stress</t>
  </si>
  <si>
    <t>https://buff.ly/2RSv7Aa</t>
  </si>
  <si>
    <t>magic5905</t>
  </si>
  <si>
    <t>https://kingsumo.com/g/9agctd/giveaway-january-2020/mp97o47</t>
  </si>
  <si>
    <t>Love reading and sweeping.</t>
  </si>
  <si>
    <t>The yoga community is growing! Why? Relieves #stress, improves #health, creates balance. Have we lost these important aspects of our lives?</t>
  </si>
  <si>
    <t>http://snip.ly/e4sz2</t>
  </si>
  <si>
    <t>https://pbs.twimg.com/media/EOlful4UcAAok_x.jpg</t>
  </si>
  <si>
    <t>Melitta Campbell Business Coach</t>
  </si>
  <si>
    <t>"Besides the noble art of getting things done, there is the noble art of leaving things undone. The wisdom of life consists in the elimination of nonessentials." Lin Yutang quotes #stress #success #entrepreneurlife</t>
  </si>
  <si>
    <t>Switzerland</t>
  </si>
  <si>
    <t>Helping you build a #business you love 💕 become a confident #Femaleentrepreneur 💪 &amp; double, triple or 10x your income and profit. Get your FREE biz tools 👇</t>
  </si>
  <si>
    <t>http://www.melittacampbell.com</t>
  </si>
  <si>
    <t>When your reality doesn't live up to your dreams, why do you feel like a failure? #goals #SMART #failure #stress</t>
  </si>
  <si>
    <t>http://ow.ly/cODr30q83SH</t>
  </si>
  <si>
    <t>https://pbs.twimg.com/media/EOlercYXkAEkPIU.jpg</t>
  </si>
  <si>
    <t>Stephanie S. Bolton</t>
  </si>
  <si>
    <t>Make Daily Meditation Your New Year's Resolution | Psychology Today  #mentalhealth #mindfulness #selfhelp #therapy #selfcare #stress #worry #anxiety #depression #meditation</t>
  </si>
  <si>
    <t>https://www.psychologytoday.com/us/blog/reaching-across-the-divide/202001/make-daily-meditation-your-new-years-resolution</t>
  </si>
  <si>
    <t>Huntsville, AL</t>
  </si>
  <si>
    <t>I'm a music therapist in private practice doing Guided Imagery and Music (GIM). Also interested in aromatherapy, gardening, meditation, women's spirituality.</t>
  </si>
  <si>
    <t>http://www.imageryandmusic.com</t>
  </si>
  <si>
    <t>Bookish Kim</t>
  </si>
  <si>
    <t>My new prized possession is this @scharschool foam dome 🤩😂 whenever I’m stressed about business down at the Capitol I can just squeeze this! Thanks alumni association and welcome new students to @georgemasonu! #wonk #nerd #worklife #swag #dc #congress #masters #stress</t>
  </si>
  <si>
    <t>https://pbs.twimg.com/media/EOla9q0X0AE8REW.jpg</t>
  </si>
  <si>
    <t>Librarian in NoVA 🤓📚. Cat guardian 😻. World citizen 🌍. Food lover 🥘. Sweet tooth🍦. Social justice seeker ✊. Metro rider 😭. Opinions are my own 💯.</t>
  </si>
  <si>
    <t>QwikAd.com - FREE Advertising</t>
  </si>
  <si>
    <t>Stop Financing Stress Worrying!!! Now... - 0.00 Visit:  #BusinessOpportunities #Stop #Financing #Stress #Worrying #Now</t>
  </si>
  <si>
    <t>https://qwikad.com/426/posts/20-Income-Opps/129-Business-Opportunities/683791--Stop-Financing-Stress-Worrying-Now-.html</t>
  </si>
  <si>
    <t>Advertise anything - fast, easy &amp; FREE: http://QwikAd.com No signup required. Reach your target audience faster.</t>
  </si>
  <si>
    <t>https://QwikAd.com</t>
  </si>
  <si>
    <t>Austin Ozone</t>
  </si>
  <si>
    <t>#Sweating out the #stress: When #saunas are great for #nurses.</t>
  </si>
  <si>
    <t>http://owl.li/tnHW30q8RZg</t>
  </si>
  <si>
    <t>https://pbs.twimg.com/media/EOlZ3T6UYAAW-iG.jpg</t>
  </si>
  <si>
    <t>Austin, Texas</t>
  </si>
  <si>
    <t>Relaxing &amp; non-invasive naturopathic treatment to boost immune system and detoxify body. Let us help increase your vitality and zest for life with Ozone Therapy</t>
  </si>
  <si>
    <t>http://www.austinozone.com</t>
  </si>
  <si>
    <t>Silver Spring Center</t>
  </si>
  <si>
    <t>SALE: Buy 2 Get 1 FREE CBD Relax Bears Gummies now - Friday 1/24  #SaturdayVibes #stress #pain #relief #natural #wellness #health #SaturdayThoughts #nbc4expo</t>
  </si>
  <si>
    <t>https://www.silverspringcenter.com/gummies</t>
  </si>
  <si>
    <t>https://pbs.twimg.com/media/EOlZFTgXUAAcNQ1.jpg</t>
  </si>
  <si>
    <t>Silver Spring, MD</t>
  </si>
  <si>
    <t>Silver Spring Center Health &amp; Wellness CBD Products are 3rd party tested for high quality cannabidiol that’s THC free! #cbdlife #cannabis #hempoil</t>
  </si>
  <si>
    <t>https://www.silverspringcenter.com/shop</t>
  </si>
  <si>
    <t>QUB Student Wellbeing</t>
  </si>
  <si>
    <t>If you missed the free classes last semester, Belfast Trust has them on again in 2020! The classes are on for an hour for a period of six weeks, held in our very own PEC. See here for more info:  #stress #stressmanagement #lovequb</t>
  </si>
  <si>
    <t>https://buff.ly/2TxEqX9</t>
  </si>
  <si>
    <t>https://pbs.twimg.com/media/EOlXlapWoAEbduk.jpg</t>
  </si>
  <si>
    <t>Student Wellbeing Service at Queen's University providing mental health and wellbeing support through one to one advice, counselling and self-help material🌍📚</t>
  </si>
  <si>
    <t>Brazil to UK</t>
  </si>
  <si>
    <t>Find it difficult to settle? How about pranichealing mcks #stress #stressfree, time for #stressrelief</t>
  </si>
  <si>
    <t>https://pbs.twimg.com/media/EOlWshqUYAAVF7n.jpg</t>
  </si>
  <si>
    <t>England, UK</t>
  </si>
  <si>
    <t>Brazilian Culture, Food, Clothes, Fashion, Music, Art, Books, Business, Success, Entertainment, Work-life, Retirement or anything else you would like to share.</t>
  </si>
  <si>
    <t>The Minds Journal</t>
  </si>
  <si>
    <t>Don't ignore these symptoms.  #burnout #EmotionalBurnout #Stress</t>
  </si>
  <si>
    <t>https://themindsjournal.com/11-symptoms-nervous-breakdown/</t>
  </si>
  <si>
    <t>We talk what the Mind thinks. Visit us at http://themindsjournal.com Follow at http://Facebook.com/themindsjournal</t>
  </si>
  <si>
    <t>https://themindsjournal.com/</t>
  </si>
  <si>
    <t>Escoffier Schools</t>
  </si>
  <si>
    <t>Earlier this week we introduced you to life as a world traveling chef. That kind of career can be both rewarding and stressful. So here are 6 tips to help chefs manage stress.  #escoffier #pastryschool #culinaryschool #food #chef #stress</t>
  </si>
  <si>
    <t>https://bit.ly/2DYDDZ7</t>
  </si>
  <si>
    <t>Austin, Boulder and Online</t>
  </si>
  <si>
    <t>A world renowned culinary school based in Austin, TX, Boulder, CO and Online focusing on classical cuisine, sustainability and farm-to-table fare.</t>
  </si>
  <si>
    <t>http://www.escoffier.edu</t>
  </si>
  <si>
    <t>positive constructs</t>
  </si>
  <si>
    <t>Play is beneficial to your health. Relieve stress, improve brain and immune function. Don’t get stuck in a cycle of perpetual seriousness it’s detrimental to your health. #stress #stressmanagement #fit #play…</t>
  </si>
  <si>
    <t>https://www.instagram.com/p/B7eH1J-Aw1S/?igshid=1lrtgk2553isi</t>
  </si>
  <si>
    <t>New York, USA</t>
  </si>
  <si>
    <t>#counseling #coaching services</t>
  </si>
  <si>
    <t>http://positiveconstructs.com</t>
  </si>
  <si>
    <t>Southern Mom Loves</t>
  </si>
  <si>
    <t>Self Care Tips to #Stress Less in the New Year!</t>
  </si>
  <si>
    <t>http://www.southernmomloves.com/2020/01/self-care-tips-to-stress-less-in-new.html</t>
  </si>
  <si>
    <t>https://pbs.twimg.com/media/EOlSiFEUUAAJ1C3.jpg</t>
  </si>
  <si>
    <t>Jackson, TN</t>
  </si>
  <si>
    <t>I'm Holly: a coffee-addicted, crafting, cooking, beauty-loving, dress-drooling, shoe-coveting, DIY-do or die, modern Southern mom of 2. IG: southernmomloves</t>
  </si>
  <si>
    <t>http://www.southernmomloves.com</t>
  </si>
  <si>
    <t>Birdy &amp; Mike Diamond</t>
  </si>
  <si>
    <t>You want a shortcut to your #intuition? Learn to talk to your #Stress Monsters so that they can talk with you in their Indoor Voices, not the Loud &amp; Shout-y Voices! #newyear  Please Retweet! Internet isn't free!</t>
  </si>
  <si>
    <t>https://gumroad.com/encouragingbird#GciYU</t>
  </si>
  <si>
    <t>https://pbs.twimg.com/media/EOgsjVWX4AITXHv.jpg</t>
  </si>
  <si>
    <t>Ann Arbor, MI</t>
  </si>
  <si>
    <t>Curating/Creating Skein&amp;Story: yarn, yarns, Warm Fuzzy Feelings: helping you take a breath + #PausethePaws. Writers, creatives, yarnies, fond of looking up/out</t>
  </si>
  <si>
    <t>http://www.Patreon.com/SkeinandStory</t>
  </si>
  <si>
    <t>Anxiety and depression are the most common problems, with around 1 in 10 people affected at any one time. #Stress #Anxiety</t>
  </si>
  <si>
    <t>https://qoo.ly/33wprw</t>
  </si>
  <si>
    <t>Frank Sonnenberg</t>
  </si>
  <si>
    <t>30 Powerful Tips to Reduce #Stress in Your Life ➤  | By Frank Sonnenberg | #MentalHealth</t>
  </si>
  <si>
    <t>http://bit.ly/2rzHim9</t>
  </si>
  <si>
    <t>New York Metropolitan Area</t>
  </si>
  <si>
    <t>Top 100 Thought Leaders in America | Author, Soul Food: Change Your Thinking, Change Your Life | One of America's Most Influential Small Business Experts</t>
  </si>
  <si>
    <t>http://www.franksonnenbergonline.com</t>
  </si>
  <si>
    <t>DoctorIrish</t>
  </si>
  <si>
    <t>Don't say I can't. Say I have to. Reevaluate your coping skills and be a better you. This might help  #ykyz #microcasting #anxiety #stress #coping #skills</t>
  </si>
  <si>
    <t>https://ykyz.com/p/975a21ac6a3a44e7a670869392611101e7ac46f1/</t>
  </si>
  <si>
    <t>Doctor! Irish, Afghan and proud! Truth teller and here for you all.</t>
  </si>
  <si>
    <t>Brian K Wright</t>
  </si>
  <si>
    <t>My guest talks about the relationship between #stress and #health, and how everything in our bodies is integrated.</t>
  </si>
  <si>
    <t>https://bit.ly/2Smi4HE</t>
  </si>
  <si>
    <t>Host of the internet radio talk show Success Profiles Radio. You can hear it by going to http://www.successprofilesradio.com</t>
  </si>
  <si>
    <t>WILDcard</t>
  </si>
  <si>
    <t>The one in the middle must have air pods in #stress #barestiff 🤫😂 RT @Mufaa6: This is why we’re not supporting yummy by Justin Bieber</t>
  </si>
  <si>
    <t>https://twitter.com/Mufaa6/status/1218247795557031936</t>
  </si>
  <si>
    <t>pic.twitter.com/aLi024T9RE</t>
  </si>
  <si>
    <t>we were born to be REAL not to be PERFECT!!</t>
  </si>
  <si>
    <t>Maca Root 2500mg 120 Capsules BUY NOW FROM THE NATURAL HEALTH BLOGGER SHOP AT:  #Maca #Peru #Plantbased #Superfoods #Adaptogens #Stress #Health #Food #Diet #Nutrition #Supplements #Paleo #Vegan #Hormones</t>
  </si>
  <si>
    <t>http://thenaturalhealthblogger.com/product/maca-root-2500mg-120-capsules/</t>
  </si>
  <si>
    <t>https://pbs.twimg.com/media/EOlNjiQX0AAAltp.jpg</t>
  </si>
  <si>
    <t>IMAssociates</t>
  </si>
  <si>
    <t>Fear is the most common emotion expressed in conflict. Mindfulness meditation training may help.  #befearless #fearless #fear #mindfulness #mindful #meditation #conflict #conflictresolution #conflicts #conflictmanagement #stress</t>
  </si>
  <si>
    <t>http://bit.ly/2ZPNfvR</t>
  </si>
  <si>
    <t>https://pbs.twimg.com/media/EOlNVhMWsAATA2f.jpg</t>
  </si>
  <si>
    <t>Tempe, AZ, USA</t>
  </si>
  <si>
    <t>25+ years of helping people discover their most elegant and wise solutions to conflict through: #Mediation | #ConflictEngagement | #Coaching | #Training</t>
  </si>
  <si>
    <t>http://www.IMAmediation.com</t>
  </si>
  <si>
    <t>Worlds Shop</t>
  </si>
  <si>
    <t>Home Remedies Mind Power EFT Healing for #Anxiety #Depression Get the #Stress #Cure App on Amazon</t>
  </si>
  <si>
    <t>https://www.amazon.com/Bliss-Apps-Stress-Cure/dp/B075X37J1V/</t>
  </si>
  <si>
    <t>Worldwide</t>
  </si>
  <si>
    <t>#Amazon #Android #Apps #Ebooks 4 #Children. http://facebook.com/worldsshop http://amazon.com/author/worldsshop http://tinyurl.com/WorldApps http://tinyurl.com/BlissApps</t>
  </si>
  <si>
    <t>http://www.worldsshopoffers.com</t>
  </si>
  <si>
    <t>Dr. Lyle Becourtney</t>
  </si>
  <si>
    <t>How to Put the Brakes On and Control Your Anger  #anger #stress #angermanagement</t>
  </si>
  <si>
    <t>https://buff.ly/2NyNJCn</t>
  </si>
  <si>
    <t>Blauvelt, NY</t>
  </si>
  <si>
    <t>Licensed psychologist specializing in anger management for teens and adults.</t>
  </si>
  <si>
    <t>http://www.AngerManagementGroups.com</t>
  </si>
  <si>
    <t>Deb Reis</t>
  </si>
  <si>
    <t>Stress can cause chronic inflammation #anxiety #stress Tips to naturally calm it down frm @DebReis2 #toledo</t>
  </si>
  <si>
    <t>https://goo.gl/AMHp5i</t>
  </si>
  <si>
    <t>I am a holistic health practitioner. Enjoy gardening (native gardens), organic foods, essential oils, energy therapies; boating and dancing!</t>
  </si>
  <si>
    <t>http://www.debrareis.com</t>
  </si>
  <si>
    <t>BrainlessBlogger💙🧠</t>
  </si>
  <si>
    <t>Chronic #stress and the body #chronicillness #chronicpain  via @nikki_albert</t>
  </si>
  <si>
    <t>https://brainlessblogger.net/2020/01/16/chronic-stress-and-the-body/</t>
  </si>
  <si>
    <t>#chronicillness #Blogger, Blog: http://brainlessblogger.net App site http://mycompanly.wordpress.com Book: http://amzn.to/323HI5d she/her</t>
  </si>
  <si>
    <t>https://brainlessblogger.net/</t>
  </si>
  <si>
    <t>Atheist Witch</t>
  </si>
  <si>
    <t>Did you know diaphragmatic #breathing can reduce #stress and anxiety? Discover the science behind diaphragm breathing! -  - @SelfHelpHealing</t>
  </si>
  <si>
    <t>https://buff.ly/2wunZhl</t>
  </si>
  <si>
    <t>https://pbs.twimg.com/media/EOlJ7mGWoAEkF86.jpg</t>
  </si>
  <si>
    <t>https://theatheistwitch.com</t>
  </si>
  <si>
    <t>BenN_CLT</t>
  </si>
  <si>
    <t>Is gratitude a good #mindfulness practice for #stress? Learn more about which mindfulness techniques are best here.</t>
  </si>
  <si>
    <t>http://cpix.me/a/90177045</t>
  </si>
  <si>
    <t>https://pbs.twimg.com/media/EOlIUjAWkAI5fDu.jpg</t>
  </si>
  <si>
    <t>Charlotte, NC</t>
  </si>
  <si>
    <t>Former Producer and Talent at @IHeartRadio Realtor at The Redbud Group with Keller Williams</t>
  </si>
  <si>
    <t>Thank you for #follow, enjoy some #Natural plant power #CBD cures #stress #pain #sleep better , helps #PTSD and improve workouts . Best Tasting #edibles  #motivation #follobackforfolloback</t>
  </si>
  <si>
    <t>pic.twitter.com/4NpJ2wjDIb</t>
  </si>
  <si>
    <t>Medical News Bulletin</t>
  </si>
  <si>
    <t>Link between childhood exposure to violence and stress-related inflammation. #stress #inflammation</t>
  </si>
  <si>
    <t>https://buff.ly/370iebP</t>
  </si>
  <si>
    <t>https://pbs.twimg.com/media/EOlGZe-WoAAZxY-.jpg</t>
  </si>
  <si>
    <t>Toronto, Ontario</t>
  </si>
  <si>
    <t>A not-for-profit online magazine providing you with the latest news in health and medical research. Tweets are not medical advice.</t>
  </si>
  <si>
    <t>http://medicalnewsbulletin.com</t>
  </si>
  <si>
    <t>Travis Barrett</t>
  </si>
  <si>
    <t>Exactly! People are under this misconception that all “pain” or “discomfort” is negative #stress #causes #growth #thesubtleartofnotgivingafuck @ Lawrence, Kansas</t>
  </si>
  <si>
    <t>https://www.instagram.com/p/B7eA1-fJBpd/?igshid=rgzv2w5c78ll</t>
  </si>
  <si>
    <t>Lawrence, KS</t>
  </si>
  <si>
    <t>Sports Performance Coach</t>
  </si>
  <si>
    <t>http://travisbarrett.com</t>
  </si>
  <si>
    <t>Ernie Bray</t>
  </si>
  <si>
    <t>5 Tips for lowing your stress  #stress #business</t>
  </si>
  <si>
    <t>https://www.erniebray.com/blog/5-tips-for-conquering-the-stress-of-success</t>
  </si>
  <si>
    <t>San Diego, USA</t>
  </si>
  <si>
    <t>Entrepreneur. CEO of @autoclaims (6X) Inc. 5000,(4x) Deloitte Fast-500 📝Contributor for @ForbesTechCncl @Entrepreneur @businessdotcom. #fitness #insurtech</t>
  </si>
  <si>
    <t>http://www.erniebray.com</t>
  </si>
  <si>
    <t>BNW Accountants Ltd</t>
  </si>
  <si>
    <t>Your papers &amp; documents starting to mess up? BNW helps you streamline your work! 📌 Consult us Today. 🌐  📞 0208 648 0800 #bnwaccountants #accountingservices #accountingfirm #accountingandfinance #taxconsultant #business #smallbusiness #bookkeeping #stress</t>
  </si>
  <si>
    <t>http://www.bnwaccountants.co.uk</t>
  </si>
  <si>
    <t>https://pbs.twimg.com/media/EOlE-xsXUAIDlis.jpg</t>
  </si>
  <si>
    <t>Sussex/Surrey/London/Yorkshire</t>
  </si>
  <si>
    <t>Accountants, Tax Consultants, Business Advisory, Company Formation and Start-ups, Outsourcing</t>
  </si>
  <si>
    <t>http://bnwaccountants.co.uk/</t>
  </si>
  <si>
    <t>Toni Bernhard</t>
  </si>
  <si>
    <t>Here is my new piece if you missed it. It offers help in managing fear: How to Help Manage Your Everyday Fears | Psychology Today  #health #stress #fear #chronicpain #chronicillness</t>
  </si>
  <si>
    <t>https://www.psychologytoday.com/blog/turning-straw-gold/202001/how-help-manage-your-everyday-fears</t>
  </si>
  <si>
    <t>I'm the author of How to Be Sick, How to Wake Up [about Buddhism], and How to Live Well with Chronic Pain and Illness.</t>
  </si>
  <si>
    <t>http://www.tonibernhard.com</t>
  </si>
  <si>
    <t>Best Strategy For A Reflective State Of Mind On Being Successful In ... managing #stress and #anxiety is in this power of a reflective state of mind…</t>
  </si>
  <si>
    <t>https://buff.ly/2JJJsZa</t>
  </si>
  <si>
    <t>Learning &amp; the Brain</t>
  </si>
  <si>
    <t>The best way to help students manage #stress? This surprising research contradicts many teacherly instincts. Don't encourage them to "stay calm." Instead, we can tell them to reframe their nerves as "being excited." From karaoke to math, it helps!</t>
  </si>
  <si>
    <t>http://ow.ly/Y4PT50xYTFC</t>
  </si>
  <si>
    <t>https://pbs.twimg.com/media/EOlAr_MWoAAiU0n.jpg</t>
  </si>
  <si>
    <t>Needham, MA</t>
  </si>
  <si>
    <t>Learning &amp; the Brain® connects educators to the latest in the science of learning.</t>
  </si>
  <si>
    <t>http://www.learningandthebrain.com</t>
  </si>
  <si>
    <t>Mokokoma Mokhonoana</t>
  </si>
  <si>
    <t>Get my NEW aphorisms (“quotes” like this one) via EMAIL, a MONTH *before* I share them HERE:  🧠 #suicide #happy #happiness #unhappy #unhappiness #attitude #buddhism #zen #yoga #stoicism #spirituality #perspective #depression #stress #wisdom #wordsofwisdom</t>
  </si>
  <si>
    <t>https://mokokoma.tumblr.com/aphorisms</t>
  </si>
  <si>
    <t>https://pbs.twimg.com/media/EOlAbndWoAAI5Ma.jpg</t>
  </si>
  <si>
    <t>Mahwelereng, South Africa</t>
  </si>
  <si>
    <t>Subscribe to get my NEW #aphorisms (“#quotes” like the ones on my timeline), for FREE, every SUNDAY, via EMAIL, a MONTH *before* I share them HERE. Link👇🏾</t>
  </si>
  <si>
    <t>TurnoverTips</t>
  </si>
  <si>
    <t>Keep your sense of humor. There's enough stress in the rest of your life to let bad shots ruin a game... - Amy Alcott #quote #stress</t>
  </si>
  <si>
    <t>https://pbs.twimg.com/media/EOk_neXX4AAlmU-.jpg</t>
  </si>
  <si>
    <t>Turnover Cleaning Tips are for Airbnb, VRBO and Short-term rental hosts and the house cleaners who provide turnover service https://TurnoverCleaningTips.com</t>
  </si>
  <si>
    <t>https://TurnoverCleaningTips.com</t>
  </si>
  <si>
    <t>#TIME MAGAZINE: How #Meditation Helps You Handle #Stress Better  @mandyoaklander @TIME</t>
  </si>
  <si>
    <t>http://ti.me/2kIDaj8</t>
  </si>
  <si>
    <t>https://pbs.twimg.com/media/EOk_m8uW4AAT3jR.jpg</t>
  </si>
  <si>
    <t>HouseCleaning360</t>
  </si>
  <si>
    <t>https://pbs.twimg.com/media/EOk_Zq_X4AE3AyI.jpg</t>
  </si>
  <si>
    <t>#HC360 #HouseCleaning360 We are a group of 8,200 house cleaners whose clients ask us for other home service provider recommendations. Join our referral network.</t>
  </si>
  <si>
    <t>https://HouseCleaning360.com</t>
  </si>
  <si>
    <t>AskaHouseCleaner</t>
  </si>
  <si>
    <t>https://pbs.twimg.com/media/EOk_MdQWsAA-_jA.jpg</t>
  </si>
  <si>
    <t>Angela Brown, The House Cleaning Guru is host of the daily Podcast and YouTube show Ask a House Cleaner</t>
  </si>
  <si>
    <t>https://AskaHouseCleaner.com</t>
  </si>
  <si>
    <t>You like your coworkers but under pressure, can you trust them? Let me explain:  #employeeengagement #stress #career</t>
  </si>
  <si>
    <t>https://youtu.be/Lx5GOkkL7WM</t>
  </si>
  <si>
    <t>Healthy and Fitness</t>
  </si>
  <si>
    <t>HOW TO QUIT SMOKING CIGARETTES HOME REMEDIES: 10 SELF-HELP TIPS TO STOP SMOKING  #tagfire #health #lifestyle #healthcare #life #LOL #addiction #love #stress #anxiety #healthy #HealthyLiving #style #energy #followme #swag #cool #fun #hot #funny #igaddict</t>
  </si>
  <si>
    <t>https://healthyfit07.blogspot.com/2017/10/how-to-quit-smoking-cigarettes.html</t>
  </si>
  <si>
    <t>https://pbs.twimg.com/media/EOk-bUTXsAEzgRf.jpg</t>
  </si>
  <si>
    <t>Get health information to stay fit, happy &amp; healthy. DIY beauty tips for hair &amp; skin care. Yoga poses for your mental &amp; physical fitness https://healthyfit07.blogspot.com</t>
  </si>
  <si>
    <t>https://healthyfit07.blogspot.com</t>
  </si>
  <si>
    <t>CYPRESSMUZIK INTERNATIONAL 🎶</t>
  </si>
  <si>
    <t>This year I’m trying to be as unbothered as homie eating his food in this video.. . . #2020 #unbothered #fuckit #so #idc #relax #more #less #stress</t>
  </si>
  <si>
    <t>https://www.instagram.com/p/B7d8RIpH5Zz/?igshid=kzxfgvstb2qj</t>
  </si>
  <si>
    <t>ÜT: 0.0,0.0</t>
  </si>
  <si>
    <t>YOUR GIRL’S &amp; BOSTON’S FAVE DJ/AUDIO ENGINEER/PROD. I KILL CLUBS/MAKE &amp; MIX HITS 🔥🔥🔥. bookings:1.857.930.8278 Gmail:CypressMuzik@Gmail.com</t>
  </si>
  <si>
    <t>http://www.Facebook.com/cypressmuzik</t>
  </si>
  <si>
    <t>Squish</t>
  </si>
  <si>
    <t>You know sometimes getting a pet can really make us all feel better. They can always seem to sense when we are having a hard time and seem to make things bearable for a while. Just an FYI #SQUISHTHESTIGMA #DEPRESSION #ANXIETY #STRESS</t>
  </si>
  <si>
    <t>https://pbs.twimg.com/media/EOk80REX0AcHlVi.jpg</t>
  </si>
  <si>
    <t>Cincinnati</t>
  </si>
  <si>
    <t>Squish is a developing health-centric start-up focusing on the cognitive well-being of others. Taking a proactive lead towards an intellectual balance</t>
  </si>
  <si>
    <t>http://SquishSupport.com</t>
  </si>
  <si>
    <t>Joseph P. Addabbo Family Health Center</t>
  </si>
  <si>
    <t>Our practice offers up-to-date, quality #MentalHealth care for acute #stress disorder, #OCD and more. Give us a call today.</t>
  </si>
  <si>
    <t>http://ow.ly/Uf0x30q1BrR</t>
  </si>
  <si>
    <t>https://pbs.twimg.com/media/EOk6-2nW4AEbrkq.jpg</t>
  </si>
  <si>
    <t>New York, NY</t>
  </si>
  <si>
    <t>Established in 1987 to provide comprehensive health services to our residents.</t>
  </si>
  <si>
    <t>http://www.Addabbo.org</t>
  </si>
  <si>
    <t>"Rhodiola extract at a dose of 200 mg twice daily for 4 weeks is safe and effective in improving life-stress symptoms to a clinically relevant degree."  #Herbs #HerbalMedicine #Health #Science #Food #Diet #Nutrition #Supplements #Stress</t>
  </si>
  <si>
    <t>http://thenaturalhealthblogger.com/2017/08/28/rhodiola-rosea-the-adaptogen-herb-with-anti-fatigue-anti-depressant-properties/</t>
  </si>
  <si>
    <t>NAMI North Texas</t>
  </si>
  <si>
    <t>Stress-related hormone cortisol lowers significantly after just 45 minutes of art creation. #MentalHealth #stress #art #ArtTherapy</t>
  </si>
  <si>
    <t>http://ow.ly/F3A230q92bN</t>
  </si>
  <si>
    <t>Dallas, Texas</t>
  </si>
  <si>
    <t>Mental Illness Support, Education &amp; Advocacy. Find Help. Find Hope. Find NAMI North Texas! https://www.facebook.com/NAMINTX/</t>
  </si>
  <si>
    <t>http://www.naminorthtexas.org</t>
  </si>
  <si>
    <t>FL Health Collier</t>
  </si>
  <si>
    <t>The weekend is the perfect time to take a step back and relax from a stressful week. #Coloring is a great #stress relief! Find your favorite coloring book and crayons and start coloring.</t>
  </si>
  <si>
    <t>https://pbs.twimg.com/media/EOU66WFWoAAlxHX.jpg</t>
  </si>
  <si>
    <t>Official Twitter for the Florida Department of Health in Collier County. Providing daily public health information and resources.</t>
  </si>
  <si>
    <t>In organizations that struggle to reach their goals, out of control complaining is usually part of the #workculture. Let's change the game: #stress #teamengagement #leadership #keynotespeaker #hospitality #facilitiesmgmt #perform…</t>
  </si>
  <si>
    <t>https://lnkd.in/enhuP54
https://lnkd.in/eAD4SwH</t>
  </si>
  <si>
    <t>Social &amp; Political</t>
  </si>
  <si>
    <t>Why Long Hours At The Office Could Be Killing You #workinghard #work #ihatemyjob #burnout #stress #workstress: UK employees have the longest working week compared to other workers in the European Union. But, despite the long hours, recent studies have</t>
  </si>
  <si>
    <t>http://tinyurl.com/y39g6eqf</t>
  </si>
  <si>
    <t>https://pbs.twimg.com/media/EOk37WnXkAg4JaR.jpg</t>
  </si>
  <si>
    <t>Florida &amp; Nova Scotia</t>
  </si>
  <si>
    <t>InnerSelf's Social &amp; Political topics include climate, democracy, the economy, inequality, hostilities, and justice.</t>
  </si>
  <si>
    <t>http://Innerself.com/content/social.html</t>
  </si>
  <si>
    <t>InnerSelf.com</t>
  </si>
  <si>
    <t>https://pbs.twimg.com/media/EOk37FKXsAA0HFT.jpg</t>
  </si>
  <si>
    <t>http://InnerSelf.com is a 30 year old lifestyle magazine with emphasis on Personal Development, Living In Harmony, and pertinent Social &amp; Political issues</t>
  </si>
  <si>
    <t>http://InnerSelf.com</t>
  </si>
  <si>
    <t>Gordon Mulder</t>
  </si>
  <si>
    <t>2020 #Workplace Tip - Buy a Plant for your office 🌿 "Having A Plant On Your Office Desk Helps Reduce Daily #Stress, Study Finds..."  "...small potted plants around the office can go a long way towards relieving employee stress." #Inspiration</t>
  </si>
  <si>
    <t>https://buff.ly/2uUPHGx</t>
  </si>
  <si>
    <t>https://pbs.twimg.com/media/EOk21mXX0AMujjg.jpg</t>
  </si>
  <si>
    <t>Laguna Hills, CA</t>
  </si>
  <si>
    <t>#Motivation | #Leadership | Employer Compliance | Complete #Payroll Solutions | Payroll Taxes | Bonded | Easy Quote | Call Us! 📲 #Equestrian on weekends 🏇</t>
  </si>
  <si>
    <t>https://www.pacificpayrollgroup.com</t>
  </si>
  <si>
    <t>WisdomQuotesofMikeMurdock</t>
  </si>
  <si>
    <t>When You Transfer #Authority ... You Transfer Responsibility. When You Transfer Responsibility... You Remove #Stress . When You Remove Stress... Your #Joy Increases. #drMM</t>
  </si>
  <si>
    <t>http://MikeMurdockBooks.com
http://FreeBook.tv</t>
  </si>
  <si>
    <t>Fort Worth, TX</t>
  </si>
  <si>
    <t>Official Quotes of Dr. Mike Murdock. Founder of The Wisdom Center @DrMikeMurdock I AM A FOLLOWER OF JESUS. Please EMAIL ME… DrMike@TheWisdomCenter.TV..</t>
  </si>
  <si>
    <t>http://MikeMurdockBooks.com</t>
  </si>
  <si>
    <t>NWBoroughsHealthcare</t>
  </si>
  <si>
    <t>For anyone struggling with #stress, #anxiety or feeling they can’t cope with day-to-day life, including thoughts of #suicide or self-harm, please visit the help in a crisis page on the Trust’s website for support and advice:</t>
  </si>
  <si>
    <t>http://nwbh.nhs.uk/help-in-a-crisis</t>
  </si>
  <si>
    <t>https://pbs.twimg.com/media/EOk1dazXsAE06gC.jpg</t>
  </si>
  <si>
    <t>HQ, Warrington, Cheshire</t>
  </si>
  <si>
    <t>We're North West Boroughs Healthcare. This is a social page and not manned 24/7. If you’re in mental health crisis visit http://www.nwbh.nhs.uk/help-in-a-crisis</t>
  </si>
  <si>
    <t>http://www.nwbh.nhs.uk/</t>
  </si>
  <si>
    <t>Dalton Null</t>
  </si>
  <si>
    <t>White Raspberry Neuro Bliss 2015 Version #whiteraspberry #white #raspberry #neurobliss #neuro #bliss #relaxationdrink #relaxation #relax #drink #stressrelief #stress #relief #stressreliefdrink #bottle #blue #red…</t>
  </si>
  <si>
    <t>https://www.instagram.com/p/B6wPnodHqtb/?igshid=b7futhicxqo9</t>
  </si>
  <si>
    <t>Henryetta, OK</t>
  </si>
  <si>
    <t>Hodges Distribution Center/ 2017 Chevy Spark/ MJ Fan / King Of Energy Drink Reviews/ Master Putter/ ASMRtist/ Driving videos</t>
  </si>
  <si>
    <t>SaltSense</t>
  </si>
  <si>
    <t>Research has shown that #salt has a unique effect on stress levels. Having enough sodium in your bloodstream can reduce your #stress response.</t>
  </si>
  <si>
    <t>UK</t>
  </si>
  <si>
    <t>SaltSense is here to balance the debate about #salt and our #health. Visit our website for more information: http://www.saltsense.co.uk</t>
  </si>
  <si>
    <t>http://saltsense.co.uk</t>
  </si>
  <si>
    <t>Green🌳Infrastructure by Ingo Schüder 🌿Brillianto</t>
  </si>
  <si>
    <t>. A plant on your desk could combat office #stress  #Health #greeninfrastructure #Wellbeing #stressrelief</t>
  </si>
  <si>
    <t>https://yhoo.it/2RenDp1</t>
  </si>
  <si>
    <t>Oxfordshire, England, UK</t>
  </si>
  <si>
    <t>#GreenInfrastructure &amp; #greenspace expert ~ #fundraising 4 #nature &amp; #German #Translations ~ #naturalcapital #ecology #conservation #greenroofs #suds 🇬🇧🇩🇪🇪🇺</t>
  </si>
  <si>
    <t>http://www.brillianto.co.uk</t>
  </si>
  <si>
    <t>Marilyn Realty</t>
  </si>
  <si>
    <t>Redefining your mood can lead to lower #stress levels. Start with a good laugh. #selftips</t>
  </si>
  <si>
    <t>http://cpix.me/a/90188211</t>
  </si>
  <si>
    <t>https://pbs.twimg.com/media/EOk0n9iX0AIp1hr.jpg</t>
  </si>
  <si>
    <t>“The 3 Things That Helped Me Finally Stick with Meditation”  #meditation #mindfulness #stress peace</t>
  </si>
  <si>
    <t>https://www.sonima.com/meditation/daily-meditation-practice/</t>
  </si>
  <si>
    <t>Elly Chapple #flipthenarrative 💜</t>
  </si>
  <si>
    <t>"It goes deeper than that, and back to the model of Self Determination Theory and our basic psychological needs." Really interesting article, looking at #stress and the 'why' relating to managing our own #flipthenarrative 💜 RT @Mr_Crome: ‘Have a quiet cuppa and relax’ But what does research actually say about how teachers unwind? We loved researching and writing this!</t>
  </si>
  <si>
    <t>https://twitter.com/Mr_Crome/status/1218539710877925381
https://teacherwellbeing.school.blog/2020/01/18/have-a-quiet-cuppa-and-relax-but-what-does-research-actually-say-about-how-teachers-unwind/</t>
  </si>
  <si>
    <t>North East, England</t>
  </si>
  <si>
    <t>We will #flipthenarrative © 💜 Because everyone needs a seat at the table. #inclusion #human #diversity | TEDx speaker http://youtu.be/DXBdiGUQ8Lw</t>
  </si>
  <si>
    <t>http://www.candoella.com</t>
  </si>
  <si>
    <t>เด็กโง่ๆคนนึง</t>
  </si>
  <si>
    <t>Before I trust with you the most, and now I know it over #depression #anxiety #sad #depressed #suicide #lonely #stress #โรคเครียด</t>
  </si>
  <si>
    <t>😭</t>
  </si>
  <si>
    <t>Niharika Verma</t>
  </si>
  <si>
    <t>How to Prevent and Battle Health Risks That Come with Financial Stress  #financialstress #stress #stressmanagement #betterhealth</t>
  </si>
  <si>
    <t>https://buff.ly/2u6ExOv</t>
  </si>
  <si>
    <t>Greater Noida, India</t>
  </si>
  <si>
    <t>A Libra and a Full Time Blogger at http://thepinkvelvetblog.com🌴 I Blog on Beauty, Reviews, Mental Health, and More. 💌Email - vermaniharika101@gmail.com</t>
  </si>
  <si>
    <t>https://www.thepinkvelvetblog.com</t>
  </si>
  <si>
    <t>Claire DB</t>
  </si>
  <si>
    <t>"Needing to improve your mental health should never be taken lightly."  #meditation #Stress #MentalHealth</t>
  </si>
  <si>
    <t>https://bit.ly/2EGEhYA</t>
  </si>
  <si>
    <t>https://pbs.twimg.com/media/EOktCTkXkAIxY9i.png</t>
  </si>
  <si>
    <t>Belfast</t>
  </si>
  <si>
    <t>I love to share inspiring home decor, craft ideas, Planners &amp; fave products. I want to inspire &amp; be inspired</t>
  </si>
  <si>
    <t>http://www.hearthandmade.co.uk</t>
  </si>
  <si>
    <t>Felice Gersh MD</t>
  </si>
  <si>
    <t>Mom's #Stress Tied to Brain Development in #Fetuses With CHD Wow! #Emotions of mom dramatically impact the baby! @https://www.medpagetoday.com/obgyn/pregnancy/84344</t>
  </si>
  <si>
    <t>Irvine, CA</t>
  </si>
  <si>
    <t>Board-certified Integrative GYN treating women with #PCOS #endometriosis #menopause #infertility. Cutting-edge science blended with a holistic approach.</t>
  </si>
  <si>
    <t>http://integrativemgi.com</t>
  </si>
  <si>
    <t>FBINAANJ - FBI National Academy Assoc. NJ Chapter</t>
  </si>
  <si>
    <t>A problem for #new hires AND seasoned vets of #lawenforcement. Rookies: Grappling with shift work vs social life, new #stress, personal life, etc. Veterans: #Leadership stress, demanding hours, home life. #Sleep is part of #wellness and #selfcare. Take note. #FBINAANJ #FBINA RT @PoliceOne: Oversleeping is NOT a waking up problem</t>
  </si>
  <si>
    <t>https://twitter.com/PoliceOne/status/1217315231900348416
https://buff.ly/2RiXrd0</t>
  </si>
  <si>
    <t>https://pbs.twimg.com/media/EOTFwJcX4AAvtlb.jpg</t>
  </si>
  <si>
    <t>Official NJ Chapter, representing NJ's esteemed graduates of the FBI NA, the top 1% of NJ #LawEnforcement leaders. #FBINAANJ #FBINA #FBINationalAcademy</t>
  </si>
  <si>
    <t>http://www.FBINAANJ.com</t>
  </si>
  <si>
    <t>Philippe Vaillancourt</t>
  </si>
  <si>
    <t>“Researchers show that around 60% of the Japanese population is under constant #stress, 13.5 million workdays in Europe are lost yearly due to stress, and 83% of US workers report being under significant stress.” 😥 @trello @AmandaAlvernaz</t>
  </si>
  <si>
    <t>https://buff.ly/35Ypuni</t>
  </si>
  <si>
    <t>Laval, Québec, Canada</t>
  </si>
  <si>
    <t>Software developer | Teacher | Student | Master | Apprentice | #JavaScript | #TypeScript | #Angular | #nodejs | #csharp | #dotnet | http://twitch.tv/snowfrogdev</t>
  </si>
  <si>
    <t>http://blog.snowfrog.dev</t>
  </si>
  <si>
    <t>Dr. Donald Tanenbaum</t>
  </si>
  <si>
    <t>Guess What? Pain really is in your brain.  #tmj #bruxism #stress</t>
  </si>
  <si>
    <t>https://bit.ly/2SQZpA6</t>
  </si>
  <si>
    <t>New York</t>
  </si>
  <si>
    <t>I am a specialist helping patients who seek relief of chronic facial pain, #TMJ, headaches, snoring, and sleep problems. Expert Advice: http://on.fb.me/RBHLhg</t>
  </si>
  <si>
    <t>http://www.tanenbaumtmj.com</t>
  </si>
  <si>
    <t>Service Autopilot</t>
  </si>
  <si>
    <t>Grow your #profits. Save hours of #time every week. Eliminate #stress from "work overload" and transform your life ... all with #ServiceAutopilot.</t>
  </si>
  <si>
    <t>https://hubs.ly/H0mb2Yy0</t>
  </si>
  <si>
    <t>https://pbs.twimg.com/media/EOkooxwXkAAfjAZ.jpg</t>
  </si>
  <si>
    <t>Dallas, TX</t>
  </si>
  <si>
    <t>Grow your service business ... FAST! Get control of your time, scheduling, expenses, employees, marketing, profits - and your life.</t>
  </si>
  <si>
    <t>https://www.ServiceAutopilot.com/</t>
  </si>
  <si>
    <t>Rich Perry</t>
  </si>
  <si>
    <t>Stop those self-sabotaging thoughts to become financially stable. Get even more tips here:  | #stress #debt</t>
  </si>
  <si>
    <t>http://bit.ly/2QSQGQq</t>
  </si>
  <si>
    <t>Pennsylvania, USA</t>
  </si>
  <si>
    <t>Mindset &amp; Strategy Coach to Influencers 👊🏼 Int’l #1 Best Selling Author of Bankroll Your Mind 📖 FREE RockStar Influencer 25-Point Checklist &amp; Training ⬇️</t>
  </si>
  <si>
    <t>https://www.thepathofme.com/</t>
  </si>
  <si>
    <t>Organic Conceptions</t>
  </si>
  <si>
    <t>The NY Times looks at a subject we talk about daily: #stress and your #fertility. Click here to read:</t>
  </si>
  <si>
    <t>https://nyti.ms/2QLhUZs</t>
  </si>
  <si>
    <t>Providing a path to overcome #infertility. Our journey to parenthood &amp; beyond #fertility #ttc #conception</t>
  </si>
  <si>
    <t>https://organic-conceptions.com/</t>
  </si>
  <si>
    <t>Oxford Counsellor</t>
  </si>
  <si>
    <t>What causes teen stress, and what helps manage it? @psychtoday  #mentalhealth #stress</t>
  </si>
  <si>
    <t>https://www.psychologytoday.com/gb/blog/packing-success/202001/7-ways-help-teens-manage-stress</t>
  </si>
  <si>
    <t>Oxford, England</t>
  </si>
  <si>
    <t>Counselling in Oxford, @BACP Accredited</t>
  </si>
  <si>
    <t>http://oxford-counsellor.uk</t>
  </si>
  <si>
    <t>Roni &amp; David Sterin, Realtors®</t>
  </si>
  <si>
    <t>#JustSaying #stress #electricity #RoniSterin #realtor #yes @ Cooper City, Florida</t>
  </si>
  <si>
    <t>https://www.instagram.com/p/B7dxKyoHQBy/?igshid=19pw9gpkmulwi</t>
  </si>
  <si>
    <t>Fort Lauderdale, FL</t>
  </si>
  <si>
    <t>Helping people with one of their most important decisions is something I love to do. Real Estate takes patience, understanding, dedication &amp; marketing :)</t>
  </si>
  <si>
    <t>http://www.agentroni.realtor</t>
  </si>
  <si>
    <t>Michael Toebe, Reputation Consultant &amp; Advisor</t>
  </si>
  <si>
    <t>I cannot recommend this more: I hope it proves a shock to the mind and body of those who most will benefit. It's a keeper.  #patience #emotions #stress #depression #achievement #goals #business @MichaelPietrzak #mindset #success</t>
  </si>
  <si>
    <t>https://www.success.com/patience-is-a-superpower/?utm_source=Maropost&amp;utm_medium=email&amp;utm_campaign=[SUCCESS%2001-17]%209%20Ways%20to%20Motivate%20Yourself%20When%20You%E2%80%99re%20Stuck&amp;mpweb=574-8539671-742843765</t>
  </si>
  <si>
    <t>Wichita, KS</t>
  </si>
  <si>
    <t>Specialist: Reputation Crisis, serving organizations and high-profile individuals. Consulting, Advisory, Coaching &amp; Communications. Reputation Times newsletter.</t>
  </si>
  <si>
    <t>https://www.linkedin.com/in/MichaelToebe</t>
  </si>
  <si>
    <t>Scent Fill</t>
  </si>
  <si>
    <t>Get a more restful night's sleep with the help of our Relax Blend.  #aromatherapy #essentialoils #stress #anxiety #insomnia #mood #mind #healing #wellness #airfreshener #health #natural #youngliving #airwick #glade</t>
  </si>
  <si>
    <t>https://scentfill.com/products/relaxing-lemon-lavender-eucalyptus</t>
  </si>
  <si>
    <t>https://pbs.twimg.com/media/EOkmbt3XkAI7xCa.jpg</t>
  </si>
  <si>
    <t>Scent Fill™ provides plug in warmer refills with essential oils and natural ingredients that are compatible with most scented oil plug in warmers.</t>
  </si>
  <si>
    <t>https://scentfill.com/</t>
  </si>
  <si>
    <t>John Nykolaiszyn</t>
  </si>
  <si>
    <t>Anyone else worshipping at the altar of #stress and #hustle? ✋ Guilty as charged. This @thrive article from @Comaford really just puts all the stress in perspective. Highly recommend this read!</t>
  </si>
  <si>
    <t>https://app.quuu.co/r/yay-rrn</t>
  </si>
  <si>
    <t>South Florida / Miami</t>
  </si>
  <si>
    <t>Director @FIUBusiness I align our student's intellectual capital with the global community's needs. Loves to turn stuff on its head. #Miami #HR #CatHerder</t>
  </si>
  <si>
    <t>http://www.fastfoodhr.com</t>
  </si>
  <si>
    <t>Beth Burgess</t>
  </si>
  <si>
    <t>Why Am I Anxious? Understanding Anxiety  #Mentalhealth #stress #anxietydisorders #life #wellbeing #anxiety #depression #mentalhealthmatters #mentalhealthawareness #stress</t>
  </si>
  <si>
    <t>http://ow.ly/nBvz30g5Ige</t>
  </si>
  <si>
    <t>London, UK</t>
  </si>
  <si>
    <t>★ Addiction &amp; Mental Health Expert ★ Author: The Recovery Formula &amp; The Happy Addict http://amzn.to/1soSY56 ★ Freelance Writer ★ Ex-addict ★ Happiness &amp; Effectiveness</t>
  </si>
  <si>
    <t>http://www.smyls.co.uk</t>
  </si>
  <si>
    <t>Elaine 🤔</t>
  </si>
  <si>
    <t>Just Breathe and take in this #relaxing green landscape 🌿 #mentalhealth #stress #anxiety RT @white_queen31: 🌞🌿💦💚💫</t>
  </si>
  <si>
    <t>https://twitter.com/white_queen31/status/1218218672461959168</t>
  </si>
  <si>
    <t>pic.twitter.com/Y442jZLXbC</t>
  </si>
  <si>
    <t>Indiana, USA</t>
  </si>
  <si>
    <t>We're only human after all. #mentalhealth #YouAreNotAlone #survivortough #kindnessmatters #LGBTQ 🏳️‍🌈 Half of a Half-Gay Relationship</t>
  </si>
  <si>
    <t>ABCO Specialties</t>
  </si>
  <si>
    <t>Find some Good #SaturdayVibes #happiness &amp; get #worry #stress free. A FREE attorneys consult Conroe Magnolia Montgomery Porter Splendora NewCaney NewWaverly Klein Kingwood Willis Huntsville Tomball The Woodlands Spring Texas  #AD #bankruptcy #debtfree</t>
  </si>
  <si>
    <t>http://woodlandsbankruptcy.com</t>
  </si>
  <si>
    <t>Houston, Texas area</t>
  </si>
  <si>
    <t>Customer acquisition w/help of search engine optimization SEO optimized featured snippets. #searchengineoptimization #seo #customeracquisition. OpinionsROurs.</t>
  </si>
  <si>
    <t>http://www.abcospecialties.com</t>
  </si>
  <si>
    <t>Health Coach Anna</t>
  </si>
  <si>
    <t>Politics are more stressful than ever. I can really relate to this article - who's with me? 🙋🏼‍♀️ While politics have a great effect on our lives (don’t forget to vote!), let's try to limit the effects they have on our eating, too. #emotionaleating #stress</t>
  </si>
  <si>
    <t>https://www.huffpost.com/entry/how-to-stop-stress-eating_l_5e0f5f66c5b6b5a713b95a52</t>
  </si>
  <si>
    <t>Cayman Islands</t>
  </si>
  <si>
    <t>Emotional Eating Expert I Holistic Health Coach I Lifestyle Blogger at http://AnnaWootton.com I PR/Digital Marketing for @dartrealestate and @ProvenanceKY</t>
  </si>
  <si>
    <t>http://www.annawootton.com</t>
  </si>
  <si>
    <t>https://pbs.twimg.com/media/EOkkEuQWkAAhUg2.jpg</t>
  </si>
  <si>
    <t>Poliklinik Cahaya Pandan Perdana</t>
  </si>
  <si>
    <t>Common stresses and the cures. Here's the part of stress that you should know #CCHS #PoliklinikCahayaPandanPerdana #stress</t>
  </si>
  <si>
    <t>https://pbs.twimg.com/media/EOkjTxLVUAAMqvv.jpg</t>
  </si>
  <si>
    <t>Pandan Perdana</t>
  </si>
  <si>
    <t>Opening Hours : Monday - Friday : 08.00am - 23.00pm Saturday - Sunday : 08.30am - 22.30pm</t>
  </si>
  <si>
    <t>Hot Tub Cottage Breaks</t>
  </si>
  <si>
    <t>Relaxation made simple: 1-Pick a colour 2-Turn on jets 3-Climb in. Simmer slowly until all #stress has evaporated. Unwind in style at our #holidayhome in #NorthNotts. Sleeps ten in three double &amp; two twin rooms.  #travel #relax #fun</t>
  </si>
  <si>
    <t>http://bit.ly/east-wing</t>
  </si>
  <si>
    <t>https://pbs.twimg.com/media/EOkgpZ-X0AAFKea.jpg</t>
  </si>
  <si>
    <t>Ollerton, England</t>
  </si>
  <si>
    <t>The East Wing at Rufford Park Lodge is a luxury five bedroom holiday cottage with a premium hot tub in a private courtyard, in the heart of Sherwood Forest.</t>
  </si>
  <si>
    <t>http://www.Rufford-Park-Lodge.co.uk</t>
  </si>
  <si>
    <t>Henry Ford News</t>
  </si>
  <si>
    <t>It sounds so simple but there's a slew evidence that taking time to focus on our breathing can reduce #stress and #anxiety. 3 exercises to try:</t>
  </si>
  <si>
    <t>http://ow.ly/uJUs50xXncP</t>
  </si>
  <si>
    <t>Michigan, USA</t>
  </si>
  <si>
    <t>Bringing you the latest in medical innovation, research and care. For questions or concerns, please visit: http://ow.ly/cRvu50xjZBr.</t>
  </si>
  <si>
    <t>http://henryford.com</t>
  </si>
  <si>
    <t>Baltic's to UK</t>
  </si>
  <si>
    <t>Drive your life into a better shape #stressfree #stressrelief #stress #pranichealing #mcks</t>
  </si>
  <si>
    <t>https://pbs.twimg.com/media/EOkds-qX0AA4Ewc.jpg</t>
  </si>
  <si>
    <t>Baltic's Culture, Food, Clothes, Fashion, Music, Art, Books, Business, Success, Entertainment, Work-life, Retirement or anything else you would like to share.</t>
  </si>
  <si>
    <t>http://www.balticnews.co.uk</t>
  </si>
  <si>
    <t>Acacia Counseling and Wellness</t>
  </si>
  <si>
    <t>I mean, who hasn't felt potato from time to time? #acacia #growthstartshere #hug #stress #mentalhealth #tired</t>
  </si>
  <si>
    <t>https://pbs.twimg.com/media/EOkZ9uYWAAA3w9G.jpg</t>
  </si>
  <si>
    <t>Dedicated to providing college students with quality mental health services! We're in CA near UCSB, UCD, UCLA, UCSD, UCI, and UCSC, and in Minneapolis near UofM</t>
  </si>
  <si>
    <t>http://www.acaciacw.com</t>
  </si>
  <si>
    <t>Empower Counseling Center</t>
  </si>
  <si>
    <t>Learn how to meditate 🧘🏽‍♂️ from a Buddhist monk:  #mindfulness #counseling #mentalhealth #empower #suwanee #gwinnett #sugarhill #buford #depression #anxiety #stress |</t>
  </si>
  <si>
    <t>http://bit.ly/monkmindfulness
http://empowercounseling.net</t>
  </si>
  <si>
    <t>https://pbs.twimg.com/media/EOkZ7lVUEAA0XzU.jpg</t>
  </si>
  <si>
    <t>Suwanee, GA</t>
  </si>
  <si>
    <t>We help busy people trade anxiety and depression for confidence and authenticity. Specializing in anxiety &amp; depression, relationships, and trauma &amp; PTSD.</t>
  </si>
  <si>
    <t>http://empowercounseling.net</t>
  </si>
  <si>
    <t>WeightMatters</t>
  </si>
  <si>
    <t>Stress can affect your eating, but our #diet can also play an important role in affecting our #stress levels. Check our blog below to learn more:</t>
  </si>
  <si>
    <t>http://ow.ly/5blN50xYMXE</t>
  </si>
  <si>
    <t>UK's Leading Therapy Centre For Weight, Food, Eating &amp; Health Issues</t>
  </si>
  <si>
    <t>http://www.weightmatters.co.uk</t>
  </si>
  <si>
    <t>I Am Truth</t>
  </si>
  <si>
    <t>I Am Truth - CBD oil products  #iamtruth #iamtruthcbd #iamtruthcbdoil #cbdoil #cbd #painrelief #anxiety #stress</t>
  </si>
  <si>
    <t>https://iamtruth.co.uk</t>
  </si>
  <si>
    <t>https://pbs.twimg.com/media/EOkZ0CeX0AEKd_e.jpg</t>
  </si>
  <si>
    <t>I Am Truth is a UK Business selling premium CBD Oil Products. https://iamtruth.co.uk</t>
  </si>
  <si>
    <t>BeverlyBeuermannKing</t>
  </si>
  <si>
    <t>Sleep Survey results: Do you get a good quality #sleep? 80% said No! the snooze button is my friend! 89% lacked energy to exercise 56% impacted weight 45% drowsy while driving 23% too tired for sex Survey:  #sleepidemic #sleepdeprived #insomnia #stress</t>
  </si>
  <si>
    <t>https://survey.zohopublic.com/zs/BHB3Fw</t>
  </si>
  <si>
    <t>https://pbs.twimg.com/media/EOkY1SAU0AEGvXg.jpg</t>
  </si>
  <si>
    <t>If you feel that your team needs stress and resiliency strategies that are more than fluff, that are well-researched, and mesh well with busy lives LET'S TALK.</t>
  </si>
  <si>
    <t>https://worksmartlivesmart.com</t>
  </si>
  <si>
    <t>“Realize true #happiness w/ the “12 Steps of the #Mindfulness #Meditation Practice”  wellness #stress #PTSD</t>
  </si>
  <si>
    <t>http://www.mindfulnessmeditationinstitute.org/2015/01/the-12-steps-of-the-mindfulness-meditation-practice/</t>
  </si>
  <si>
    <t>Catpoz</t>
  </si>
  <si>
    <t>Awesome moving fish cat toy for all your lovely cats 🐈🐈  #cattoy #cats #fishcat #fishtoy #awesometoy #USBcharger #stress #Vibi #highquality #pet #petlovers #pettoy #petcat</t>
  </si>
  <si>
    <t>http://catpoz.com/products/moving-fish-cat-toy</t>
  </si>
  <si>
    <t>https://pbs.twimg.com/media/EOkXCY6UwAAETmf.jpg</t>
  </si>
  <si>
    <t>Catpoz is one of the world's leading online discount stores. We are a fast growing company because we always put the customer first.</t>
  </si>
  <si>
    <t>https://catpoz.com</t>
  </si>
  <si>
    <t>freestyle swimmer</t>
  </si>
  <si>
    <t>be your #stress relief</t>
  </si>
  <si>
    <t>https://pbs.twimg.com/media/EOkWMiwVAAAS5Ql.jpg</t>
  </si>
  <si>
    <t>United States of America</t>
  </si>
  <si>
    <t>I'm #swimmer and coach. Just here to give you some motivation to get back in the water.</t>
  </si>
  <si>
    <t>Niranjan Sajith</t>
  </si>
  <si>
    <t>Working hard for something we don't care about is called stress. Working hard for something we love is called passion' -Simon Sinek #simonsinek #quotesaboutlife #startwithwhy #stress #passion #Hardwork</t>
  </si>
  <si>
    <t>Cochin, India</t>
  </si>
  <si>
    <t>Providing Training/Facilitation to ambitious customers in an enlightening environment with a visionary voice,helping them feel empowered and assured.</t>
  </si>
  <si>
    <t>https://www.instagram.com/soulflowart/?hl=en</t>
  </si>
  <si>
    <t>Trauma_Informed_Training</t>
  </si>
  <si>
    <t>Adverse #childhood experiences (#ACES) can create dangerous levels of #stress (toxic stress). Research shows that unmitigated exposure to toxic stress negatively affects healthy brain development. The consequence can result in long-term impact on #learning, #behaviour &amp; #health.</t>
  </si>
  <si>
    <t>https://pbs.twimg.com/media/EOkUcxBXUAMMX2j.jpg</t>
  </si>
  <si>
    <t>Specialist training providers helping transform organisations into #ACEaware and #TraumaInformed teams that #MakeADifference and change lives.</t>
  </si>
  <si>
    <t>http://www.j3msconsulting.co.uk</t>
  </si>
  <si>
    <t>Skin Online</t>
  </si>
  <si>
    <t>Telomeres are the protective caps at the ends of chromosomes that prevent DNA damage. Telomere attrition plays a role in the ageing process and is linked to diabetes, cancer and heart disease  #SkinOnline #SkinOnlineBlog #stress #telomeres #ageing</t>
  </si>
  <si>
    <t>http://ow.ly/Mjpv30pg4x6</t>
  </si>
  <si>
    <t>https://pbs.twimg.com/media/EOkS9aQX4AAFLeI.jpg</t>
  </si>
  <si>
    <t>Cape Town, South Africa</t>
  </si>
  <si>
    <t>A blog born out of a need to share important information on cutting edge treatments and trends within the categories of beauty, body, health and mind.</t>
  </si>
  <si>
    <t>http://www.skinonline.co.za</t>
  </si>
  <si>
    <t>7 Dots Media</t>
  </si>
  <si>
    <t>Parents, it’s a three day weekend for those in the United States. Meditate as needed!  #Mindfulness #Meditation #Parenting #Stress</t>
  </si>
  <si>
    <t>https://bit.ly/2TxWh08</t>
  </si>
  <si>
    <t>DC Metro</t>
  </si>
  <si>
    <t>7 Dots Media brings to surface the true-life stories of men, myths, and ancient secrets through Workshops, Classes and Movies. Founder - Nitin S Adsul</t>
  </si>
  <si>
    <t>http://www.7dotsmedia.com</t>
  </si>
  <si>
    <t>Masis Staffing</t>
  </si>
  <si>
    <t>94% of American workers said they regularly experience #stress in the workplace. What can you do to reduce work-related #anxiety? See our tips here:  #stressrelief #stressmanagement</t>
  </si>
  <si>
    <t>https://bit.ly/35yFoVr</t>
  </si>
  <si>
    <t>pic.twitter.com/ywgbDY4SuG</t>
  </si>
  <si>
    <t>National #staffing agency servicing both the professional &amp; light industrial sectors. We also provide: VMS, MSP &amp; CPU services. Need a #job? #GetHired by us!</t>
  </si>
  <si>
    <t>http://www.masisstaffing.com</t>
  </si>
  <si>
    <t>EP 483 Sometimes ‘balance’ lasts for a long time, other times, it's fleeting. Balance does not mean equal. Balance means satisfaction. Tips For Celebrating Life Balance Month: #stress #resiliency #mentalhealth #motivation #happiness #balance #happyatwork</t>
  </si>
  <si>
    <t>https://www.podbean.com/eu/pb-jkvb2-d002f9#.XiMHhqCD6vE.twitter</t>
  </si>
  <si>
    <t>VIP Puppies</t>
  </si>
  <si>
    <t>A year ago we published "Providing Your Pup With a Life They Love (FAQ)" It's still a good read. Be sure to check it out!  #Stress #Puppylove #FidoSolutions</t>
  </si>
  <si>
    <t>https://lttr.ai/MST2</t>
  </si>
  <si>
    <t>https://pbs.twimg.com/media/EOkQ3HDX0AUs9al.png</t>
  </si>
  <si>
    <t>Fort Wayne, IN</t>
  </si>
  <si>
    <t>Life is too short to live unhappy. Find your Perfect Puppy Match™ at VIP Puppies. Follow us today for the cutest puppers and live your best life! 🐶</t>
  </si>
  <si>
    <t>https://vippuppies.com/</t>
  </si>
  <si>
    <t>Lisa Twigg</t>
  </si>
  <si>
    <t>A day of creating resources &amp; tools today, all aimed at helping people to manage their stress levels, sleep better &amp;amp; look after their wellbeing ❤️ #stress #stressrelief #stressmanagement #sleep #insomnia #wellbeing #lookafteryourself</t>
  </si>
  <si>
    <t>https://pbs.twimg.com/media/EOkOvM3WsAAm1RL.jpg</t>
  </si>
  <si>
    <t>Derbyshire, England</t>
  </si>
  <si>
    <t>#HR Manager by day and #stress and #wellbeing coach by night. Big fan of positivity, gratitude &amp; personal development 👍🏻 All tweets are my own personal views.</t>
  </si>
  <si>
    <t>http://www.serenityvie.co.uk</t>
  </si>
  <si>
    <t>Pennie Hunt</t>
  </si>
  <si>
    <t>Today I want to share with you one of my favorite tips. It is one that I use every day to de-stress, #calm down, and release the #worries in my life. I believe it will work for you too.  #burdens #selfcare #stress #destress #relax #massage</t>
  </si>
  <si>
    <t>http://ow.ly/RgFF50xYoal</t>
  </si>
  <si>
    <t>https://pbs.twimg.com/media/EOkOo1vVUAAJWRR.jpg</t>
  </si>
  <si>
    <t>#Happiness #inspiration #love #grief #addiction #motivation #love #mindfulness</t>
  </si>
  <si>
    <t>LOVE YOUR Life-NO MATTER WHAT! Author, Inspirational Speaker, Spirit &amp; Brave Blogger. #Angelmom #grief #Happiness #Inspiration #love My book: http://ow.ly/iHDI30o4yFy</t>
  </si>
  <si>
    <t>http://penniehunt.com</t>
  </si>
  <si>
    <t>Edy Nathan, MA, LCSW</t>
  </si>
  <si>
    <t>Our days are filled with Little Griefs as well... This is how you deal&gt;  #grief #Stress #Loss #GriefSupport #GriefandLoss #GriefQuotes #grieving #Burnout #TedTalk #11PhasesOfGrief #Depression #MentalHealth #Love #SelfCare #GriefAwareness #5stagesofgrief</t>
  </si>
  <si>
    <t>https://medium.com/@edy1nathan/dealing-with-grief-daily-e2a5ddec010a</t>
  </si>
  <si>
    <t>https://pbs.twimg.com/media/EOkMOw9WsAENF_s.jpg</t>
  </si>
  <si>
    <t>New York City</t>
  </si>
  <si>
    <t>Psychotherapist, Grief Expert, Hypnotherapist and author, "It’s Grief -The Dance of Self-Discovery Through Trauma and Loss" https://amzn.to/2OUQfRZ</t>
  </si>
  <si>
    <t>http://www.edynathan.com</t>
  </si>
  <si>
    <t>Bulgaria to UK</t>
  </si>
  <si>
    <t>Feeling sadness grief have you tried #pranichealing #stressfree #stressrelief #stress #mcks</t>
  </si>
  <si>
    <t>https://pbs.twimg.com/media/EOkMLe7WoAI7Hoy.jpg</t>
  </si>
  <si>
    <t>Bulgarian Culture, Food, Clothes, Fashion, Music, Art, Books, Business, Success, Entertainment, Work-life, Retirement or anything else you would like to share.</t>
  </si>
  <si>
    <t>Dr. Shillingford</t>
  </si>
  <si>
    <t>Good News for Bariatric Patients: Walking Your Dog Counts as Exercise. #exercise #walkyourdog #bloodpressure #stress #gastricsleeve #weightloss</t>
  </si>
  <si>
    <t>https://www.drshillingford.com/blog/good-news-for-bariatric-patients-walking-your-dog-counts-as-exercise-19767.html</t>
  </si>
  <si>
    <t>https://pbs.twimg.com/media/EOkMKcvWkAE5u6B.jpg</t>
  </si>
  <si>
    <t>Boca Raton, FL</t>
  </si>
  <si>
    <t>Dr. Shillingford is a general surgeon who specializes in advanced laparoscopic and obesity surgery.</t>
  </si>
  <si>
    <t>http://www.DrShillingford.com</t>
  </si>
  <si>
    <t>Reyu Sports</t>
  </si>
  <si>
    <t>REYU - Supports Performance #stress #anxiety #performance #business #sport #life #reyu</t>
  </si>
  <si>
    <t>https://pbs.twimg.com/media/EOkMIPNXUAAr9eH.jpg</t>
  </si>
  <si>
    <t>Physically, professionally or personally - enhancing performance starts with you. Follow our 4 pillar philosophy and start seeing improvements today!</t>
  </si>
  <si>
    <t>AtomMind</t>
  </si>
  <si>
    <t>Decisions not taken and piled up cause you #mental and physical #pressure and tension. The more they are, the bigger they are, the higher the #discomfort, the #stress level they cause you. They need to be resolved. Take time and take those decisions, so you can free your #mind.</t>
  </si>
  <si>
    <t>Bulgaria</t>
  </si>
  <si>
    <t>The Mind behind The Atom. Mind #management, #mind programming &amp; mind #coaching. Unlocking human #potential and defining the language behind it. http://atommind.net</t>
  </si>
  <si>
    <t>https://www.atommind.net</t>
  </si>
  <si>
    <t>Yukon164</t>
  </si>
  <si>
    <t>Getting there - 18 day run streak #meditation #headspace #stress</t>
  </si>
  <si>
    <t>https://www.instagram.com/p/B7djVyNlU3x/?igshid=117zwnx0glip0</t>
  </si>
  <si>
    <t>In the world, smiling</t>
  </si>
  <si>
    <t>Professional Marketer, loving husband/father, work 48 weeks a year so I can get 2 weeks a year snowboarding, Growing up is inevitable, getting old is optional</t>
  </si>
  <si>
    <t>Margarita Madrid</t>
  </si>
  <si>
    <t>#actionable tips from @SarahMMcKay showing the holistic view of how to beat your #stress. 💡 The practical #brain busters: #sleep #move #be in #nature #connect with others #be #mindful #rethink #stress response ..  #neuroscience #mindset</t>
  </si>
  <si>
    <t>http://yourbrainhealth.com.au/six-brain-based-solutions-to-beat-stress/</t>
  </si>
  <si>
    <t>Guildford, England</t>
  </si>
  <si>
    <t>Passionate about helping others to live a #happy and #successful life. Chief-Happifier / Life enthusiast. With a #Curious mind.</t>
  </si>
  <si>
    <t>http://calmcurious.com</t>
  </si>
  <si>
    <t>Stonelink Int'l</t>
  </si>
  <si>
    <t>Want Better Streets? Just Add Paint via @CityLab  #Art #Street #StreetArt #Paint #Artwork #PaintBrush #Painting #Paintings #Calm #Peace #Relax #Tension #Worry #Stress #Busy #BusyCity #Cities #Transport #Transportation #Towns #PaintTheTown</t>
  </si>
  <si>
    <t>https://zurl.co/BhGK</t>
  </si>
  <si>
    <t>https://pbs.twimg.com/media/EOkJaRbXsAELKxN.jpg</t>
  </si>
  <si>
    <t>Regent Street, London</t>
  </si>
  <si>
    <t>London's real estate brokerage for business owners with expanding business operations &amp; investors with diverse portfolios. Call now: +44 (0) 207 993 4081</t>
  </si>
  <si>
    <t>http://stonelinkinternational.com</t>
  </si>
  <si>
    <t>Pinkvilla</t>
  </si>
  <si>
    <t>Stressed and anxious? #Massage THESE pressure points for instant relief from #stress and #anxiety #massage #pressure #anxiety</t>
  </si>
  <si>
    <t>https://www.pinkvilla.com/lifestyle/health-fitness/stressed-and-anxious-massage-these-pressure-points-instant-relief-stress-and-anxiety-501115</t>
  </si>
  <si>
    <t>Mumbai, India</t>
  </si>
  <si>
    <t>Your daily dose of Bollywood gossip and fashion. Instagram : https://Instagram.com/pinkvilla YouTube: https://www.youtube.com/pinkvilla</t>
  </si>
  <si>
    <t>http://www.pinkvilla.com</t>
  </si>
  <si>
    <t>Manoj Pandey, MS, MNAMS, PhD</t>
  </si>
  <si>
    <t>#Dissociation is the best way to avoid #trouble. #Motorism #Life #Quote #Philosophy #Quotes #Wise #Wisdom #Motivation #Inspiration #victory #triumph #Defeat #Frustration #Stress #MentalHealth #Anxiety #Fiasco #Debacle #Flop #Blunder #destiny #Spirituality #success #successquotes</t>
  </si>
  <si>
    <t>https://pbs.twimg.com/media/EOkIq1rUwAAr-wA.jpg</t>
  </si>
  <si>
    <t>Varanasi, India</t>
  </si>
  <si>
    <t>Professor Surgical Oncology, BHU, #Editor #WJSO, #writer #OA #scholarlypublishing #photography #मोटरशास्त्र #motorism #philosophy #humor, Feel free to retweet</t>
  </si>
  <si>
    <t>http://www.wjso.com</t>
  </si>
  <si>
    <t>itsgardeningtime</t>
  </si>
  <si>
    <t>#Touch a #Plant to Reduce #Stress! #stressrelief #garden</t>
  </si>
  <si>
    <t>http://itsgardeningtime.com/?p=1379&amp;utm_source=ReviveOldPost&amp;utm_medium=social&amp;utm_campaign=ReviveOldPost</t>
  </si>
  <si>
    <t>Washington DC Metro Area</t>
  </si>
  <si>
    <t>Gardening is our passion! It brings joy to our lives, and we intend to share our joy with the world. It's Gardening Time!</t>
  </si>
  <si>
    <t>http://itsgardeningtime.com</t>
  </si>
  <si>
    <t>PsychCentral</t>
  </si>
  <si>
    <t>New Baby and Marital Conflicts: Is This Normal?  #Relationships #Stress</t>
  </si>
  <si>
    <t>https://blogs.psychcentral.com/anger/2020/01/new-baby-and-marital-conflicts-is-this-normal/</t>
  </si>
  <si>
    <t>Newburyport, MA</t>
  </si>
  <si>
    <t>PsychCentral is the Internet's leading independent mental health &amp; psychology network, overseen by mental health professionals since 1995.</t>
  </si>
  <si>
    <t>http://www.PsychCentral.com/</t>
  </si>
  <si>
    <t>André 안드레 🇨🇦</t>
  </si>
  <si>
    <t>Taeyeon has so much swag 😎 #Taeyeon_TheUnseen #Taeyeon #태연 #stress</t>
  </si>
  <si>
    <t>pic.twitter.com/8vptI79cvJ</t>
  </si>
  <si>
    <t>Drafter, amateur photographer, Aspiring actor, lover of Kpop, **Warning** I will post a lot of Kpop/Korean related stuff, you have been warned.</t>
  </si>
  <si>
    <t>Natural Health Quincy</t>
  </si>
  <si>
    <t>Good Food, Good Spices, Good Health. We can help, call 217-228-2040 today❤️.  #stress, #anxiety, #arthritis, #autoimmune, #autoimmunedisease, #braincancer, #cancer, #chronicallyill, #chronicfatigue, #chronicfatiguesyndrome, #chronicillness, #chronicpain,</t>
  </si>
  <si>
    <t>https://articles.mercola.com/sites/articles/archive/2020/01/13/capsaicin-health-effects.aspx?cid_source=dnl&amp;cid_medium=email&amp;cid_content=art2HL&amp;cid=20200113Z1&amp;et_cid=DM435967&amp;et_rid=788993173</t>
  </si>
  <si>
    <t xml:space="preserve">2000 Jefferson St. Quincy, IL </t>
  </si>
  <si>
    <t>Chirpractor and Nutritionist since 1982. Especially work with Nutrition Response Testing and Standard Process Nutrition. Have had advanced training and love it.</t>
  </si>
  <si>
    <t>https://www.naturalhealthquincy.com</t>
  </si>
  <si>
    <t>OrigamibyJamie</t>
  </si>
  <si>
    <t>Struggling with Low self esteem... check out my latest blog 🙂#lowselfesteem #blogger #stress #aniexty #chronicillness</t>
  </si>
  <si>
    <t>https://origamibyjamie.wordpress.com/2020/01/17/stress-management-low-self-esteem/</t>
  </si>
  <si>
    <t>England, United Kingdom</t>
  </si>
  <si>
    <t>Uk based🇬🇧 Creating 3D Origami Figures and blogging about life with #Fibromyalgia, #CFS and #SevereIBS 💕🤓</t>
  </si>
  <si>
    <t>https://www.etsy.com/shop/OrigamiByJamie</t>
  </si>
  <si>
    <t>Chou Hallegra</t>
  </si>
  <si>
    <t>"Be quick, but don't rush, there is a difference." CEO of Blitz Metrics, Dennis Yu, explains how he stays on top of the thousands of #emails he receives in a week.  #stress #howtowork</t>
  </si>
  <si>
    <t>https://buff.ly/2KBiK7j</t>
  </si>
  <si>
    <t>https://pbs.twimg.com/media/EOkFQbYWAAEjbIl.jpg</t>
  </si>
  <si>
    <t>Camp Hill, PA</t>
  </si>
  <si>
    <t>Best-selling Author, Transformational Speaker, Mental Health &amp; Ability Consultant, Certified Life Coach, Advocate, Mom</t>
  </si>
  <si>
    <t>http://www.graceandhopeconsulting.com</t>
  </si>
  <si>
    <t>noordiana</t>
  </si>
  <si>
    <t>Apoptosis is an individual cell death where the cell’s plasma membrane remain intact, and the apoptotic cells are altered making it a target of phagocytosis #stress</t>
  </si>
  <si>
    <t>my diary</t>
  </si>
  <si>
    <t>“5 Tips for Starting a Mindfulness #Meditation Practice and Staying Motivated.”  #motivation #stress</t>
  </si>
  <si>
    <t>https://mindfulnessmeditationinstitute.org/2016/01/02/5-tips-for-starting-a-mindfulness-meditation-practice-and-staying-motivated/</t>
  </si>
  <si>
    <t>kuldeep</t>
  </si>
  <si>
    <t>Managing #stress and #anxiety. Go for a walk. Sit quietly and breath, list some things you are grateful for. Do some yoga stretches. Drink a herbal tea. #alcohol won’t help, it just pushes it away from a little while. #alchohism Consider all the positive effects of not drinking.</t>
  </si>
  <si>
    <t>Claircognizant 👼🏻 Happiness is success. Neurons that fire together wire together. Your person-ality, creates your personal reality. Recondition your mind.</t>
  </si>
  <si>
    <t>Cristiano D. Silva</t>
  </si>
  <si>
    <t>Yesterday I have confirmed that the #AFib that I had in December was caused in part by #stress and genetic conditions. I have already taken a different path by diminishing #Coffee and trying to live a healthier life.</t>
  </si>
  <si>
    <t>Florida</t>
  </si>
  <si>
    <t>Software Engineer, Entrepreneur on the Beauty and SPA industry and enthusiast photographer. #php #entrepreneur #photography #bodybrowbar</t>
  </si>
  <si>
    <t>Suzanne Falter</t>
  </si>
  <si>
    <t>Add to your #library. #Books to help with #stress.</t>
  </si>
  <si>
    <t>http://bit.ly/2sum2QD</t>
  </si>
  <si>
    <t>San Francisco Bay Area, CA</t>
  </si>
  <si>
    <t>Podcasting, writing books and essays about self-care and quirky fiction. See fiction @LGBTQFiction</t>
  </si>
  <si>
    <t>http://www.suzannefalter.com</t>
  </si>
  <si>
    <t>Avoid worrying about your finances, it only makes matters worse. Get even more tips here:  | money #stress</t>
  </si>
  <si>
    <t>Dr. Carsten Müller</t>
  </si>
  <si>
    <t>Exercise can have an immediate impact on #stress reduction. In this study, #yoga &amp; #fitness #exercises ↘ stress by ↗ self-compassion &amp;amp; positive emotions and ↘ negative #emotions. Yoga outperformed fitness exercise by improving #mindfulness #MentalHealth</t>
  </si>
  <si>
    <t>https://www.tandfonline.com/doi/full/10.1080/07448481.2019.1705840</t>
  </si>
  <si>
    <t>https://pbs.twimg.com/media/EOj5pJNXsAEMh_k.png</t>
  </si>
  <si>
    <t>Germany, Münster (NRW)</t>
  </si>
  <si>
    <t>PAPHS-Blog 👉 https://bit.ly/2WKDdeD #PhysicalActivity🚶‍♂️ #Exercise 🏋️‍♂️ #MentalHealth 😎 #PublicHealth 🙂 #SportsMedicine 🏥 #HeadImpact in Soccer 🧠</t>
  </si>
  <si>
    <t>https://www.researchgate.net/profile/Carsten_Mueller2</t>
  </si>
  <si>
    <t>Gastrocure</t>
  </si>
  <si>
    <t>“Food plays a role even in our #stress levels and whether we fall into a depressive state or not”  via @BWBusinessworld #probiotics</t>
  </si>
  <si>
    <t>http://ow.ly/WHNX30jptba</t>
  </si>
  <si>
    <t>West Orange NJ</t>
  </si>
  <si>
    <t>Dr. Vitaly Fishbein is a board certified integrative gastroenterologist specializing in neurogastroenterology, GI disorders and medical director of Gastrocure.</t>
  </si>
  <si>
    <t>http://www.gastrocure.com</t>
  </si>
  <si>
    <t>Inova Health</t>
  </si>
  <si>
    <t>Are you looking for ways to manage #stress? Join us on Tues, January 28, 2020 from 6:30-8pm for a free session of #Mindfulness Based Stress Reduction. Learn more or sign-up:  #stressmanagement</t>
  </si>
  <si>
    <t>http://bit.ly/2Rksjvf</t>
  </si>
  <si>
    <t>Northern Virginia &amp; DC Metro</t>
  </si>
  <si>
    <t>Inova’s mission is to provide world-class healthcare – every time, every touch – to each person in every community we have the privilege to serve. #inovahealth</t>
  </si>
  <si>
    <t>https://www.inova.org</t>
  </si>
  <si>
    <t>Mummy Fever</t>
  </si>
  <si>
    <t>7 tips to take the #stress out of familytravel</t>
  </si>
  <si>
    <t>https://mummyfever.co.uk/7-tips-to-take-the-stress-out-of-travelling-with-family/</t>
  </si>
  <si>
    <t>https://pbs.twimg.com/media/EOj2_DZWkAAoQN9.jpg</t>
  </si>
  <si>
    <t>UK based, worldwide</t>
  </si>
  <si>
    <t>#Mum of 4 embracing chaos #travelblogger #prfriendly #blog #Invisalign Ambassador https://www.amazon.com/shop/mummyfever http://mummyfever.co.uk</t>
  </si>
  <si>
    <t>http://mummyfever.co.uk</t>
  </si>
  <si>
    <t>https://pbs.twimg.com/media/EOjy6yLX0AAvTKZ.jpg</t>
  </si>
  <si>
    <t>https://pbs.twimg.com/media/EOjy6pgWsAAGzQ5.jpg</t>
  </si>
  <si>
    <t>Traffic Jam</t>
  </si>
  <si>
    <t>Big enough for the whole squad! Lukaku splashes out on giant bed If you thought that was odd check out the rants on  #trafficjam #android #ios #free #m25 #m6 #m4 #m62 #m5 #m61 #m65 #stress #roadrage #app #rant</t>
  </si>
  <si>
    <t>http://zpr.io/guka2</t>
  </si>
  <si>
    <t>https://pbs.twimg.com/media/EOjySxVWAAEjlMi.jpg</t>
  </si>
  <si>
    <t>Manchester, England</t>
  </si>
  <si>
    <t>Getting stuck in a traffic jam has never been so much fun!</t>
  </si>
  <si>
    <t>http://www.trafficjam.mobi/#/</t>
  </si>
  <si>
    <t>prasanna</t>
  </si>
  <si>
    <t>Definition of Real Stress 😉 When you have Panipuri in your Mouth, a Panipuri in your Hand, a Panipuri in your Bowl and the Panipuri Wala is standing in front of you with another ready Panipuri 😅😅 #stress</t>
  </si>
  <si>
    <t>Healthy Living</t>
  </si>
  <si>
    <t>Living with Depression? Read This ~~&gt;  and reTweet please #depression #stress #mentalhealth</t>
  </si>
  <si>
    <t>http://dld.bz/hbtz3</t>
  </si>
  <si>
    <t>https://pbs.twimg.com/media/EOjw1XoXkAE7ULQ.jpg</t>
  </si>
  <si>
    <t>Natural Health Remedies ⬎</t>
  </si>
  <si>
    <t>Want to know all about Psoriasis?.. Check this out: http://curepsoriasisholistically.com - For more FREE Healthy Living Tips Follow Us!</t>
  </si>
  <si>
    <t>https://curepsoriasisholistically.com</t>
  </si>
  <si>
    <t>HPFT Wellbeing Team</t>
  </si>
  <si>
    <t>Allowing yourself to be asbored in the imaginary environment of story telling is one way of switching off from the stresses &amp; strains of everyday life. Another coping mechanism for #stress &amp;amp; #anxiety is talking therapy @HPFT_Wellbeing</t>
  </si>
  <si>
    <t>http://talkwellbeing.co.uk/</t>
  </si>
  <si>
    <t>Hertfordshire</t>
  </si>
  <si>
    <t>Herts NHS service supporting people with common mental health problems like anxiety &amp; depression. Not a crisis service call GP or 0300 777 0707 for urgent help</t>
  </si>
  <si>
    <t>http://www.talkwellbeing.co.uk</t>
  </si>
  <si>
    <t>Decisions, actions, and conclusions without a process to consider their impacts is not #managing... It's #guessing #entrepreneur #stress</t>
  </si>
  <si>
    <t>Geobear</t>
  </si>
  <si>
    <t>Forbes "Unwind this weekend! How to (Really) recharge.  How do you unwind at weekends? we would love to hear your tips. #Geobear #employeewellbeing #stress #worklifebalance #health #happiness</t>
  </si>
  <si>
    <t>http://bit.ly/2u330o8</t>
  </si>
  <si>
    <t>Global ground engineering company. We reverse subsidence! #wekeepyourworldrunning #subsidence #settlement #groundengineering</t>
  </si>
  <si>
    <t>http://www.geobear.com</t>
  </si>
  <si>
    <t>treesword</t>
  </si>
  <si>
    <t>You got me smoking cigarettes 🚬 #Stress RT @Orangemcbm: #Taeyeon_TheUnseen เราจะตายกันหมด !</t>
  </si>
  <si>
    <t>https://twitter.com/orangemcbm/status/1218486368940089344</t>
  </si>
  <si>
    <t>pic.twitter.com/D9MSm4BmLU</t>
  </si>
  <si>
    <t>Taipei,Taiwan</t>
  </si>
  <si>
    <t>立志當人性化的翻譯年糕</t>
  </si>
  <si>
    <t>LisaWeeks Naturopath</t>
  </si>
  <si>
    <t>"You can’t stop the waves, but you can learn to surf." - Jon Kabat-Zinn #stress #anxiety #mindfulness #cortisol #quote #inspiration</t>
  </si>
  <si>
    <t>https://pbs.twimg.com/media/EOjuTTUX4AA3bCs.jpg</t>
  </si>
  <si>
    <t>Toronto and East York</t>
  </si>
  <si>
    <t>Naturopathic Doctor, outdoor enthusiast, public speaker and smoothie lover</t>
  </si>
  <si>
    <t>http://www.drlisaweeks.com</t>
  </si>
  <si>
    <t>No matter who you are, we've all stood in chaotic situations whether personal, social, or those overwhelming and stressful work circumstances. So how do we handle these situations and still keep cool? Listen:  | #RichPerry #stress</t>
  </si>
  <si>
    <t>http://bit.ly/2EYuhKD</t>
  </si>
  <si>
    <t>Dave Jenkins</t>
  </si>
  <si>
    <t>#mentalhealth #stress #depression #anxiety Be a Warrior, Not a Worrier: How to De-Stress and Cope with Anxiety Naturally Reviews -</t>
  </si>
  <si>
    <t>http://pachaworld.org/mentalhealth-stress-depression-anxiety-be-a-warrior-not-a-worrier-how-to-de-stress-and-cope-with-anxiety-naturally-reviews</t>
  </si>
  <si>
    <t>https://pbs.twimg.com/media/EOjrNcJWsAAlhVK.jpg</t>
  </si>
  <si>
    <t>Denver</t>
  </si>
  <si>
    <t>Your FREE blog link placed on BestMetabolismBoosters(dot)com in exchange for a link back. Contact : http://BestMetabolismBoosters.com/contact-us Am into #fitness</t>
  </si>
  <si>
    <t>https://www.pinterest.com/bestmetabooster/</t>
  </si>
  <si>
    <t>iCliniq</t>
  </si>
  <si>
    <t>Am I Depressed? Warning Signs Click here --&gt;  #icliniq100hrs #askadoctor #doctoronline #motivation #character #people #happy #calm #depression #anxiety #stress #CelebrateYou</t>
  </si>
  <si>
    <t>http://bit.ly/30kX3iw</t>
  </si>
  <si>
    <t>Coimbatore, India</t>
  </si>
  <si>
    <t>The Virtual Hospital - Get medical advice and second opinion from 3500+ doctors in 80+ specialties. Secure phone calls, E-mail, Video Chat and Slack</t>
  </si>
  <si>
    <t>https://www.icliniq.com/</t>
  </si>
  <si>
    <t>Best 5 Essential Oils For Depression, Stress, and Anxiety  #essentialoils #essentialoilsfordepression #blogger #stress #anxiety</t>
  </si>
  <si>
    <t>https://buff.ly/2tdCGrp</t>
  </si>
  <si>
    <t>MIND</t>
  </si>
  <si>
    <t>Be gentle with yourself...you are doing the best you can. #stress #mentalhealth #restandrelaxation</t>
  </si>
  <si>
    <t>https://pbs.twimg.com/media/EOjokw_WoAEZaq_.jpg</t>
  </si>
  <si>
    <t>Southend, Essex</t>
  </si>
  <si>
    <t>SECE Mind are here to support people with mental health challenges &amp; those who want to care for the mental wellbeing of themselves and others.</t>
  </si>
  <si>
    <t>http://www.seandcessexmind.org.uk</t>
  </si>
  <si>
    <t>Still confused about meditation? Check out “The Ultimate Guide to Meditation”  mindfulness #meditation #stress #wellness peace</t>
  </si>
  <si>
    <t>https://mindfulnessmeditationinstitute.org/2018/11/02/the-ultimate-meditation-guide-infographic/</t>
  </si>
  <si>
    <t>Daily Research @SurveyCircle</t>
  </si>
  <si>
    <t>Participants needed for online survey! Topic: "Life Experiences, Spirituality and Sleep"  via @SurveyCircle #religion #spirituality #sleep #stress #coping #identity #BelieveInGod #faith #survey #surveycircle</t>
  </si>
  <si>
    <t>https://www.surveycircle.com/en/surveys/?cr=at#01ca4debae16</t>
  </si>
  <si>
    <t>https://pbs.twimg.com/media/EOjltpxX0AAcHhT.jpg</t>
  </si>
  <si>
    <t>Daily dose of new research studies listed in the Survey Ranking at https://www.surveycircle.com. Studies posted here are recruiting participants @SurveyCircle.</t>
  </si>
  <si>
    <t>https://www.surveycircle.com/surveys</t>
  </si>
  <si>
    <t>Michelle Reinglass</t>
  </si>
  <si>
    <t>#Stress #Balance #Health #History #Icon #NobelNominee #Hans Selye: Birth of Stress - The American Institute of Stress -  via @shareaholic Dr. Selye, father of ID'g &amp; labeling "stress". Fascinating background.</t>
  </si>
  <si>
    <t>https://go.shr.lc/2DkhVv5</t>
  </si>
  <si>
    <t>Mediator,Lawyer-Reformed litigator. Conflict resolution; Vegan, running, walking, yoga, pilates, mindful/health&amp; fitness; speaker/author on mediation &amp; balance.</t>
  </si>
  <si>
    <t>http://www.reinglassadr.com</t>
  </si>
  <si>
    <t>OmMamaLife</t>
  </si>
  <si>
    <t>Yoga is an incredible tool for both #flexibility and #stress management.</t>
  </si>
  <si>
    <t>https://pbs.twimg.com/media/EOji3qWUUAA8_kn.jpg</t>
  </si>
  <si>
    <t>New Hampshire, USA</t>
  </si>
  <si>
    <t>Om Mama Life - #Yoga, #Running, #Mindfulness. Classes &amp; camps for kids. Outdoor yoga for adults (#SnowshoeYoga &amp; #TrailYoga), #Coaching, and retreats!</t>
  </si>
  <si>
    <t>http://OmMamaYoga.com</t>
  </si>
  <si>
    <t>EmotionRecoding</t>
  </si>
  <si>
    <t>Today, looking at new approaches to help people recover from trauma with @mindbodybreakthrough #trauma #brain #health #allinthemind #recovery #anxiety #stress #EmotionRecoding #wellbeing</t>
  </si>
  <si>
    <t>https://pbs.twimg.com/media/EOjiAtNXUAAKC3X.jpg</t>
  </si>
  <si>
    <t>We can help you. Rapid support for #trauma #ptsd #phobia #weightloss #smoking #IBS #anxiety #performance. #Hypnotherapy #EFT #London #Surrey #Guildford</t>
  </si>
  <si>
    <t>https://freeyourmind.uk</t>
  </si>
  <si>
    <t>David Satchell</t>
  </si>
  <si>
    <t>Is #Stress Making Your Hair Fall Out? Discover the truth about hair loss at the #EucadermHairScalpClinic</t>
  </si>
  <si>
    <t>https://davidsatchell-trichologist.uk/why-does-stress-affect-hair-loss/</t>
  </si>
  <si>
    <t>https://pbs.twimg.com/media/EOjev5GXUAA038r.png</t>
  </si>
  <si>
    <t>Eastbourne, UK</t>
  </si>
  <si>
    <t>Trichologist David Satchell formed Eucaderm over 45 years ago. He conceived the development of one of the most exciting advances in hair and scalp care ever...</t>
  </si>
  <si>
    <t>http://eucaderm.com</t>
  </si>
  <si>
    <t>Mark  Logie</t>
  </si>
  <si>
    <t>One of the benefits of #magnesium is its ability to help cope with #stress, so this goes to show the importance of diet to, amongst many other things, #mentalHealth. #MentalIllness #MentalHealthMatters #nutrition #food RT @mercola: Here are foods that are rich in Magnesium!</t>
  </si>
  <si>
    <t>https://twitter.com/mercola/status/1218292219901284352</t>
  </si>
  <si>
    <t>https://pbs.twimg.com/media/EOg-UL1W4AgVh_Q.jpg</t>
  </si>
  <si>
    <t>London, United Kingdom</t>
  </si>
  <si>
    <t>Poet for adults, novelist for young adults. Obsessive, independent-minded thinker with particular interest in health, farming &amp; environmental issues.</t>
  </si>
  <si>
    <t>http://www.abctales.com/user/markihlogie</t>
  </si>
  <si>
    <t>The Daily Brew Journal</t>
  </si>
  <si>
    <t>#Journaling can be used to reduce #workplace #stress. One company bought a copy of The Daily Brew for all 170 employees to encourage #selfcare . How cool is that?</t>
  </si>
  <si>
    <t>https://pbs.twimg.com/media/EOjdY9cXUAAtFJy.jpg</t>
  </si>
  <si>
    <t>Help yourself, help another!</t>
  </si>
  <si>
    <t>A best selling 365-Day Guided Journal : thought provoking prompts, inspirational quotes +. All proceeds donated to charity. #SelfCare #MentalHealth #Journaling</t>
  </si>
  <si>
    <t>http://www.outskirtspress.com/dailybrewjournal</t>
  </si>
  <si>
    <t>Niloofar Yazdkhasti</t>
  </si>
  <si>
    <t>While scholars find out you may have a longer life if you #visit #museums, but it seems museum staffs are not including, because of the stress. @MuseumNext published an artcile by Jim Rishardson to help #museum_workers to get rid of #stress:</t>
  </si>
  <si>
    <t>https://www.instagram.com/p/B7c0rjogC4q/?igshid=1tmovpgoa2dwk</t>
  </si>
  <si>
    <t>https://pbs.twimg.com/media/EOjcOZUVAAAerhW.jpg</t>
  </si>
  <si>
    <t>Islamic Republic of Iran</t>
  </si>
  <si>
    <t>Museum Educational Curator, Museology student of National Museum Institute, New Delhi</t>
  </si>
  <si>
    <t>https://museumatter.blogspot.com/</t>
  </si>
  <si>
    <t>The Raw Rainbow</t>
  </si>
  <si>
    <t>Quote for today!! #motivation #Ayurvedicmedicine #cleaneating #healthyeating #rawfood #fitness #sport #inspiration #yoga #meditation #diet #food #pilates #stress #anxiety #stressedmommy #mumpreneur #energy #wellness #london #surrey</t>
  </si>
  <si>
    <t>http://www.therawrainbow.com</t>
  </si>
  <si>
    <t>https://pbs.twimg.com/media/EOjcEqoWoAAmLX_.jpg</t>
  </si>
  <si>
    <t>Online Raw Food Workshops - Detox Yourself To Maintain Optimum Health!</t>
  </si>
  <si>
    <t>Your work day can be amazing with this morning process  #managing #stress #entrepreneur</t>
  </si>
  <si>
    <t>http://ow.ly/LcPW30qai1m</t>
  </si>
  <si>
    <t>Riki Davies</t>
  </si>
  <si>
    <t>http://rikidavies.co.uk</t>
  </si>
  <si>
    <t>https://pbs.twimg.com/media/EOjcAlBWkAcFblv.jpg</t>
  </si>
  <si>
    <t>Western Herbal Medicine BSc (Hons),PGCE. Clinical Hypnotherapist, Author. Run Healthy Eating Workshops and Herbal Walks for the Public</t>
  </si>
  <si>
    <t>http://www.rikidavies.co.uk</t>
  </si>
  <si>
    <t>Sugars are a form of simple carbohydrates they lead to rapid spikes &amp; drops in your blood sugar levels &amp;amp; eventually a feeling of exhaustion &amp;amp; burn-out!  #SkinOnline #SkinOnlineBlog #body #health #healthyliving #fatigue #wellness #stress #anxiety #work</t>
  </si>
  <si>
    <t>http://ow.ly/wA3z30eQQUk</t>
  </si>
  <si>
    <t>https://pbs.twimg.com/media/EOjcAjSWAAAWHsr.jpg</t>
  </si>
  <si>
    <t>D-Stress 100%Natural</t>
  </si>
  <si>
    <t>Read to know how #stress affects your health @DStress_Natural is nature's way for stress and health management @MumbaiMirror @DeccanChronicle @ABPNews @Vijaykarnataka @reliancejio @TataMotors @startupindia @airtelindia @ICICIBank @TheOfficialSBI @KotakBankLtd @Idea @VodafoneIN</t>
  </si>
  <si>
    <t>https://pbs.twimg.com/media/EOjar2jVAAIPoTl.jpg</t>
  </si>
  <si>
    <t>Hyderabad, India</t>
  </si>
  <si>
    <t>D-Stress - 100% Natural Relief for Stress, Anxiety and for Good Sleep. Now @Amazon.in</t>
  </si>
  <si>
    <t>http://www.amazon.in/dp/B0791JZ166</t>
  </si>
  <si>
    <t>Read to know how #stress affects your health @DStress_Natural is nature's way for stress and health management @timesofindia @the_hindu @htTweets @ndtv @TimesNow @NDTVProfit @TOIHealthNews @BloombergQuint @DeccanHerald @TheQuint @abpnewstv @ttindia @BangaloreMirror @QuintHindi</t>
  </si>
  <si>
    <t>https://pbs.twimg.com/media/EOjaQraUUAA7HeF.jpg</t>
  </si>
  <si>
    <t>Read to know how #stress affects your health. @DStress_Natural is nature's way for stress and health management @TCS @Wipro @Infosys @hcltech @CapgeminiIndia @CognizantIndia @Mindtree_Ltd @nasscom @Computerworld @IBMResearch @MicrosoftIndia @SAPIndia @Mphasis @Cyient @RoltaTech</t>
  </si>
  <si>
    <t>https://pbs.twimg.com/media/EOjZmR5UwAAH_1f.jpg</t>
  </si>
  <si>
    <t>Kerry Alison Wekelo</t>
  </si>
  <si>
    <t>Use a tennis ball and squeeze gently in both hands to help relieve stress during the day. #exercise #stress</t>
  </si>
  <si>
    <t>https://pbs.twimg.com/media/EOjYl38XsAAGoT_.png</t>
  </si>
  <si>
    <t>VA</t>
  </si>
  <si>
    <t>My expertise is in creating and maintaining thriving organizational cultures. Contact me to brainstorm and determine ways we can collaborate. Make a Great Day!</t>
  </si>
  <si>
    <t>http://www.actualizeconsulting.com/seminars.html</t>
  </si>
  <si>
    <t>Online Counselling 4 U</t>
  </si>
  <si>
    <t>#Stress affects every cell in your body. Do something about it before it's too late. #onlinecounselling4u #quote #relationshipquotes #couplegoals #happy #couples #dating #marriage #happiness #family #friendship #mentalhealth #therapy #depression #anxiety #motivational #motivation</t>
  </si>
  <si>
    <t>https://pbs.twimg.com/media/EOjW70hVAAADJen.jpg</t>
  </si>
  <si>
    <t>Online Counselling 4 U offers professional solutions to life’s problems through online counselling and self help articles.</t>
  </si>
  <si>
    <t>https://www.onlinecounselling4u.com/</t>
  </si>
  <si>
    <t>Forever Finances</t>
  </si>
  <si>
    <t>#Health is a significant concern, and for that, you must maintain to beat the #stress of #dailywork. #SaturdayMotivation</t>
  </si>
  <si>
    <t>https://bit.ly/2u7oDUn</t>
  </si>
  <si>
    <t>https://pbs.twimg.com/media/EOjR6fyUwAAiuLX.jpg</t>
  </si>
  <si>
    <t>Glasgow, Scotland</t>
  </si>
  <si>
    <t>Not claiming to be the best but we really proud ourselves to fulfill your financial aspirations. Apply now for short term and long term loans.</t>
  </si>
  <si>
    <t>https://www.foreverfinances.co.uk/</t>
  </si>
  <si>
    <t>The Counsellors Café</t>
  </si>
  <si>
    <t>5 ways to prevent stress-induced #depression #stress</t>
  </si>
  <si>
    <t>http://ed.gr/b5fzw</t>
  </si>
  <si>
    <t>https://pbs.twimg.com/media/EOjRcM-W4AE0ZjQ.jpg</t>
  </si>
  <si>
    <t>The Counsellors Cafe shares #MentalHealth &amp; #Wellbeing knowledge, support &amp; inspiration 💛 #TherapistsConnect #counsellor #psychotherapist #CPD Magazine Out Now</t>
  </si>
  <si>
    <t>http://www.thecounsellorscafe.co.uk</t>
  </si>
  <si>
    <t>Andrew Johnson</t>
  </si>
  <si>
    <t>Have a mindful weekend. Be gentle with yourself… 😇 #andrewjohnson #meditation #mindfulness #relaxation #relax #selfcare #meditate #mindful #stress #sleep</t>
  </si>
  <si>
    <t>https://pbs.twimg.com/media/EOjPdJsXsAAmPib.jpg</t>
  </si>
  <si>
    <t>Edinburgh</t>
  </si>
  <si>
    <t>Self Help Apps &amp; Workshops. 12m downloads. #meditation #mindfulness #relaxation #wellness #resilience</t>
  </si>
  <si>
    <t>http://www.andrewjohnson.co.uk</t>
  </si>
  <si>
    <t>Anxiety UK</t>
  </si>
  <si>
    <t>Browsing on eBay? Did you know you can now #donate proceeds to Anxiety UK when you make a purchase? Favourite us on #eBay for #Charity and help us to help those living with #anxiety, #stress or anxiety based #depression. More info here:</t>
  </si>
  <si>
    <t>http://ow.ly/trVk50wHlyk</t>
  </si>
  <si>
    <t>Manchester, UK</t>
  </si>
  <si>
    <t>The UK's leading charity on #anxiety &amp; #phobias providing access to therapies &amp; support #mentalhealth #stress #ocd #ptsd #bdd #agoraphobia #panic #depression</t>
  </si>
  <si>
    <t>http://www.anxietyuk.org.uk</t>
  </si>
  <si>
    <t>Joshua Dowidat</t>
  </si>
  <si>
    <t>Anxiety attack. Life changed for me in 25 minutes.  #anxiety #stress</t>
  </si>
  <si>
    <t>https://doug-sandler-3bnl.squarespace.com/news/anxietyattack</t>
  </si>
  <si>
    <t>https://pbs.twimg.com/media/EOjJ8KpX0AAl4eI.jpg</t>
  </si>
  <si>
    <t>Southeastern Arizona</t>
  </si>
  <si>
    <t>Writing is not just a hobby, but a chance to unravel your mind &amp; escape into a world untouched by reality. #darkfiction #darkfantasy #desertshadows #yafiction</t>
  </si>
  <si>
    <t>http://joshuadowidat.com</t>
  </si>
  <si>
    <t>Tim Olsen</t>
  </si>
  <si>
    <t>Is #SleepDeprivation and #Stress Affecting Your Health? #mood #chronicdisease</t>
  </si>
  <si>
    <t>https://pbs.twimg.com/media/EOjJG8IXsAIna4d.jpg</t>
  </si>
  <si>
    <t>Minnesota, USA</t>
  </si>
  <si>
    <t>Cancer Conqueror | Mental Wellness Advocate | Pro CBD/Cannabis</t>
  </si>
  <si>
    <t>Moni's Digital World</t>
  </si>
  <si>
    <t>Workplace Facts ! How many of you Agree this ? Share your Thoughts on Comments! #workplace #workpressure #domination #office #familyproblems #business #failure #stress #pain #headache #india #usa To get in Touch with Me!  monisdigitalworld@gmail.com</t>
  </si>
  <si>
    <t>http://www.linkedin.com/in/monicamanivannan/</t>
  </si>
  <si>
    <t>https://pbs.twimg.com/media/EOjGc4VUcAA2Pu_.jpg</t>
  </si>
  <si>
    <t>Chennai</t>
  </si>
  <si>
    <t>Best Digital Services to your Business.Get your Website to High Rank in Search Engines &amp; Get a Creative Posters for Promote your Business at Online &amp; Offline!</t>
  </si>
  <si>
    <t>http://monisdigitalworld.blogspot.com</t>
  </si>
  <si>
    <t>You’re racing the clock at work and suddenly a co-worker needs your help. You’re frustrated but should you be? Consider these tips:  #timemanagement #EmployeeEngagement #stress</t>
  </si>
  <si>
    <t>http://www.kenokel.com/effective-leaders-handle-deadline-distractions/</t>
  </si>
  <si>
    <t>Green Earth Family</t>
  </si>
  <si>
    <t>Spend Time in Nature to Reduce Stress and Anxiety  #greenfuture #stress #greenlife #greenliving #greenearth #greenerfuture #greenplanet #HealthyLife #greentips #savetheearth #savetheenvironment #saveearth #saveourplanet #savetheworld #nature #Anxiety</t>
  </si>
  <si>
    <t>https://buff.ly/2CjSOs3</t>
  </si>
  <si>
    <t xml:space="preserve">London </t>
  </si>
  <si>
    <t>Blog about recycling and DIY; http://greenearthfamily.com/</t>
  </si>
  <si>
    <t>http://greenearthfamily.com/</t>
  </si>
  <si>
    <t>NO RISK NO STRESS Visit:  #Advertisements #Risk #Stress</t>
  </si>
  <si>
    <t>https://qwikad.com/697/posts/20-Income-Opps/290-Affiliate-Marketing/853282-NO-RISK-NO-STRESS.html</t>
  </si>
  <si>
    <t>Jyoti</t>
  </si>
  <si>
    <t>#ParikshaPeCharcha2020 #KVS #KV_PANNA @PMOIndia @narendramodi @transformIndia @HRDMinistry @DrRPNishank @KVS_HQ @SantoshKMall1 @unkhaware #stress free exams</t>
  </si>
  <si>
    <t>https://pbs.twimg.com/media/EOjAcmyWsAEWhq2.jpg</t>
  </si>
  <si>
    <t>Mental Conversations Podcast</t>
  </si>
  <si>
    <t>MC Ep 90 - Music ft. Rachel CT @wackerschad. Podcast out now!  #MentalHealth #mentalhealthawareness #anxiety #depression #recovery #addiction #stress #fear #coping #healing #mhfa #resilience #newyear #trauma #music</t>
  </si>
  <si>
    <t>https://castbox.fm/vb/219635691</t>
  </si>
  <si>
    <t>https://pbs.twimg.com/media/EOi_bywWoAAHY2Z.jpg</t>
  </si>
  <si>
    <t>Burley in Wharfedale, England</t>
  </si>
  <si>
    <t>Psychobabbler shining light on positive mental health. On iTunes https://podcasts.apple.com/gb/podcast/mental-conversations/id1436889290 and other platforms.</t>
  </si>
  <si>
    <t>SALUBRITY CLINICS</t>
  </si>
  <si>
    <t>Stress has become a part of our daily life. Follow the simple "4 A's – Avoid, Alter, Adapt, Accept; to help you assess the problems which can make a difference in the outcome as well as your health. #SalubrityClinics #Health #StayFit #Stress #HealthCare #4AsofStressRelief</t>
  </si>
  <si>
    <t>https://pbs.twimg.com/media/EOi_aw1UwAAdHu7.jpg</t>
  </si>
  <si>
    <t>New Delhi</t>
  </si>
  <si>
    <t>Polyclinic Medical Center with consultation and diagnostic facilities</t>
  </si>
  <si>
    <t>MapsofIndia</t>
  </si>
  <si>
    <t>Peer Pressure on Men  #IndianSociety #Men #MentalHealth #PeerPressure #Stress</t>
  </si>
  <si>
    <t>https://www.mapsofindia.com/my-india/society/peer-pressure-on-men</t>
  </si>
  <si>
    <t>India</t>
  </si>
  <si>
    <t>For all travelers in India, a Map of India is a must and thus the need for us to find the best map for you.</t>
  </si>
  <si>
    <t>http://www.mapsofindia.com</t>
  </si>
  <si>
    <t>“Learn how to practice mindfulness without taking up much of your valuable time”  #stress #meditation #peace #mindfulness</t>
  </si>
  <si>
    <t>https://mindfulnessmeditation.thinkific.com</t>
  </si>
  <si>
    <t>Listen to today's one-minute #FlashBriefing. Would you like to live your life with less #stress and more #happiness? Discover how to take small steps and CELEBRATE today! #resiliency #motivation #mentalhealth #productivity  on #Podbean</t>
  </si>
  <si>
    <t>https://www.podbean.com/eau/pb-jkvb2-d002f9</t>
  </si>
  <si>
    <t>alejandro cortes</t>
  </si>
  <si>
    <t>Gets invited two three parties. Has two gatherings and has one family dinner. Oh make that four parties just got another notification:/. #notcool #stress #annoyed #interested</t>
  </si>
  <si>
    <t>Instagram: alejandro.cortes_x</t>
  </si>
  <si>
    <t>Boulder NuadThai Spa</t>
  </si>
  <si>
    <t>#ThaiMassage is an active form of massage. It helps relieve #stress and restore energy levels of the body.</t>
  </si>
  <si>
    <t>https://bit.ly/2u2k2m4</t>
  </si>
  <si>
    <t>Boulder, CO</t>
  </si>
  <si>
    <t>Wellness Spa specializing in Thai Massage, Aromatherapy Massage, Reflexology, Deep Tissue Chair Massage, Herbal ball &amp; Toksen Massage, Nail &amp; Waxing Services.</t>
  </si>
  <si>
    <t>http://www.BoulderNuadThaiSpa.com</t>
  </si>
  <si>
    <t>kv1fzr</t>
  </si>
  <si>
    <t>“The difference between win or lose is to stay calm #Stress free exams #2 days to go. Ms. Maitreyee Tripathi TGT( maths) @kv1fzr #ParikshaPeCharcha #ParikshaPeCharcha2020 #PPC2020 @PMOIndia @narendramodi @HRDMinistry @kvsedu @KVS_HQ @SantoshKMall1 @DrRPNishank</t>
  </si>
  <si>
    <t>Kendriya Vidyalaya No.1 Ferozepur Cantt (Punjab)</t>
  </si>
  <si>
    <t>Bradley Van Patten</t>
  </si>
  <si>
    <t>Partayyyyy. #stress</t>
  </si>
  <si>
    <t>Los Angeles, CA</t>
  </si>
  <si>
    <t>Brains, boobs, &amp; tattoos. Adult model. I write, host a radio show, &amp; curate cannabis events. Seen on VH1, HBO, &amp; Showtime. 🌸💀 📩 bradleysuicide@gmail.com</t>
  </si>
  <si>
    <t>http://www.kingchameleons.com</t>
  </si>
  <si>
    <t>Do You Wear a Frantic Lifestyle As a Badge of Honor? ➤  | By Frank Sonnenberg | #Stress #MentalHealth</t>
  </si>
  <si>
    <t>http://bit.ly/2o41exz</t>
  </si>
  <si>
    <t>SunnyNiteDesigns</t>
  </si>
  <si>
    <t>#Amethyst guards against #psychic attacks, transmuting the #energy into love and protecting the wearer from all types of harm, including geopathic or #electromagnetic #stress and ill wishes from others. Amethyst is…</t>
  </si>
  <si>
    <t>https://www.instagram.com/p/ByOnXifhHqE/?igshid=caipojiuavns</t>
  </si>
  <si>
    <t>Your PREMIER hub for healing &amp; fashion!</t>
  </si>
  <si>
    <t>http://www.sunnynitedesigns.com</t>
  </si>
  <si>
    <t>Is Digital Gaming the Right Option for Stress Management?  #Mentalhealth #MobileGame #Stress</t>
  </si>
  <si>
    <t>https://www.mapsofindia.com/my-india/society/is-digital-gaming-the-right-option-for-stress-management</t>
  </si>
  <si>
    <t>Brent Taylor</t>
  </si>
  <si>
    <t>Thanks @FedEx for losing our shipment of tote bags for @GoWestLive. How on earth is it possible to lose a trackable package? #planb #stress #gowest2020 #gowestlive #road2gowest</t>
  </si>
  <si>
    <t>Edmonton, Alberta | Canada</t>
  </si>
  <si>
    <t>2018 Canadian Event Professional of the Year | MPI International Board of Directors | BizBash Top 500 People in Events</t>
  </si>
  <si>
    <t>http://www.timewise.biz</t>
  </si>
  <si>
    <t>Dr Satyakant Trivedi</t>
  </si>
  <si>
    <t>Many people get nervous or self-conscious on occasion, like when giving a speech or interviewing for a new job. But social anxiety disorder, or social phobia, is more than just shyness or occasional nerves. #socialanxiety #anxiety #stress #satyakanttrivedi #psychotherapy</t>
  </si>
  <si>
    <t>https://pbs.twimg.com/media/EOiwIxaUEAAM5pg.jpg</t>
  </si>
  <si>
    <t>Bhopal, Madhya Pradesh</t>
  </si>
  <si>
    <t>Dr. #Satyakant #Trivedi is one of the best psychiatrists in Bhopal. Call 8719838605 for treatment of #depression, #stress, #anxiety, #OCD and #Schizophrenia.</t>
  </si>
  <si>
    <t>https://www.psychiatristinbhopal.com</t>
  </si>
  <si>
    <t>nybhealth</t>
  </si>
  <si>
    <t>#Sadness May Be Strongest Emotional Trigger for #Smoking compared to other negative #emotions like #anger, #shame, #disgust, #fear or #stress.  #cravings #addictive #health #cigarettes</t>
  </si>
  <si>
    <t>https://buff.ly/2RqzY9S</t>
  </si>
  <si>
    <t>https://pbs.twimg.com/media/EOitr8vX0AAikAm.jpg</t>
  </si>
  <si>
    <t>380 Lexington Av, New York, NY</t>
  </si>
  <si>
    <t>Cognitive Behavioral Therapy is provided by caring experts to reduce suffering and enhance adaptive behaviors at New York Behavioral Health.</t>
  </si>
  <si>
    <t>http://www.NewYorkBehavioralHealth.com</t>
  </si>
  <si>
    <t>Chitrali</t>
  </si>
  <si>
    <t>The studies show that sadness plays an especially strong role in triggering addictive behavior #Health #addiction #mentalhealth #anxiety #stress #sadness #hope #smoking #management #Wellbeing</t>
  </si>
  <si>
    <t>https://www.hks.harvard.edu/faculty-research/policy-topics/health/report-sadness-triggers-addictive-behavior</t>
  </si>
  <si>
    <t>Europe Meetings</t>
  </si>
  <si>
    <t>Explore and learn more about #stress #mindfulness #yoga #meditation #depression #Anxiety #Mentalhealth #psychology #workshop #conferences on October 21-22, 2020, at Paris, France. More information at:</t>
  </si>
  <si>
    <t>https://stress-mindfulness.annualcongress.com/</t>
  </si>
  <si>
    <t>https://pbs.twimg.com/media/EOisD2tUcAACvEg.jpg</t>
  </si>
  <si>
    <t>With over 50 conferences a year Europe 2 portfolio of events provides a direct route to Academicians and Industry representatives with exceptional networking.</t>
  </si>
  <si>
    <t>West Coast Gospel</t>
  </si>
  <si>
    <t>A #Person can Save Themselves a Whole Lot of #Pain, #Stress &amp; #Drama In #Life - Just By #Obeying God.</t>
  </si>
  <si>
    <t xml:space="preserve">Tacoma, WA. </t>
  </si>
  <si>
    <t>We promote Saints with Gifts &amp; Ability of Teaching the Gospel &amp; Gospel Talents: @MinLeeRice http://dld.bz/dFxPp http://dld.bz/d6V5C (Assoc. of @Can2009)</t>
  </si>
  <si>
    <t>http://thewestcoastgospelch.wix.com/westcoast</t>
  </si>
  <si>
    <t>WillowbrookMedicalCentre</t>
  </si>
  <si>
    <t>#stress is often overlooked when thinking about #health, but it can often be something that causes a lot of harm. sometimes it's a good #idea to let go.</t>
  </si>
  <si>
    <t>https://zurl.co/NeOG</t>
  </si>
  <si>
    <t>https://pbs.twimg.com/media/EOir5i9VAAARih_.jpg</t>
  </si>
  <si>
    <t>Leicester, England</t>
  </si>
  <si>
    <t>Please do not use this service for medical advice or for care needs. Please call the practice during opening hours or 111, or 999 in emergencies.</t>
  </si>
  <si>
    <t>http://willowbrookmedicalcentre.co.uk</t>
  </si>
  <si>
    <t>So Is Fibromyalgia Real</t>
  </si>
  <si>
    <t>#Fibromyalgia and #Stress ..."I try NOT TO GET INVESTED IN THINGS I CAN’T CONTROL…that seems like a recipe for stress to me, to worry about things I can’t control…I work on the things I CAN control."  … #WhatIKnowIsReal</t>
  </si>
  <si>
    <t>http://www.soisfibromyalgiareal.com/i-have-fibromyalgiai-work-on-stressthe-fibromyalgia-and-stress-connection/</t>
  </si>
  <si>
    <t>No meds-Not much pain-Hardly tired anymore-Have energy-Happy-#Fibromyalgia 17 yrs-Still improving- "The - So Is Fibromyalgia Real? What I Know Is Real - Blog"</t>
  </si>
  <si>
    <t>http://www.soisfibromyalgiareal.com</t>
  </si>
  <si>
    <t>“Need help learning how to meditate? Book guides you step-by-step”  #mindfulness #mindful #peace #stress meditation</t>
  </si>
  <si>
    <t>https://www.amazon.com/Mindfulness-Meditation-Made-Simple-Finding/dp/0990840506/</t>
  </si>
  <si>
    <t>twiichii🌟 Thailand to 3/6, Philippines to 3/28</t>
  </si>
  <si>
    <t>Still a little weak, but feeling much better. I gotta be ready by Monday though, leading an art camp at school next week! 😩💦💦💦 #peacecorps #pcvlife #teacherlife #stress</t>
  </si>
  <si>
    <t>Changwat Chumphon, Thailand</t>
  </si>
  <si>
    <t>Surrealist inking/watercolor artist ~ Foodie, Athlete, and PCV in Thailand🌱 Art trades/Commissions: twiichii@gmail.com</t>
  </si>
  <si>
    <t>https://www.kickstarter.com/projects/twiichii/thailand-the-floral-wonderland</t>
  </si>
  <si>
    <t>Can #Yoga and #Meditation Help Relieve #Stress?  @BostonMagazine</t>
  </si>
  <si>
    <t>http://snip.ly/49w6c</t>
  </si>
  <si>
    <t>https://pbs.twimg.com/media/EOikDgsWAAEJGKt.jpg</t>
  </si>
  <si>
    <t>Hopequre</t>
  </si>
  <si>
    <t>To stop anxiety, start living in the moment, and do not think much ahead of the time. Stop your mind from overthinking what could go wrong in the future, and what has gone wrong. Learn to live in the present. #Hopequr #Emotional #stress #therapist #onlinecounseling #Anxiety</t>
  </si>
  <si>
    <t>https://pbs.twimg.com/media/EOii56-UwAASQXe.jpg</t>
  </si>
  <si>
    <t>Online Mental Health Counselling</t>
  </si>
  <si>
    <t>https://www.hopequre.com/</t>
  </si>
  <si>
    <t>monajyoder</t>
  </si>
  <si>
    <t>This is one of the kinds found from the hemp plant. It is highly supportive of aiding you in your many health issues removal.  #HealthyLifestyle #anxiety #stress #depression</t>
  </si>
  <si>
    <t>http://cbdoilcast.com</t>
  </si>
  <si>
    <t>https://pbs.twimg.com/media/EOihK83XsAAOVrK.jpg</t>
  </si>
  <si>
    <t>The results of this workplace stress survey may be familiar. The top two complaints are things I talk about:  #leadership #stress #WorkLifeBalance</t>
  </si>
  <si>
    <t>https://www.kenokel.com/workplace-stress-survey/</t>
  </si>
  <si>
    <t>Kathryn Guylay, MBA, PhD</t>
  </si>
  <si>
    <t>Did you know that managing #stress can be as easy as tapping on your body? Learn from #EFT expert Deb Finch in this healing interview!</t>
  </si>
  <si>
    <t>https://makeeverythingfun.com/radio/e35-overcome-fear-stress-emotional-freedom-technique-eft-deb-finch/</t>
  </si>
  <si>
    <t>https://pbs.twimg.com/media/EOie66-XUAEjoRc.jpg</t>
  </si>
  <si>
    <t>Sun Valley Idaho</t>
  </si>
  <si>
    <t>Peak Performance Coach | http://www.MakeEverythingFun.com | Certified in #Brainspotting | Podcaster| Bestselling Author</t>
  </si>
  <si>
    <t>http://www.makeeverythingfun.com</t>
  </si>
  <si>
    <t>Sundae Millman</t>
  </si>
  <si>
    <t>New energy medicine works so fast it's hard to believe. Yet many = relief frm #fear &amp; #stress. Y not try it free? @  #eft</t>
  </si>
  <si>
    <t>http://bit.ly/TapEFT</t>
  </si>
  <si>
    <t>Florida - USA</t>
  </si>
  <si>
    <t>Tap out Stress &amp; U stop poverty, illness, ignorance. Save U &amp; save planet. Law of Attraction, EFT, TAT, PSTEC = happy, creative, fun = healthy &amp; rich. + Squidoo</t>
  </si>
  <si>
    <t>http://www.squidoo.com/shortcuts-to-happiness-lensography-</t>
  </si>
  <si>
    <t>Tanya Gold, MD</t>
  </si>
  <si>
    <t>Join me for yoga fest in Tampa!on Saturday, February 1, 2020.  #CorporateActive #Health #Wellness #HolisticHealth #challenges #stress #Yoga #dgoli @AndrewGold @Lorimiles @MarissaGee #badhabits #Happiness #Joy #BookOnJoy @tamimorgan</t>
  </si>
  <si>
    <t>https://www.yogalotuspond.com/yoga-festival</t>
  </si>
  <si>
    <t>https://pbs.twimg.com/media/EOidwxAWAAAA6BO.jpg</t>
  </si>
  <si>
    <t>Tampa, Florida 33602</t>
  </si>
  <si>
    <t>NO RISK NO STRESS See It Now:  #BetterFuture #Risk #Stress</t>
  </si>
  <si>
    <t>KD Fitness and Bodywork</t>
  </si>
  <si>
    <t>What Your Headaches Can Tell You About Your Health. #health #headache #migraine #pain #stress -</t>
  </si>
  <si>
    <t>http://bit.ly/37LKgb7</t>
  </si>
  <si>
    <t>https://pbs.twimg.com/media/EOia94WW4AA0aRS.jpg</t>
  </si>
  <si>
    <t>Atlanta</t>
  </si>
  <si>
    <t>https://kdfitnessandbodywork.com/</t>
  </si>
  <si>
    <t>NO RISK NO STRESS See It Now:  #NetworkMarketing #Risk #Stress</t>
  </si>
  <si>
    <t>Maria Saldiva, DNP, APRN, FNP-C</t>
  </si>
  <si>
    <t>Mix of #Stress and Air #Pollution May Lead to #Cognitive Difficulties in Children  via @Columbiamsph</t>
  </si>
  <si>
    <t>https://shar.es/a3zFzJ</t>
  </si>
  <si>
    <t>Professor @UTHSCSA. Tweets on Poverty, Disparities, Mental Health, Global Health, Human Rights, Environment, and Social Justice</t>
  </si>
  <si>
    <t>William Mark</t>
  </si>
  <si>
    <t>Lets Join:  Integrated mental health and substance abuse treatment for severe psychiatric disorders #Mentalhealth #Psychiatry #Bipolardisorder #Addiction #MentalIllness #ClinicalNeuropsychology #Childabuse #Stress #Autism #Neurology</t>
  </si>
  <si>
    <t>https://mentalhealth.peersalleyconferences.com</t>
  </si>
  <si>
    <t>https://pbs.twimg.com/media/EOiYGXHU8AUrkaV.jpg</t>
  </si>
  <si>
    <t>Vancouver BC Canada</t>
  </si>
  <si>
    <t>“Euro Mental Health Congress” which is going to be held in attractive city Paris, France during March 26-27, 2020</t>
  </si>
  <si>
    <t>https://mentalhealth.peersalleyconferences.com/</t>
  </si>
  <si>
    <t>Artemis Hospitals</t>
  </si>
  <si>
    <t>Stress has become a part of our daily life. Follow the simple "4 A's – Avoid, Alter, Adapt, Accept; to help you assess the problems which can make a difference in the outcome as well as your health. #ArtemisHospitals #Health #StayFit #Stress #HealthCare #4AsofStressRelief</t>
  </si>
  <si>
    <t>https://pbs.twimg.com/media/EOiW_6aUcAAtRFH.jpg</t>
  </si>
  <si>
    <t>Gurgaon</t>
  </si>
  <si>
    <t>The first super speciality hospital in Gurgaon to be JCI, NABH &amp; NABL accredited. 'Our Speciality is You'.</t>
  </si>
  <si>
    <t>http://www.artemishospitals.com/</t>
  </si>
  <si>
    <t>JJSponge120</t>
  </si>
  <si>
    <t>Weston can get a little stressed out easily. #Stress</t>
  </si>
  <si>
    <t>https://pbs.twimg.com/media/EOiWPXTUYAAEb-9.jpg</t>
  </si>
  <si>
    <t>Merced, CA</t>
  </si>
  <si>
    <t>Awesome (and sometimes weird) artist who has been drawing since 2010. Also has a DeviantArt account.</t>
  </si>
  <si>
    <t>http://jjsponge120.deviantart.com/</t>
  </si>
  <si>
    <t>Padham Health News</t>
  </si>
  <si>
    <t>Destress and unwind the right way, this new year.  #Stress #MentalHealth</t>
  </si>
  <si>
    <t>http://padhamhealthnews.org/easy-ways-to-relieve-stress-lead-a-happy-life/</t>
  </si>
  <si>
    <t>Exclusive health website to spread awareness- find expert articles on good #health, #food, #nutrition, #exercise &amp; #wellness on http://padhamhealthnews.org</t>
  </si>
  <si>
    <t>https://linktr.ee/padhamhealthnews</t>
  </si>
  <si>
    <t>InnerSelf: “The Five Hindrances: The Thieves of Your Spiritual Growth”  meditation #stress peace mindfulness</t>
  </si>
  <si>
    <t>https://innerself.com/content/personal/spirituality-mindfulness/inspiration/10164-five-hindrances.html</t>
  </si>
  <si>
    <t>Adam Sanford</t>
  </si>
  <si>
    <t>In this second post in a series, we talk about why we feel like we have to rush, and how that can lead to an ongoing cycle of stress. This will help you understand your #stress and what to do about it!  #college #student #timemanagement</t>
  </si>
  <si>
    <t>https://buff.ly/2HHgT0m</t>
  </si>
  <si>
    <t>https://pbs.twimg.com/media/EOiNAhNXkAE_na1.jpg</t>
  </si>
  <si>
    <t>Author, coach, educator helping struggling #students become competent &amp; confident learners. No DMs please. #college #highschool #homeworkhelp</t>
  </si>
  <si>
    <t>http://www.undergradeasier.com</t>
  </si>
  <si>
    <t>Team Awesomism</t>
  </si>
  <si>
    <t>I hope you have a pleasant #weekend! Do you have anything fun you’re planning to do? #HaveAGreatWeekend #Friday #blessing #anxiety #stress #specialneeds #autism #awesomism #ActuallyAutistic</t>
  </si>
  <si>
    <t>pic.twitter.com/tTcVOUnmUr</t>
  </si>
  <si>
    <t>Welcome to Team Awesomism! An #Autistic #Teenpreneur owned #SmallBusiness please join our #Community @TeamAwesomism.com 💙 check out my moms blogs @AwesomismMom</t>
  </si>
  <si>
    <t>http://TeamAwesomism.com</t>
  </si>
  <si>
    <t>Kokilaben Hospital</t>
  </si>
  <si>
    <t>Do work commitments, household chores and other social commitments stress you out? This new year, plan your day better, take time out to #exercise, learn to prioritize things. Use time management effectively to minimize #stress. #TwentyThingsIn2020 #healthtip #tipoftheday</t>
  </si>
  <si>
    <t>https://pbs.twimg.com/media/EOaDaGqVAAAgLKz.jpg</t>
  </si>
  <si>
    <t>Mumbai</t>
  </si>
  <si>
    <t>Official Kokilaben Hospital account. Follow us for the latest in health news and tips. We love reading your tweets and reply to them between 0900-1800IST</t>
  </si>
  <si>
    <t>http://www.kokilabenhospital.com</t>
  </si>
  <si>
    <t>Fredrich Benoist</t>
  </si>
  <si>
    <t>Study, have a career, kids, a house, a car... Yeahh, no wonder we need to see shrinks 😂 #stress #wtfock #coffeetime</t>
  </si>
  <si>
    <t>pic.twitter.com/Q3jJkvhex4</t>
  </si>
  <si>
    <t>New Caledonia</t>
  </si>
  <si>
    <t>ベタベタ。。。</t>
  </si>
  <si>
    <t>Everything #changes, all it requires is a beginning. #Motorism #Life #Quote #Philosophy #Quotes #Wise #Wisdom #Motivation #Inspiration #victory #triumph #Defeat #Frustration #Stress #MentalHealth #Anxiety #Debacle #Flop #Blunder #destiny #Spirituality #success #successquotes</t>
  </si>
  <si>
    <t>https://pbs.twimg.com/media/EOiFbc7VUAEaxna.jpg</t>
  </si>
  <si>
    <t>Kristen Jakobitz</t>
  </si>
  <si>
    <t>If you're feeling stressed or #SleepDeprived, your body switches into a defensive state of being and will likely be 'holding on' to calories and fat more than if you're relaxed and well-rested. #Stress management &amp; sleep are key pieces of the #weightloss puzzle. #health</t>
  </si>
  <si>
    <t>https://pbs.twimg.com/media/EOh5P6wX4AAfHsM.jpg</t>
  </si>
  <si>
    <t>Holistic Health Coach helping people use food as medicine to reclaim their health, energy, and youth without dieting. #guthealth #healthyeating #weightloss</t>
  </si>
  <si>
    <t>https://services.kristenjakobitz.com/healthyhabitschallenge</t>
  </si>
  <si>
    <t>Habits for Wellbeing</t>
  </si>
  <si>
    <t>What is stress costing you?  #stress #life #thinking</t>
  </si>
  <si>
    <t>https://buff.ly/2DUMdaA</t>
  </si>
  <si>
    <t>https://pbs.twimg.com/media/EOh5GFbX4AAlmpu.png</t>
  </si>
  <si>
    <t>Coach | Facilitator | Founder of @habitswellbeing | BE Whole-Heartedly YOU... One Habit at a Time.</t>
  </si>
  <si>
    <t>http://www.habitsforwellbeing.com/</t>
  </si>
  <si>
    <t>SupportingStrategies</t>
  </si>
  <si>
    <t>Mental burnout occurs when a person becomes emotionally, mentally and physically exhausted from the pressures of home or work life. Find out in this article why #mentalburnout is dangerous. #mentalhealth #stress</t>
  </si>
  <si>
    <t>https://buff.ly/2t30P36</t>
  </si>
  <si>
    <t>https://pbs.twimg.com/media/EOh3t-PWoAEEKIY.jpg</t>
  </si>
  <si>
    <t>Alexandria, VA</t>
  </si>
  <si>
    <t>Your Partner for Outsourced bookkeeping and operational support to help businesses with #accounting needs to save time and money #bookkeeping #smallbiz #startup</t>
  </si>
  <si>
    <t>http://www.supportingstrategies.com/northern-virginia</t>
  </si>
  <si>
    <t>not gorz</t>
  </si>
  <si>
    <t>having a job, about to start school soon and plus wanting a new car #stress</t>
  </si>
  <si>
    <t>Joy Dancer</t>
  </si>
  <si>
    <t>How to Use Essential Oils to Reduce Stress and Improve Sleep with Jodi Cohen - #Aromatherapy #Stress Parasympathetic blend</t>
  </si>
  <si>
    <t>https://podcasts.apple.com/us/podcast/how-to-use-essential-oils-to-reduce-stress-improve/id1202449205?i=1000457992982</t>
  </si>
  <si>
    <t>Everywhere and no where</t>
  </si>
  <si>
    <t>Back up acct 4 ♥♏️ CrystalwolfLady♥ @krystalwolfgrl ☮️ #Resist ♥#shaman♥#tarot reader #crystals #reikiMaster ♥NAMASTE♥ #BlessedBe♥I♥ dogs🐾🐺#StandforWolves</t>
  </si>
  <si>
    <t>“Don’t Have Time for Sitting #Meditation? Try Mindfulness Driving Meditation”  #stress peace #love</t>
  </si>
  <si>
    <t>https://mindfulnessmeditationinstitute.org/2016/11/29/dont-have-time-for-sitting-meditation-try-mindfulness-driving-meditation/</t>
  </si>
  <si>
    <t>Ecogold</t>
  </si>
  <si>
    <t>Many studies have shown how beneficial nature is to human health and now, research even reveals the stress-reducing benefits for office workers when even just viewing a small plant on their desk. #nature #houseplant #health #healthytlifestyle #mothernature #stress #stressfree</t>
  </si>
  <si>
    <t>https://pbs.twimg.com/media/EOhxFGSXkAAug2i.jpg</t>
  </si>
  <si>
    <t>We’re on a mission to create a more sustainable future for our planet. Share content that inspires you to be more green by tagging #ecogoldrewards</t>
  </si>
  <si>
    <t>http://ecogold.us</t>
  </si>
  <si>
    <t>EP 482 How we organize our self can either help or hinder us in the way that we deal with stress. Click to listen to today’s Hot Tips For Celebrating Get Organized Month: #stress #resiliency #mentalhealth #organization #productivity</t>
  </si>
  <si>
    <t>https://www.podbean.com/eu/pb-t9bp8-cfde5f#.XiJdKpAYAt0.twitter</t>
  </si>
  <si>
    <t>Gunraj Sagoo🤍</t>
  </si>
  <si>
    <t>NEXT WEEK IS FINALS WEEK🥵🥺, I’m going to study hard to get a good mark. Tbh I’m so excited for next semester because I don’t got any hard classes!!😎❤️❤️ #School2020 #stress #killme</t>
  </si>
  <si>
    <t>“A successful women is one who can lay a firm foundation with the bricks others have thrown at her.”</t>
  </si>
  <si>
    <t>You CAN Be STRESS FREE Now! 400 Ways For YOU, Actually!! Stop By  #BetterFuture #Stress #Free #Now #Ways #Actually</t>
  </si>
  <si>
    <t>https://qwikad.com/1740/posts/1-Local-Life/5-Groups/846470-You-CAN-Be-STRESS-FREE-Now-400-Ways-For-YOU-Actually-.html</t>
  </si>
  <si>
    <t>Dr. Jackie Walters</t>
  </si>
  <si>
    <t>If you don’t handle #stress can I tell you that you will not manage #success well...AT ALL. Stress is how “YOU” handle life not the “situation” (i.e work, marriage, kids, family or friends) that causing you stress.…</t>
  </si>
  <si>
    <t>https://www.instagram.com/p/B7cSzPZBkN9/?igshid=1gu37zm6q2onf</t>
  </si>
  <si>
    <t xml:space="preserve">Atlanta, GA </t>
  </si>
  <si>
    <t>Owner of CW OB/GYN &amp; WOW Aesthetics Medical Spa in Atlanta,Ga Cast Member of Bravo's Married to Medicine. Contact me at: drjackie@jackiemd.com</t>
  </si>
  <si>
    <t>http://www.JackieMD.com</t>
  </si>
  <si>
    <t>Boiron USA</t>
  </si>
  <si>
    <t>Our Sedalia temporarily relieves nervousness, hypersensitivity, irritability and fatigue due to #stress. This medicine does not affect alertness. Claim basis:</t>
  </si>
  <si>
    <t>https://bit.ly/2WpU3Or</t>
  </si>
  <si>
    <t>https://pbs.twimg.com/media/EOhphnfX0AcLiKN.jpg</t>
  </si>
  <si>
    <t>Newtown Square, Pa.</t>
  </si>
  <si>
    <t>Boiron, world leader in homeopathic medicines, is best known for @OscilloUSA &amp; @ArnicareUSA. Tweets by @DeborahBoironPR.</t>
  </si>
  <si>
    <t>http://BoironUSA.com</t>
  </si>
  <si>
    <t>Hide &amp; Seek</t>
  </si>
  <si>
    <t>"If #stress burned #calories, I'd be a #supermodel." | #seriously #TeamFollowBack #RockTheReTweet</t>
  </si>
  <si>
    <t>Antarctica</t>
  </si>
  <si>
    <t>Silence is God's 1st language. An anonymous tweet's the 2nd. #TeamFollowBack #FollowBack #SiguemeYteSigo #相互フォロー100% #UniãoDoTwitterSegueEuSigoDeVolta #iFriends</t>
  </si>
  <si>
    <t>Trish Malone  (she/her)</t>
  </si>
  <si>
    <t>I need a good ol doggy hug ❤️ #Kitteh #Ralph #FridayThoughts #FridayVibes #webcomics #webcomicchat #comicbookhour #comics #FridayReads #Stress #fluffy #sofluffy!!! #hugs #loves #himsagoodboi #friends #family #happy #takecare #dog #doggo #goodboy #woof</t>
  </si>
  <si>
    <t>https://www.smackjeeves.com/discover/detail?titleNo=84377&amp;articleNo=1919</t>
  </si>
  <si>
    <t>colorado</t>
  </si>
  <si>
    <t>There's no such thing as too late. That's why they invented death -Walter Matthau (Out to sea)</t>
  </si>
  <si>
    <t>http://nkvssp.smackjeeves.com/</t>
  </si>
  <si>
    <t>Your Wellness Centre</t>
  </si>
  <si>
    <t>Laughter is a powerful antidote to #Stress, #Pain, and conflict. Laugh all the way, friends! 😃😄😁😆 #Laughter #Antidote #Health #Wellness #Naturopathy #NaturalHealth #Melbourne</t>
  </si>
  <si>
    <t>https://pbs.twimg.com/media/EOhoKXLWoAInFCw.jpg</t>
  </si>
  <si>
    <t>Ringwood, Melbourne, Australia</t>
  </si>
  <si>
    <t>Glenda is the founding #Naturopath of YWC #Melbourne. Take the step towards a healthy you! ☎️ 9879 9596 health@yourwellnesscentre.com.au</t>
  </si>
  <si>
    <t>http://www.yourwellnesscentre.com.au/</t>
  </si>
  <si>
    <t>Lynn van Noy</t>
  </si>
  <si>
    <t>Get those feet up the wall. 🙃 10 minutes relieves #stress, #stretches the hips + lower back, &amp; resets your circulatory system. Enjoy! #relax #rejuvenate #stretch</t>
  </si>
  <si>
    <t>https://pbs.twimg.com/media/EOhnsKfXkAA1pEJ.jpg</t>
  </si>
  <si>
    <t>HQ Texas</t>
  </si>
  <si>
    <t>WELL+BEING Texan 🇨🇱 | Traveller | Yoga | Hiking | Meditation | Synesthete | Herbalist | Natural Health Therapist https://www.facebook.com/LynnVanNoyLMT/</t>
  </si>
  <si>
    <t>http://www.lynnvannoy.com</t>
  </si>
  <si>
    <t>https://pbs.twimg.com/media/EOhnR20W4AAfhyt.jpg</t>
  </si>
  <si>
    <t>Bosnar Health</t>
  </si>
  <si>
    <t>How is #stress affecting you?</t>
  </si>
  <si>
    <t>https://pbs.twimg.com/media/EOhnRZHU4AAl2uW.jpg</t>
  </si>
  <si>
    <t>155 Redpath Avenue</t>
  </si>
  <si>
    <t>Multidisciplinary practise focused on pre and postnatal health, pediatric wellness care, sports injury and Functional Medicine.</t>
  </si>
  <si>
    <t>http://www.bosnarhealth.com</t>
  </si>
  <si>
    <t>S L Anand Vaishnov</t>
  </si>
  <si>
    <t>Beat the STRESS! #Stress</t>
  </si>
  <si>
    <t>https://pbs.twimg.com/media/EOhiTnbUUAAWoeb.png</t>
  </si>
  <si>
    <t>Policy, Political consultant - Psephology, Political strategist</t>
  </si>
  <si>
    <t>Alt Ways To Heal</t>
  </si>
  <si>
    <t>Ancient Chinese practice #stress #pain and illness Gone FAST! Spring Forest Qigong</t>
  </si>
  <si>
    <t>http://bit.ly/2bmfle8</t>
  </si>
  <si>
    <t>https://pbs.twimg.com/media/EOhiRGKXkAAxuRx.jpg</t>
  </si>
  <si>
    <t>SalemMA  TucsonAZ  PensacolaFL</t>
  </si>
  <si>
    <t>Alternative Ways To Heal Mind Body and Spirit! CHOOSE WHAT RESONATES WITH YOU! #Healthy Is #Happy! #LOA #IDWP! #LoveNature! 🏈🚴‍♀️🛥️🛸⛺️🏜️🏖️🌈☮️☯️♋️🥗☀️🐶✌️👽😋</t>
  </si>
  <si>
    <t>http://www.AlternativeWaysToHeal.com</t>
  </si>
  <si>
    <t>Love Shack Boutique</t>
  </si>
  <si>
    <t>Rub a dub dub 🧼 @HighOnLove_HOL #Sensual #BathOil is quickly absorbed into the skin to help provide deep natural comfort from #inflammation, #stress, #pain and #menstrualcramping 🛀 #loveshackboutique #theloveshackboutique #shopsmall #shoplocal #vibrators #lingeriesexy</t>
  </si>
  <si>
    <t>https://pbs.twimg.com/media/EOhhJUXW4AA-Feb.jpg</t>
  </si>
  <si>
    <t>San Antonio TX</t>
  </si>
  <si>
    <t>Love Shack Boutique is an upscale retail experience for all things nice &amp; naughty, catering to couples &amp; individuals seeking quality products &amp; affordable fun!</t>
  </si>
  <si>
    <t>http://theloveshackboutique.com/</t>
  </si>
  <si>
    <t>AskDrGanz.com</t>
  </si>
  <si>
    <t>Nov 5, 2019 - Part ONE - guest panel discussion about #stress over the holiday season! With guests @JlynNye @JoelGotlibTV @markkorthuis and MC @BrynMightyMouth.  #MentalHealth</t>
  </si>
  <si>
    <t>https://askdrganz.com/blogs/podcast/askdrganz-podcast-episode-14</t>
  </si>
  <si>
    <t>https://pbs.twimg.com/media/EOhgXnnWoAAIK7g.jpg</t>
  </si>
  <si>
    <t xml:space="preserve">Canada ● USA ● Global ツ </t>
  </si>
  <si>
    <t>Ask yourself this question: Is this working for ME? 🎙 Listen to my #podcast at http://bit.ly/31wtiKR FREE #giveaway http://bit.ly/2M2mEYk Speaker Coach #stress</t>
  </si>
  <si>
    <t>https://askdrganz.com</t>
  </si>
  <si>
    <t>Americare</t>
  </si>
  <si>
    <t>Trying to reduce #Stress? 1. Eat healthy, well-balanced meals 2. Exercise regularly 3. Get plenty of sleep Read more suggestions from the @CDCgov, click the link below. And if you need help figuring out your best plan, we’re here to help 24/7.</t>
  </si>
  <si>
    <t>Brooklyn, NY</t>
  </si>
  <si>
    <t>Providing home health care services throughout the 5 NYC boroughs for over 35 years. Call 1-800-704-4341 for more information TODAY!</t>
  </si>
  <si>
    <t>http://www.americareny.com/</t>
  </si>
  <si>
    <t>Goodness from the Stress Monsters (&amp; me) to you! Four pieces of Goodness, spaced throughout the month. What Goodness? you ask. That’s just it – it’s a surprise. Not even I know what it will be. #Stress Monsters #tips Please Retweet! Not FREE INTERNET!</t>
  </si>
  <si>
    <t>https://pbs.twimg.com/media/EOgj8OEWAAAWwBp.jpg</t>
  </si>
  <si>
    <t>Rich Harper</t>
  </si>
  <si>
    <t>#stress @ Dowtown Burbank, Burbank</t>
  </si>
  <si>
    <t>https://www.instagram.com/p/B7cLfntDcoQ/?igshid=1ttirbjaoj6pk</t>
  </si>
  <si>
    <t>SoCal</t>
  </si>
  <si>
    <t>Biz Consultant, Creative Writer/Producer/Songwriter -- walked away from the carnage of the real estate business, now jumping back in-- 6 years later. Hola!</t>
  </si>
  <si>
    <t>http://www.rlharperstudio.com</t>
  </si>
  <si>
    <t>The Time Tamer</t>
  </si>
  <si>
    <t>Personalised coaching anywhere in the world #stress #time #management.</t>
  </si>
  <si>
    <t>http://www.timetamer.com.au</t>
  </si>
  <si>
    <t>Alice Springs</t>
  </si>
  <si>
    <t>Minimising stress, maximising time for professional women. #Timemangement #stressmanagement #speaker #timetamer #workingwomen #evernote</t>
  </si>
  <si>
    <t>https://pbs.twimg.com/media/EOhZoCaXUAADZ5J.jpg</t>
  </si>
  <si>
    <t>Cheryl Janecky</t>
  </si>
  <si>
    <t>#Happiness Fact: Accepting others - as they R - is #stress-free relating. EZ to do facts @</t>
  </si>
  <si>
    <t>http://bit.ly/SFRel</t>
  </si>
  <si>
    <t>Malibu, California</t>
  </si>
  <si>
    <t>Nat'l cures, stress-free anti-aging &amp; Good Fortune. New Sci- EFT, Tap, Visioning, free Tips to empower &amp; energize. Quotes, music, travel &amp; friends.</t>
  </si>
  <si>
    <t>http://www.Quick-Good-Fortune.com</t>
  </si>
  <si>
    <t>Albert Fong</t>
  </si>
  <si>
    <t>Imagination and the simple things: Many have become stressed out zombies thanks to social media, but playing with Lego bricks provides an opportunity to be creative while mellowing out  @abhabhattarai #lego #toys #mentalhealth #stress #mindfulness #health</t>
  </si>
  <si>
    <t>https://www.washingtonpost.com/business/2020/01/16/legos-toys-for-stressed-adults/</t>
  </si>
  <si>
    <t>San Francisco, CA</t>
  </si>
  <si>
    <t>Marketing dude, tech geek, heavy metal &amp; '80s music junkie. Fascinated by meteorology and all things in the cloud. Opinions are my own.</t>
  </si>
  <si>
    <t>https://www.linkedin.com/pub/albert-fong/1/8a2/a25</t>
  </si>
  <si>
    <t>Coy_boye</t>
  </si>
  <si>
    <t>I am sorry. But USB cablet broke without me even touching it during stream #Coymmunity I dunno how we will afford new one, but for today I will lend one. #Stress #mood  #twitchaffiliate #stream @SmallStreamersR @BlazedRTs @LetsGrow_SC #streamer</t>
  </si>
  <si>
    <t>https://twitch.tv/coy_boye</t>
  </si>
  <si>
    <t>https://pbs.twimg.com/media/EOhWZEkXUAAe9yy.jpg</t>
  </si>
  <si>
    <t>Somewhere in another dimension</t>
  </si>
  <si>
    <t>I'm just Coy who brings joy.</t>
  </si>
  <si>
    <t>https://www.twitch.tv/coy_boye</t>
  </si>
  <si>
    <t>7 Free Ways to #Relieve #Stress #meditation #yoga</t>
  </si>
  <si>
    <t>http://snip.ly/5gpbh</t>
  </si>
  <si>
    <t>https://pbs.twimg.com/media/EOhWL9cX0AAZjd_.jpg</t>
  </si>
  <si>
    <t>Happy Hands Toys</t>
  </si>
  <si>
    <t>⚡️ Today's featured #fidget ⚡ ️Magnetic Puzzle Cube Use code SOCIAL10 for 10% off! ➡️  #Sensory #SPD #Stim #Autism #Aspergers #ASD #ADHD #Anxiety #Stress #HappyHandsToys</t>
  </si>
  <si>
    <t>http://bit.ly/2kiUD35</t>
  </si>
  <si>
    <t>St Paul, MN</t>
  </si>
  <si>
    <t>#HappyHandsToys 🖐️ We are a small company selling fidgets and sensory toys. 🎊 🆓 shipping worldwide! 🗺️ #Autism #FASD #ADHD #SPD #Stim #Inclusion #Diversity</t>
  </si>
  <si>
    <t>http://happyhands.toys</t>
  </si>
  <si>
    <t>Fleur</t>
  </si>
  <si>
    <t>#Enthusiasm affecting your time management &amp; causing #stress #anxiety is a sign that you need the right dose btw your #Engagement &amp;amp; #Leadership. SelfAnalysis is the key.</t>
  </si>
  <si>
    <t>Diane Galloway Gomez</t>
  </si>
  <si>
    <t>Herbal &amp; Natural Products that work. Shop Online at  or call us for more information: 1-877-626-4112 #Herbal #Natural #Teas #Health #Remedies #Free #Stress #Vitamins #MensHealth #WomensHealth #wealth</t>
  </si>
  <si>
    <t>http://www.TheHerbalGardens.com
https://shr.link/gz6f0</t>
  </si>
  <si>
    <t>Florida, USA</t>
  </si>
  <si>
    <t>C.E.O of The Herbal Gardens.Established since 1987. Miss Galloway is an Herbalist,#bestsellingauthor a book with Brian Tracy called Driven Love to read,travel.</t>
  </si>
  <si>
    <t>http://www.theherbalgardens.com</t>
  </si>
  <si>
    <t>The Lyme Army</t>
  </si>
  <si>
    <t>THE LYME DISEASE REALITY WE LIVE. #lymedisease #fibromyalgia #WeMustFindACure #lymefighter #lymeawareness #dysautonomia #headache #alzheimers #bacteria #autoimmunedisease #migraines #depression #stress…</t>
  </si>
  <si>
    <t>https://www.instagram.com/p/B7cG3H7g8iZ/?igshid=spe4tzh625cx</t>
  </si>
  <si>
    <t>http://www.thelymearmy.org</t>
  </si>
  <si>
    <t>SadBot</t>
  </si>
  <si>
    <t>Whoa It's tough, because I can't stay motivated to get out #stress</t>
  </si>
  <si>
    <t>Amsterdam, Nederland</t>
  </si>
  <si>
    <t>Amsterdam-based robot boy. Tweeting sad messages and looking for #love on autopilot.</t>
  </si>
  <si>
    <t>http://rickvandedood.com</t>
  </si>
  <si>
    <t>The CAB Chronicles 🚕</t>
  </si>
  <si>
    <t>Yah girl has gotta get it in soon 😥 #stress</t>
  </si>
  <si>
    <t>I said what I said 😐</t>
  </si>
  <si>
    <t>Wee Moo of the Moody Clan</t>
  </si>
  <si>
    <t>12 hour shift tomorrow then off too Benalmadena for 5 Days! I've never needed a break so much as I do now! #Stress #Chill</t>
  </si>
  <si>
    <t>Sunny Seafar In Dismal Dresden</t>
  </si>
  <si>
    <t>Just a wee Seafar Bhoy.</t>
  </si>
  <si>
    <t>PCOS Vitality ©</t>
  </si>
  <si>
    <t>Kick that #stress #anxiety #pcos</t>
  </si>
  <si>
    <t>https://pbs.twimg.com/media/EOhPxMjWAAIlywD.jpg</t>
  </si>
  <si>
    <t>Raising awareness of PCOS|Lifelong Metabolic Disorder|No medical advice| Retweet not endorsement|Not-for-profit Association 2017 ©</t>
  </si>
  <si>
    <t>http://www.pcosvitality.com/</t>
  </si>
  <si>
    <t>Nancy Stjepanovic</t>
  </si>
  <si>
    <t>Anxiety is a physical reaction to fearful thoughts #stress #Anxiety</t>
  </si>
  <si>
    <t>Sydney Australia</t>
  </si>
  <si>
    <t>Inspirational writer, healer, counsellor, mother, nature lover, in the drivers seat of my life.</t>
  </si>
  <si>
    <t>https://www.snscourses.com</t>
  </si>
  <si>
    <t>Rayza</t>
  </si>
  <si>
    <t>Check out my YouTube Chanel for great #4kinspiration videos for extended filming of our beautiful world #4Kinsoiration #GoPro #Nature Relaxation #gopro #stress #relief #naturevideo #nature #sleep #high…</t>
  </si>
  <si>
    <t>https://www.instagram.com/p/B7cFSl_p4JP/?igshid=11lkv5kf62z87</t>
  </si>
  <si>
    <t>Perth, Western Australia</t>
  </si>
  <si>
    <t>Travel, Food and Photography Blogger Covering #travel #culture #roadlessdriven #Nepal #Bali follow me at https://www.facebook.com/beautythroughanylens/ #food</t>
  </si>
  <si>
    <t>https://www.youtube.com/channel/UC8jR3pUyWq-SBE_OaXF5GAg/featured?view_as=subscriber</t>
  </si>
  <si>
    <t>"During the grounded sessions, participants had statistically significant improvements in HRV that went way beyond basic relaxation results (which were shown by the nongrounded sessions)."  #Grounding #HRV #Dysautonomia #Stress #Health #Science</t>
  </si>
  <si>
    <t>http://thenaturalhealthblogger.com/2019/07/21/the-evidence-based-health-benefits-of-earthing-grounding/</t>
  </si>
  <si>
    <t>Boost Health</t>
  </si>
  <si>
    <t>How to understand and control teen aggression in terms of #stress and #anxiety.</t>
  </si>
  <si>
    <t>http://bit.ly/2jpNCcX</t>
  </si>
  <si>
    <t>https://pbs.twimg.com/media/EOhM865X4AAVsZu.jpg</t>
  </si>
  <si>
    <t>Our health insurance agents take the time to understand your life &amp; lifestyle, then build a customized plan that’s a perfect fit for your wallet and your life.</t>
  </si>
  <si>
    <t>https://www.boosthealthinsurance.com</t>
  </si>
  <si>
    <t>Joey Mac</t>
  </si>
  <si>
    <t>Why is house hunting so god dam stressful, I was a bloody estate agent for years back on the early 2000's and it doesn't seem to have changed at all. #EstateAgent #stress #househunting #moving</t>
  </si>
  <si>
    <t>100% Autistic, I speak my mind and I don't have a filter. Footy is my religion and Anfield is my church. Husband &amp; Father to 4, contracted FSGS May 2014</t>
  </si>
  <si>
    <t>Kylie Zeal</t>
  </si>
  <si>
    <t>I wrote this article for Beanstalk, a wonderful resource for single mums. How to make good decisions that you don't worry about later  #singleparent #decisionmaking #worry #stress #happiness #confidence #selfdevelopment #positivethinking</t>
  </si>
  <si>
    <t>https://beanstalkmums.com.au/how-to-make-good-decisions-that-you-dont-worry-about-later/</t>
  </si>
  <si>
    <t>Global (Australia)</t>
  </si>
  <si>
    <t>Confidence Coach. Author. Full-time Traveller. Overcome your biggest fear in less than 60 minutes. Get the free how-to guide at: KylieZeal dot com</t>
  </si>
  <si>
    <t>http://KylieZeal.com</t>
  </si>
  <si>
    <t>Looking 4 release from childhood trauma? Let TAT do the work 4U free. See how it works @  #eft #stress #fear</t>
  </si>
  <si>
    <t>http://bit.ly/TATAcp</t>
  </si>
  <si>
    <t>Exam Stress Let Us Make it Fail See:  @isrgrajan #FridayMotivation #IsrgRajan #anxiety #Exams #healthy_food #Parents #Self_Motivation #Stress</t>
  </si>
  <si>
    <t>https://isrg.me/i8gk6s</t>
  </si>
  <si>
    <t>https://pbs.twimg.com/media/EOhLwx3VUAMm3gy.jpg</t>
  </si>
  <si>
    <t>14 Lifestyle Habits That Can Make You Infertile  #tagfire #health #lifestyle #healthcare #life #beauty #Baby #kidsthesedays #stress #LOL #diabetes #love #anxiety #naked #nakedfun #healthy #HealthyLiving #confidence #loveyourself #followme #swag #fun #hot</t>
  </si>
  <si>
    <t>https://healthyfit07.blogspot.com/2018/11/lifestyle-changes-to-improve-fertility.html</t>
  </si>
  <si>
    <t>https://pbs.twimg.com/media/EOhKpo5X4AImpWY.jpg</t>
  </si>
  <si>
    <t>“How Does Relaxation Benefit the Mind and Body?”  #stress #relax #peace #relaxation</t>
  </si>
  <si>
    <t>https://mindfulnessmeditationinstitute.org/2016/07/10/how-does-relaxation-benefit-the-mind-and-body/</t>
  </si>
  <si>
    <t>CredibleMind</t>
  </si>
  <si>
    <t>Mindful parenting is about being present with your kids. By slowing things down for just a bit, parents and kids are able to connect in more meaningful ways which may eliminate stress for everyone… #Parenting #Mindfulness #Stress</t>
  </si>
  <si>
    <t>https://crediblemind.com/articles/5-easy-ways-to-be-a-more-mindful-parent</t>
  </si>
  <si>
    <t>Thrive Mentally and Spiritually. Expert and user rated resources for a better life.</t>
  </si>
  <si>
    <t>mark rollinson</t>
  </si>
  <si>
    <t>So if you look ok does that mean you are ok? #mentalhealth #stress</t>
  </si>
  <si>
    <t>MHAMD</t>
  </si>
  <si>
    <t>Want to reduce your #stress and boost your #mentalhealth? Try visiting the @HPRConservatory. The environment is peaceful, beautiful and filled with plants from all over the world! Learn more about the healing power plants possess:</t>
  </si>
  <si>
    <t>http://bit.ly/2NAZqsg</t>
  </si>
  <si>
    <t>pic.twitter.com/ApfaNyRI1B</t>
  </si>
  <si>
    <t>Baltimore, Md.</t>
  </si>
  <si>
    <t>The Mental Health Association of Maryland addresses the mental health needs of Marylanders by offering public education programs and improving public policy.</t>
  </si>
  <si>
    <t>http://www.mhamd.org</t>
  </si>
  <si>
    <t>Grand Financial Solutions</t>
  </si>
  <si>
    <t>"Getting to the crux of the problem is essential to resolve any conflict."  #BASAgent #Finance #Bookkeeper #OrganizationalConflict #Stress #Bullying</t>
  </si>
  <si>
    <t>https://lttr.ai/MRrr</t>
  </si>
  <si>
    <t>https://pbs.twimg.com/media/EOhIc9lWsAEslAL.jpg</t>
  </si>
  <si>
    <t>Melbourne, Victoria</t>
  </si>
  <si>
    <t>While some people believe that they perform better under stress, that’s rarely the case. #stress</t>
  </si>
  <si>
    <t>Core Confidence Life Personal Development</t>
  </si>
  <si>
    <t>Be with those who bring out the #best in you, not the #stress in you. #HonorYourself</t>
  </si>
  <si>
    <t>#Relationships #sex #society and #spirituality from a #holistic perspective</t>
  </si>
  <si>
    <t>http://WWW.CCLPodcast.com</t>
  </si>
  <si>
    <t>Sachin Motwani</t>
  </si>
  <si>
    <t>You know what, there are a million ways to kill oneself, but only 1 to stay alive. So Breath! It doesn't need much courage or planning. #stress #motivation #Random #RandomThoughts #faith #HowToSurviveWWIII #saying #quotes #quoteoftheday #ThoughtOfTheDay #ThoughtForTheDay</t>
  </si>
  <si>
    <t>Phoenix knows it all! 🔮 Yet he chooses to let them play games. 🤫</t>
  </si>
  <si>
    <t>https://www.linkedin.com/in/sachin-motwani/</t>
  </si>
  <si>
    <t>Siegfried Treitner</t>
  </si>
  <si>
    <t>#Prenatal #air #pollution #exposure linked to infants' #decreased #heart #rate #response to #stress</t>
  </si>
  <si>
    <t>https://www.sciencedaily.com/releases/2019/10/191030073326.htm</t>
  </si>
  <si>
    <t>München, Bayern</t>
  </si>
  <si>
    <t>Humanist, Geographer, Office, Manager in Hard-, Software, Electro, Logistic, of Anderwerk gGmbH85622 Feldkirchen Hobby in Cooking, Biking, Aquaristic, Tropic,</t>
  </si>
  <si>
    <t>Eric</t>
  </si>
  <si>
    <t>Overwhelmed at work? The GTD Methodology from @gtdguy and the accompanying #mindsweep could be the perfect solution for procrastination or #stress.  #productivity</t>
  </si>
  <si>
    <t>https://buff.ly/2EeaHth</t>
  </si>
  <si>
    <t>https://pbs.twimg.com/media/EOhErkfW4AEk0Me.png</t>
  </si>
  <si>
    <t>Dopamine and Serotonin are really the only things that make me happy. 🐿 Master Procrastinater.</t>
  </si>
  <si>
    <t>http://ericmcroy.com</t>
  </si>
  <si>
    <t>Mark Frisk</t>
  </si>
  <si>
    <t>In this day and age, I find this 100 percent inevitable. &gt;&amp;gt;&amp;gt; Lego sets its sights on a growing market: Stressed-out adults  #mindfulness #play #escape #stress</t>
  </si>
  <si>
    <t>https://frisk.in/3ahb3hP</t>
  </si>
  <si>
    <t>https://pbs.twimg.com/media/EOhAsKaWoAAuY8k.jpg</t>
  </si>
  <si>
    <t>Rochester, NY</t>
  </si>
  <si>
    <t>Engagement optimizer. Social business navigator. Admirer of genius in all its forms. Helps out at @FurthurGrants.</t>
  </si>
  <si>
    <t>http://markfrisk.com</t>
  </si>
  <si>
    <t>Melanie Hall, LCPC</t>
  </si>
  <si>
    <t>It's Friday and it's time to have some fun! What are you doing to relieve the stress from the week you've had? #Melaniehall #insightstherapeuticservices #therapy #mentalhealth #healing #selfcare #angermanagement #therapist #anxiety #health #stress #funfriday #psychology #depre</t>
  </si>
  <si>
    <t>https://pbs.twimg.com/media/EOg-uzgX4AY4CKx.png</t>
  </si>
  <si>
    <t>Homewood, IL</t>
  </si>
  <si>
    <t>Entrepreneur | Licensed Psychotherapist | Owner of Insights Therapeutic Services | CEO Insights Academy, LLC</t>
  </si>
  <si>
    <t>http://www.insightsts.com</t>
  </si>
  <si>
    <t>Woman's Hospital</t>
  </si>
  <si>
    <t>Feeling anxiety or worry, try endorphin stimulating exercises such as Cardiovascular exercises and strength training.  #stress #stressmanagement #anxiety</t>
  </si>
  <si>
    <t>http://bit.ly/2smiRh9</t>
  </si>
  <si>
    <t>https://pbs.twimg.com/media/EOg-CmCWkAEZKPk.jpg</t>
  </si>
  <si>
    <t>Baton Rouge, Louisiana</t>
  </si>
  <si>
    <t>Woman's Hospital - Exceptional Care, Centered on You</t>
  </si>
  <si>
    <t>http://www.womans.org</t>
  </si>
  <si>
    <t>Lou</t>
  </si>
  <si>
    <t>Feeling overwhelmed with life? Read our 5 simple tips and what you should do if all else fails! #stress</t>
  </si>
  <si>
    <t>https://womanready.com/5-simple-self-care-tips-to-help-you-deal-with-overwhelm/</t>
  </si>
  <si>
    <t>Platform &amp; coaching at http://womanready.com. Confidence | Career | Body | Well-Being | Style | Inspire | Being Real | Write For Us - Articles, Tips, Advice🌟</t>
  </si>
  <si>
    <t>https://womanready.com/</t>
  </si>
  <si>
    <t>Sometimes, complexity is a bunch of simplicity chained together but is only visible if you look (or want to look). #Stress #Selfimprovement</t>
  </si>
  <si>
    <t>EAC Prod. Dev. Sol.</t>
  </si>
  <si>
    <t>Designing for fatigue life requires different #simulation approach than #designing for strength. Learn how to set up your #FEA to compare stresses to fatigue allowables here:  #ANSYS #stress #mechanicalengineering #model #durability</t>
  </si>
  <si>
    <t>https://eacpds.link/374z6hD</t>
  </si>
  <si>
    <t>HQ - Minneapolis, MN</t>
  </si>
  <si>
    <t>EAC Product Development Solutions is a full service resource for the engineering, design, and manufacturing industries. ProENGINEER - Creo - Windchill - Mathcad</t>
  </si>
  <si>
    <t>https://eacpds.com</t>
  </si>
  <si>
    <t>Sharry Edwards</t>
  </si>
  <si>
    <t>Join us Sunday, Jan. 19th @12 pm EST for a new episode of Sound Health Radio!  #TalkToMeGuy #PaulNapper #ThePowerOfAgency #agency #stress #anxiety</t>
  </si>
  <si>
    <t>https://soundhealthoptions.com/sound-health-radio/</t>
  </si>
  <si>
    <t>https://pbs.twimg.com/media/EOg-EmYX4Ac97OM.png</t>
  </si>
  <si>
    <t>Albany, Ohio</t>
  </si>
  <si>
    <t>Teaching SELF HEALTH through Vocal Profiling and BioAcoustic Biology.</t>
  </si>
  <si>
    <t>http://www.SoundHealthOptions.com</t>
  </si>
  <si>
    <t>The Kotho</t>
  </si>
  <si>
    <t>Don't forget to stop and enjoy #nature. Enjoy this #photo I took. Slow down. #Relax. #Breathe. Don't let #stress overwhelm you. It's going to be okay. One second. One minute. One hour. One day. You are stronger than you know. You will succeed and do this. #Believe in yourself.</t>
  </si>
  <si>
    <t>https://pbs.twimg.com/media/EOg5_VeXkAEyem7.jpg</t>
  </si>
  <si>
    <t>Video game streamer who loves to also cook, bake and build things. Come join the fun! #twitch #streamer #gamer #chef #fun https://www.instagram.com/the_kotho/</t>
  </si>
  <si>
    <t>https://www.twitch.tv/thekotho</t>
  </si>
  <si>
    <t>Ocean Patriot</t>
  </si>
  <si>
    <t>- #BeKind More Often, And #Worry &amp; #Stress, Less.</t>
  </si>
  <si>
    <t>https://pbs.twimg.com/media/EOg5QGwWsAE8LSL.jpg</t>
  </si>
  <si>
    <t>CA - FL - HI - TX ... USA</t>
  </si>
  <si>
    <t>Scot American #UCSB Alum - #KAG2020 - I ❤️ America - #BlueLineMom - #PTSD - #Veterans - #PatriotPhilanthropy - #GoRedStateByState - #K9 - #FlynnFighters _</t>
  </si>
  <si>
    <t>sue firth</t>
  </si>
  <si>
    <t>8 doctor-approved #tips to tackle all your #stress this year 2020:</t>
  </si>
  <si>
    <t>https://azbigmedia.com/lifestyle/8-doctor-approved-tips-to-tackle-all-your-stress-this-year/</t>
  </si>
  <si>
    <t xml:space="preserve">London area </t>
  </si>
  <si>
    <t>Business Psychologist &amp; Performance coach Author of ‘Taking the Stress out of Leadership (available from Amazon in paperback /Kindle) email: sue@suefirthltd.com</t>
  </si>
  <si>
    <t>http://www.suefirthltd.com</t>
  </si>
  <si>
    <t>Mahira Khan</t>
  </si>
  <si>
    <t>03322497743 ❄️ Beat The Cool Breeze With Full Body Massage🥶😍 🌺 Full Body Massage Refreshes Before Your Daily Task's Timing:12:00pmTo10:00pm #karachiMassageSalon #ThaiMassage #Spa #VictoriaMassageSalon #MassageSalon #StressFree #BeautifulLife #Stress .</t>
  </si>
  <si>
    <t>Massage and Spa</t>
  </si>
  <si>
    <t>MRT @carthagebuckley #lifecoaching Banish clutter 2 reduce stress &amp; improve performance #stress</t>
  </si>
  <si>
    <t>https://www.coachingpositiveperformance.com/banish-clutter-to-reduce-stress-and-improve-performance/</t>
  </si>
  <si>
    <t>Healthytarian</t>
  </si>
  <si>
    <t>Try the creamy cranberry &amp; ashwagandha smoothie that is great before or after #workouts or during any times of #stress  #vegan #recipes #PlantBased</t>
  </si>
  <si>
    <t>https://www.evolvingwellness.com/post/cranberry-ashwagandha-energizing-smoothie</t>
  </si>
  <si>
    <t>Earth</t>
  </si>
  <si>
    <t>A lifestyle based on fresh thinking, smart eating &amp; mindful living. #wholefood #plantbased #vegan #awareness #bethechange #healthytarian Tweets by @EvitaOchel</t>
  </si>
  <si>
    <t>http://www.healthytarian.com</t>
  </si>
  <si>
    <t>Discover Health &amp; Wellness Denver</t>
  </si>
  <si>
    <t>If you have Stress and Anxiety #health #wellness #chiropractic #stress #anxiety @DHWDenver</t>
  </si>
  <si>
    <t>https://pbs.twimg.com/media/EOgz4ffU4AAGvqd.jpg</t>
  </si>
  <si>
    <t>Denver, CO</t>
  </si>
  <si>
    <t>Dr. Andrew Hanson is a Denver, Colorado-based chiropractor at Discover Health &amp; Wellness located at 1231 S Parker Rd</t>
  </si>
  <si>
    <t>http://denvercoloradochiro.com/</t>
  </si>
  <si>
    <t>Discover Health &amp; Wellness Broomfield</t>
  </si>
  <si>
    <t>Treatment options for stress-related back pain #health #wellness #chiropractic #stress #backpain @DHWBroomfield</t>
  </si>
  <si>
    <t>https://pbs.twimg.com/media/EOgzU6YU0AAjwup.jpg</t>
  </si>
  <si>
    <t>Broomfield, CO</t>
  </si>
  <si>
    <t>Extensive experience in the fields of fitness training, physical therapy and nutrition has given me a unique perspective on restoring and maintaining health.</t>
  </si>
  <si>
    <t>https://broomfieldcoloradochiro.com</t>
  </si>
  <si>
    <t>"The findings of this study suggest that a high-concentration full-spectrum Ashwagandha root extract safely and effectively improves an individual’s resistance towards stress and thereby improves self-assessed quality of life."  #Ayurveda #Herbs #Stress</t>
  </si>
  <si>
    <t>http://thenaturalhealthblogger.com/2017/11/15/ashwagandha-the-indian-adaptogen-herb-for-reducing-anxiety-stress-normalizing-thyroid-function/</t>
  </si>
  <si>
    <t>Dr Jim Bright</t>
  </si>
  <si>
    <t>This week’s column... How to deal with anxiety in the workplace #leadership #anxiety #work #relationships #psychology #selfdevelopment #mentalhealth #coaching #fitness #str #stress</t>
  </si>
  <si>
    <t>https://lnkd.in/fBEDGFZ</t>
  </si>
  <si>
    <t>Organisational Psychologist, Professor Careers, Director Become Education, Columnist, Speaker, Trainer, Coach &amp; Medico-Legal Assessor, Chaos Theory of Careers</t>
  </si>
  <si>
    <t>http://www.brightandassociates.com.au</t>
  </si>
  <si>
    <t>Six things you can do to naturally reduce stress. I love number four! #stress #meditate  via</t>
  </si>
  <si>
    <t>http://snip.ly/0i6g4</t>
  </si>
  <si>
    <t>https://pbs.twimg.com/media/EOgxkCZXUAEk3I4.jpg</t>
  </si>
  <si>
    <t>WE (Workplace)</t>
  </si>
  <si>
    <t>Reducing Stress in the #workplace #wellness #exployees #trends #stress @mrexmiller</t>
  </si>
  <si>
    <t>https://bit.ly/3a2vYFf</t>
  </si>
  <si>
    <t>Workplaces Everywhere!</t>
  </si>
  <si>
    <t>Workplace Evolutionaries (WE) is a global community within @IFMA focused on increasing Workplace Innovation &amp; Consciousness. Tweets by @futureworkforce</t>
  </si>
  <si>
    <t>http://we.ifma.org</t>
  </si>
  <si>
    <t>James McNamee</t>
  </si>
  <si>
    <t>I love the end of the day in a PRU. We all sit down at the end eat rubbish and laugh for a good hour before leaving ready for the weekend. #prulife #stress #laugh #offload</t>
  </si>
  <si>
    <t>St Helens</t>
  </si>
  <si>
    <t>Deputy Teacher in Charge in a KS4 Pupil Referral Unit in the North West, Science Teacher, Liverpool FC season ticket holder, Rugby league fan and NFL novice</t>
  </si>
  <si>
    <t>Staysure</t>
  </si>
  <si>
    <t>#Toptips for getting through the airport #stress free  #health #travel</t>
  </si>
  <si>
    <t>https://www.staysure.co.uk/2017/04/top-tips-get-airport-stress-free/</t>
  </si>
  <si>
    <t>https://pbs.twimg.com/media/EOgwo8IWoAASGJj.jpg</t>
  </si>
  <si>
    <t>Northampton, England</t>
  </si>
  <si>
    <t>Staysure is the UK’s No1 Travel Insurance Provider specialising in over 50s. We’ve helped millions explore the world with peace of mind. Call us on 08000147810.</t>
  </si>
  <si>
    <t>https://www.staysure.co.uk/</t>
  </si>
  <si>
    <t>The Digital Mental Health Project</t>
  </si>
  <si>
    <t>Congrats on the end of a #stressful week! As you consider how to better manage your #stress next week, know your #digital devices and #apps can help. Find out how at our "Intro to #StressTech" webinar now offered on a "gift economy" basis. Pick a date at</t>
  </si>
  <si>
    <t>http://ow.ly/KWaW50xm9mo</t>
  </si>
  <si>
    <t>https://pbs.twimg.com/media/EOgwofmXUAAwlwg.png</t>
  </si>
  <si>
    <t>Philadelphia, PA</t>
  </si>
  <si>
    <t>Founded by @cadelarge to enable responsible adoption of mentaltech.</t>
  </si>
  <si>
    <t>https://digitalmentalhealthproject.com</t>
  </si>
  <si>
    <t>Craig A. DeLarge</t>
  </si>
  <si>
    <t>https://pbs.twimg.com/media/EOgwkouXUAAaVAD.png</t>
  </si>
  <si>
    <t>Philadelphia, PA, USA</t>
  </si>
  <si>
    <t>Pls add your voice to the Digital Stress Mgmt Survey: http://bit.ly/dMHpSurvey0420. Digital Mental Health Project, Intrapreneur, Change Leadership Coach</t>
  </si>
  <si>
    <t>http://medium.com/@dmhp</t>
  </si>
  <si>
    <t>Teena Evert</t>
  </si>
  <si>
    <t>9 TIPS FOR HOW YOU CAN HANDLE STRESS AT WORK 😰 According to research, the percentage of Americans who are stressed at work is high, and it’s only getting higher. &gt; Read the full article  #workstress #stress #worklife #work #health #success #happiness</t>
  </si>
  <si>
    <t>http://bit.ly/36JaScN</t>
  </si>
  <si>
    <t>https://pbs.twimg.com/media/EOgwi3NWAAArQvo.jpg</t>
  </si>
  <si>
    <t>Teena Evert, CEO Claim The Lead | Career, Life &amp; Leadership Coach |The Confident Careerist Podcast Host | Speaker | Trainer</t>
  </si>
  <si>
    <t>https://teenaevert.com/</t>
  </si>
  <si>
    <t>ALCO Sales</t>
  </si>
  <si>
    <t>"This tells us that the #health of #arteries and their response over time to #stress is likely quite different between females and males, and this has implications for a range of organ system and #disease processes that rely on having #healthy arteries."</t>
  </si>
  <si>
    <t>http://ow.ly/87jT50xXHzp</t>
  </si>
  <si>
    <t>Burr Ridge, IL</t>
  </si>
  <si>
    <t>Since 1952 our family has provided medical equipment, replacement parts, casters, wheels, repair services &amp; much more to healthcare facilities nationwide.</t>
  </si>
  <si>
    <t>http://www.alcosales.com</t>
  </si>
  <si>
    <t>Marisa Murray</t>
  </si>
  <si>
    <t>Will being iteractive really help me with stress? 😩😩😓 You can check out the original TEDx talk here:  Special thanks to @WinifredCreative #inspiration #leaderley #leadership #coaching #stress #iteractive #development #fridayfeeling</t>
  </si>
  <si>
    <t>http://ow.ly/yOz150xMmDt</t>
  </si>
  <si>
    <t>pic.twitter.com/cGiuN9Nb6K</t>
  </si>
  <si>
    <t>Randy Meyer</t>
  </si>
  <si>
    <t>Come check us out! #anxiety #insomnia #stress #autism #sleep</t>
  </si>
  <si>
    <t>pic.twitter.com/0bUqLHYZTP</t>
  </si>
  <si>
    <t>Leduc, Alberta</t>
  </si>
  <si>
    <t>The Portland Clinic</t>
  </si>
  <si>
    <t>Tips on how employers can help reduce parents' #stress and help them prepare for #maternity leave.</t>
  </si>
  <si>
    <t>http://bit.ly/2sCg8jc</t>
  </si>
  <si>
    <t>https://pbs.twimg.com/media/EOgwUtIXUAQ-zrg.jpg</t>
  </si>
  <si>
    <t>A family of physicians with five multi-specialty clinics in Portland. Follow us for up-to-date local health info, health classes and clinic announcements.</t>
  </si>
  <si>
    <t>http://www.theportlandclinic.com</t>
  </si>
  <si>
    <t>ACNP</t>
  </si>
  <si>
    <t>Check out the latest NPP issue.. #nppjournal #ACNP #addiction #depression #anxiety #memory #trauma #stress #opioid</t>
  </si>
  <si>
    <t>https://go.nature.com/2sE9b1C</t>
  </si>
  <si>
    <t>https://pbs.twimg.com/media/EOgwUGeX4AI0kg-.png</t>
  </si>
  <si>
    <t>The American College of Neuropsychopharmacology (ACNP) is the nation's premier professional society in brain, behavior, and psychopharmacology research.</t>
  </si>
  <si>
    <t>http://www.acnp.org</t>
  </si>
  <si>
    <t>Ruhi Snyder Sleep Advocate</t>
  </si>
  <si>
    <t>Episode 13 of the Sleep and Society Podcast is now up! We kick off 2020 with Ruhi, Mike and Andrew, who dissect Ruhi’s regimen of exercise during night shift work #sleepandsociety #podcast #sleepandsocietypodcast #sleep #bettersleep #workout #stress #ruhisleep #ygk #sleeppodcast</t>
  </si>
  <si>
    <t>https://pbs.twimg.com/media/EOgQZAoX0AEeAa6.jpg</t>
  </si>
  <si>
    <t>Kingston, Ontario</t>
  </si>
  <si>
    <t>Better Sleep = Better Society, I am a Sleep Researcher and Educator looking to help everyone have a healthy sleep and a healthy life, sharing what I learn!</t>
  </si>
  <si>
    <t>The Good News Cafe</t>
  </si>
  <si>
    <t>How to Breathe For Added Benefits When Walking  #Stress #Oxygen #exercise</t>
  </si>
  <si>
    <t>https://lttr.ai/MRfF</t>
  </si>
  <si>
    <t>https://pbs.twimg.com/media/EOgv8JtXkAA4mVx.png</t>
  </si>
  <si>
    <t>Smile! Life is good :-)</t>
  </si>
  <si>
    <t>http://thegoodnewscafe.net</t>
  </si>
  <si>
    <t>Can't #Meditate because of #Anxiety How to Reduce, Stop &amp; #Relax ~ #anxiety #depression #mentalhealth #mentalhealthawareness #ptsd #mentalillness #selfcare #stress #love #bipolar #health #wellness #selflove #therapy #recovery #healing #pain #anxietyrelief</t>
  </si>
  <si>
    <t>https://buff.ly/35liLUf</t>
  </si>
  <si>
    <t>anthony b</t>
  </si>
  <si>
    <t>I'm so bored anyone from anywhere want to talk about anything? #talking #converse #conversation #life #sad #lonely #loneliness #suicide #death #meditation #alone #bored #stress #anxiety #anxious #stressfull</t>
  </si>
  <si>
    <t>Orléans, France</t>
  </si>
  <si>
    <t>Homme de 28. Je tente de devenir programmeur lien en dessous si vous voulez me donner un coup de main merci</t>
  </si>
  <si>
    <t>http://www.leetchi.com/c/devenir-developpeur</t>
  </si>
  <si>
    <t>QwikAd.com - Post Ads. Get Results. FREE.</t>
  </si>
  <si>
    <t>NO RISK NO STRESS Visit Now:  #PostFreeAds #Risk #Stress</t>
  </si>
  <si>
    <t>Advertise anything - fast, easy &amp; FREE: https://QwikAd.com No sign up required. Large traffic. Post your ads right now. Worldwide.</t>
  </si>
  <si>
    <t>Hope Instilled</t>
  </si>
  <si>
    <t>An In-Depth Dive into Better Managing Stress (From someone who has lived with chronic stress &amp; chronic pain)  #stress #chronicpain #chronicillness</t>
  </si>
  <si>
    <t>http://ow.ly/QicA30q8qRs</t>
  </si>
  <si>
    <t>Milwaukee, WI</t>
  </si>
  <si>
    <t>We provide hope with a action-based approach to help #chronicpain &amp; #chronicillness sufferers help themselves. Alternative Treatments, Wellness, Support &amp; MORE.</t>
  </si>
  <si>
    <t>http://www.HopeInstilled.org</t>
  </si>
  <si>
    <t>Annie Ford</t>
  </si>
  <si>
    <t>Amazing day as a #counsellor in #MidDevon working with #menopause #stress #panic #relationships healthy &amp; unhealthy &amp;amp; #depression. Strengthening #resilience in #counselling #cullompton #annieford passionate about #wellbeing 🌿</t>
  </si>
  <si>
    <t>https://pbs.twimg.com/media/EOgp85GWkAA-C3m.jpg</t>
  </si>
  <si>
    <t>Cullompton, Devon U.K.</t>
  </si>
  <si>
    <t>Counsellor BACP (Accred), Coach+Supervisor: Stress, Anxiety, Cancer, Menopause, Fertility+ Mindfulness 🌱 Flourishing Retreats 🍃 Calm Space always.</t>
  </si>
  <si>
    <t>http://www.annieford.co.uk</t>
  </si>
  <si>
    <t>Amazing day as a counsellor in #MidDevon working with #menopause #stress #panic #relationships healthy &amp; unhealthy &amp;amp; #depression. Strengthening #resilience in #counselling #cullompton #annieford passionate about #wellbeing 🌿</t>
  </si>
  <si>
    <t>https://pbs.twimg.com/media/EOgppDrX4AAuxgu.jpg</t>
  </si>
  <si>
    <t>Come take a look at our site #Anxiety #stress #adhd #autism #insomnia</t>
  </si>
  <si>
    <t>pic.twitter.com/X8WegSmKP7</t>
  </si>
  <si>
    <t>Haworth Armson</t>
  </si>
  <si>
    <t>Managing and reducing stress in the workplace | HR News  #Stress #HR #HRNews #HumanResources #ReducingStress</t>
  </si>
  <si>
    <t>https://buff.ly/2ZRvrBe</t>
  </si>
  <si>
    <t>https://pbs.twimg.com/media/EOgo--EWoAUqZcZ.jpg</t>
  </si>
  <si>
    <t>AtlasT</t>
  </si>
  <si>
    <t>Someone tell me something fun. I need a pick me up. #stress #FridayThoughts</t>
  </si>
  <si>
    <t>#dnd silliness, #stories and #mayhem- enjoy my brand of crazy Current Status: Vixen #bard, seducing nobles.current aesthetic: 🎀👑🗡</t>
  </si>
  <si>
    <t>How to Get Out of Your Head | Psychology Today  #mentalhealth #wellness #selfhelp #therapy #selfcare #emotions #stress #anxiety #depression #worry</t>
  </si>
  <si>
    <t>https://www.psychologytoday.com/us/blog/get-out-your-mind/201911/how-get-out-your-head</t>
  </si>
  <si>
    <t>TheDeadTex</t>
  </si>
  <si>
    <t>oh no i hope this isn't true, no one deserve the crunch period! #Cyberpunk2077 #stress</t>
  </si>
  <si>
    <t>https://www.youtube.com/watch?v=VoswHl2Hx8M</t>
  </si>
  <si>
    <t>Stream and post D&amp;D memes</t>
  </si>
  <si>
    <t>Stephen Moore</t>
  </si>
  <si>
    <t>Do you know the key to lowering your #stress on #movingday? Have someone else do it.</t>
  </si>
  <si>
    <t>http://cpix.me/a/90121147</t>
  </si>
  <si>
    <t>https://pbs.twimg.com/media/EOglZeTX4AA7itE.jpg</t>
  </si>
  <si>
    <t>Lebanon, OH</t>
  </si>
  <si>
    <t>Real Estate Agent - Keller Williams - Pinnacle Group</t>
  </si>
  <si>
    <t>Netchex</t>
  </si>
  <si>
    <t>Can plants reduce stress even in a soulless, sterile office setting? And it worked—for some participants at least. Do you have plants on your desk? Let us know what kind, or send us a pic and brighten up our timeline!  #HR #HRtips #DeskPlant #Stress</t>
  </si>
  <si>
    <t>http://bit.ly/307n7gR</t>
  </si>
  <si>
    <t>Louisiana, USA</t>
  </si>
  <si>
    <t>We offer businesses a cloud-based suite of employer services backed by rockstar support specialists. Looking forward to connecting with you!</t>
  </si>
  <si>
    <t>http://www.Netchex.com</t>
  </si>
  <si>
    <t>Booutique</t>
  </si>
  <si>
    <t>I release all energies that are causing me #stress in this moment. #peace</t>
  </si>
  <si>
    <t>https://pbs.twimg.com/media/EOgk7EJWkAA_vWG.jpg</t>
  </si>
  <si>
    <t>Loyal Follower ♥ Follow Me, I will follow you. ♥ List me, I will list you. ♥ Find great deals in my store. Check it out !!!!</t>
  </si>
  <si>
    <t>http://bit.ly/2iMAIn</t>
  </si>
  <si>
    <t>ChildNurseStudent 🇪🇺🇬🇧🧜🏻🏳️‍🌈🌍🕊🌱</t>
  </si>
  <si>
    <t>A #stress survival guide ❤️</t>
  </si>
  <si>
    <t>https://pbs.twimg.com/media/EOgkqrTXkAA3SR3.jpg</t>
  </si>
  <si>
    <t>Brighton, UK</t>
  </si>
  <si>
    <t>Student Nurse (Child) 2019-2022 Brighton Uni | She/Her | Swim Bike Run | Vegetarian | Part-time Vegan | Mum and Wife | Fur Child: Molly-dog</t>
  </si>
  <si>
    <t>Dalia habib</t>
  </si>
  <si>
    <t>#Mandala #colouring #coloringbook #colouringforadults #stress #release #positivevibes #positiveenergy #Love ❤️ #Life #colours #pencil #instagood #inspiration #relax #enjoy #art #drawings 🌸 @ Somewhere Under the Blue…</t>
  </si>
  <si>
    <t>https://www.instagram.com/p/B7bwDfVhEBk/?igshid=1l90axrmqj9my</t>
  </si>
  <si>
    <t>EGYPT</t>
  </si>
  <si>
    <t>pharmacy, like football( barca , @guaje7villa ) , Cartoons, History ,Fashion , travel ... life ☆</t>
  </si>
  <si>
    <t>Dr. Garland Vance</t>
  </si>
  <si>
    <t>How do you get rid of Inhibiting Beliefs that drive you to #busyness, #stress, and #burnout? RECORD your Inhibiting Beliefs. REVIEW them to decide if you truly believe it. REJECT them. REPLACE them.</t>
  </si>
  <si>
    <t>https://youtu.be/Ekme_xDeRYw</t>
  </si>
  <si>
    <t>Knoxville, TN</t>
  </si>
  <si>
    <t>Author of Gettin' (un)Busy. Busyness is killing you. I want to help you kill it so you can live with great purpose, productivity, and peace.</t>
  </si>
  <si>
    <t>http://www.gettinunbusybook.com</t>
  </si>
  <si>
    <t>Discover Life Magazine</t>
  </si>
  <si>
    <t>Feeling stressed-out after work? The PARASETTER foam roller system is designed to optimize breathing patterns and improve flexibility. For more ways to chill, go to  #stress #stressed #stressedout #stressing #foamroller #fitness #discoverlife</t>
  </si>
  <si>
    <t>https://discoverlife.io/7-ways-to-be-serene/</t>
  </si>
  <si>
    <t>https://pbs.twimg.com/media/EOgjvILW4AQ6xWc.jpg</t>
  </si>
  <si>
    <t>Melville, NY 11747</t>
  </si>
  <si>
    <t>Looking for an adventure? We’ve got you covered! “Discover Life” is the ultimate destination that's all about seizing the moment and taking you on a journey.</t>
  </si>
  <si>
    <t>http://discoverlifemag.com</t>
  </si>
  <si>
    <t>CalmPeople</t>
  </si>
  <si>
    <t>How many personal development workshops offer a money back guarantee? We Do!!  Our next Keeping Calm Weekend Workshop now has 3 places left. Book before 24th Jan to get £100 discount #Stress #StressManagement #AngerManagement #SelfEsteem</t>
  </si>
  <si>
    <t>https://www.calmpeople.co.uk/guarantee/</t>
  </si>
  <si>
    <t>Experts in stress, conflict, emotional resilience &amp; anger management. Helping organisations and individuals be resilient, happy and be the calm in the storm.</t>
  </si>
  <si>
    <t>http://about.me/julian_hall</t>
  </si>
  <si>
    <t>Dez</t>
  </si>
  <si>
    <t>Today is one of those days. 😖 #work #stress #busy #overwhelmed</t>
  </si>
  <si>
    <t>Seattle, Wa</t>
  </si>
  <si>
    <t>Audio engineer who loves sports, writes, has opinions &amp; takes pictures. #BitchyBlkCat|#CrawfordTheBoston|#BlameDez|#GoMariners|#GoHawks|#TruexNation|#TruexJr</t>
  </si>
  <si>
    <t>Valerie MacLeod</t>
  </si>
  <si>
    <t>Look at this year differently. Shift your view with Systems Thinking #systemsthinking #lifeplanning #careerplanning #planning #stress #leadershipcoaching</t>
  </si>
  <si>
    <t>http://www.valeriemacleod.com/new-lenses-decrease-stress</t>
  </si>
  <si>
    <t>Calgary, AB, Canada</t>
  </si>
  <si>
    <t>#Facilitator, #trainer of planning &amp; #strategicthinking. #Coach technical leaders to get everyone pulling in the same direction. #Leadership #systemsthinking</t>
  </si>
  <si>
    <t>http://www.ValerieMacLeod.com</t>
  </si>
  <si>
    <t>Unique Sleep Barrie</t>
  </si>
  <si>
    <t>SWEET POTATOES CAN HELP YOU SLEEP BETTER! #Sweet #potatoes are a great source of #magnesium and #potassium. Magnesium relaxes the #muscles and nervous system and consequently reduces #stress hormones... more at</t>
  </si>
  <si>
    <t>http://shoplocal.ly/45XKW</t>
  </si>
  <si>
    <t>https://pbs.twimg.com/media/EOgiwmtWAAAHDa9.jpg</t>
  </si>
  <si>
    <t xml:space="preserve">361 King St. Barrie, Ontario. </t>
  </si>
  <si>
    <t>Custom tailored mattresses made to fit you and your person, natural latex, organic cotton and wool. Sleeping together has never been better!</t>
  </si>
  <si>
    <t>http://www.uniquesleep.ca</t>
  </si>
  <si>
    <t>Boring Books For Bedtime</t>
  </si>
  <si>
    <t>If you found drains boring, you might also enjoy this wander into the world of Farm Engines from last February. Get the full episode here or on your fave podcast app:  #sleep #sleepy #insomnia #anxiety #relaxation #stress #bedtimestory #flashbackfriday</t>
  </si>
  <si>
    <t>http://ow.ly/vKgC50xT1YZ</t>
  </si>
  <si>
    <t>pic.twitter.com/iftD9GTkfJ</t>
  </si>
  <si>
    <t>Lie back, relax, and let me bore you overworked brain to sleep with old books. Subscribe at your fave podcast provider.</t>
  </si>
  <si>
    <t>http://boringbookspod.com</t>
  </si>
  <si>
    <t>Healthy Kansas Kids</t>
  </si>
  <si>
    <t>Is your child shy? Does it keep him or her from making new friends? Here's how to help:  #children #health #social #anxiety #stress #child #healthy #wellness</t>
  </si>
  <si>
    <t>http://bit.ly/HK-Shy</t>
  </si>
  <si>
    <t>https://pbs.twimg.com/media/EOghrACXsAAQx8D.jpg</t>
  </si>
  <si>
    <t>We are here to help answer your questions about KanCare and the benefits available to you and your family.</t>
  </si>
  <si>
    <t>🚨 On #sale now! 🚨 💰 Use code SOCIAL10 for an additional 10% off! 💰 ➡️  #Sensory #SPD #Stim #Autism #Aspergers #ASD #ADHD #Anxiety #Stress #HappyHandsToys (IMG: Rainbow Puzzle Ball, Snake Puzzle, Bamboo Puzzle, Magnetic Puzzle Cube, Slider Puzzle)</t>
  </si>
  <si>
    <t>https://happyhands.toys/collections/featured-fidgets</t>
  </si>
  <si>
    <t>https://pbs.twimg.com/media/EOgfJnSWsAAbgA5.jpg</t>
  </si>
  <si>
    <t>Chronic #stress and the body #chronicpain #chronicillness #coping  via @nikki_albert</t>
  </si>
  <si>
    <t>Broken Places</t>
  </si>
  <si>
    <t>#TraumaInformed: “#Poverty &amp; #stress plays a major role in the development of young people, It’s hard for you to regulate emotion and study in the classroom and make connections with people when you’re dealing with poverty.” #BrokenPlacesFilm</t>
  </si>
  <si>
    <t>https://www.orlandosentinel.com/opinion/columnists/os-op-bryce-gowdy-suicide-black-teenagers-mental-health-20200103-227nl4o635eudjq4emlqr273je-story.html?fbclid=IwAR2jDdpbgwo0kKCWKmbTXqQ1HiiYVQBKiXjzp99oq5KRtFxK3iOht8L-rio</t>
  </si>
  <si>
    <t>@BrokenPlacesDoc is a forthcoming film that explores why some children are severely damaged by early adversity while others are able to thrive.</t>
  </si>
  <si>
    <t>https://brokenplacesfilm.com</t>
  </si>
  <si>
    <t>Betty C. Jung</t>
  </si>
  <si>
    <t>Mix of #stress and #airpollution may lead to #cognitivedifficulties in children</t>
  </si>
  <si>
    <t>https://www.sciencedaily.com/releases/2020/01/200116155436.htm</t>
  </si>
  <si>
    <t>#PublicHealth #Health #Science #Technology &amp; #Culture Providing you with news, information &amp; data you can use, in real time, Betty C. Jung MPH RN MCHES®</t>
  </si>
  <si>
    <t>http://www.bettycjung.net</t>
  </si>
  <si>
    <t>ZenyProducts</t>
  </si>
  <si>
    <t>💤 FRIDAY FEELING NEW 💤 New Year, cold winter has us all wanting to be indoors snuggled up. Stay comfortable cozy w/ #ZENYProducts Weighted Blankets. Available on @Amazon 🛌  🛌 #FridayFeeling #fbf #FlashbackFriday #NewYear #SAHM #anxiety #stress #insomnia</t>
  </si>
  <si>
    <t>https://amzn.to/2IuPoae</t>
  </si>
  <si>
    <t>https://pbs.twimg.com/media/EOgeBtcX0AUdFAM.jpg</t>
  </si>
  <si>
    <t>Follow me I'll follow back. Zeny. your quality life supplier.</t>
  </si>
  <si>
    <t>http://www.zeny.us</t>
  </si>
  <si>
    <t>Carol Samuel, PhD</t>
  </si>
  <si>
    <t>All of my workshops for 2020 in one place. Do take a look, you never know there may be something here to interest you.  #PainManagement #reflexology #cancerpain #cancersurvivor #stress #reflexmaster</t>
  </si>
  <si>
    <t>https://mailchi.mp/078d0fefcdf1/reflexology-cpd-workshops-2020?fbclid=IwAR3dUiQkxfaBhgklGjq6jX_rxpDQz8Apu_WXrK300uNe9phrXzXN1vbNNbo</t>
  </si>
  <si>
    <t>https://pbs.twimg.com/media/EOgdnVuWAAAnS6S.jpg</t>
  </si>
  <si>
    <t>Havant, England</t>
  </si>
  <si>
    <t>Specialising in reflexology and pain management. Sharing knowledge and skills with the wider reflexology community through evidence-based CPD courses.</t>
  </si>
  <si>
    <t>http://www.reflexmaster.co.uk</t>
  </si>
  <si>
    <t>Love, Geeky Girl</t>
  </si>
  <si>
    <t>Here are some things you can do when you are stressed. #blogger #motivation #stress #tips #ideas</t>
  </si>
  <si>
    <t>https://lovegeekygirl.com/2020/01/16/things-to-do-when-youre-stressed/</t>
  </si>
  <si>
    <t>Welcome to Love, Geeky Girl where we share our experiences with #college life, #beauty, #selfcare, and so much more!</t>
  </si>
  <si>
    <t>http://lovegeekygirl.com</t>
  </si>
  <si>
    <t>❤WEALTH &amp; WELLNESS❤</t>
  </si>
  <si>
    <t>Trees in the forest release natural chemicals called phytnocides. Some studies show they lower the #stress hormone cortisol. #stressrelief #health</t>
  </si>
  <si>
    <t>pic.twitter.com/e6N5IeBYT8</t>
  </si>
  <si>
    <t>Wealth &amp; Wellness Coach, Clean Eating Enthusiast, Entrepreneur. Learn how to eat well + live BIG. Create a healthy life thats Fun, Simple and Magical.</t>
  </si>
  <si>
    <t>http://WWW.FACEBOOK.COM/HASSANLIFECOACH</t>
  </si>
  <si>
    <t>Barry Briggs</t>
  </si>
  <si>
    <t>There’s getting ready to move home stress and there’s getting ready to #movehome #stress plus here’s another #spannerintgeworks #legality #needsplanningpermission #noitdoesnt less than #2weekstogo</t>
  </si>
  <si>
    <t>Breakfast Leadership</t>
  </si>
  <si>
    <t>Looking at desk plant for three minutes decreases #stress, study finds  #boundaries #burnout #BreakfastLeadership</t>
  </si>
  <si>
    <t>http://ow.ly/b2MF30q85Ng</t>
  </si>
  <si>
    <t>Toronto &amp; SoCal</t>
  </si>
  <si>
    <t>Burnout &amp; CBT Therapist &amp; Coach/Global Thought Leader/Author/Keynote Speaker/Problem Solver/ Rid your life from burnout CEO @bfastleadership &amp; @levittmike</t>
  </si>
  <si>
    <t>https://linktr.ee/bfastleadership</t>
  </si>
  <si>
    <t>Nova Gastro</t>
  </si>
  <si>
    <t>Your gut bacteria may be instrumental in explaining the link between #stress and #autoimmunedisease. A recent study in mice reveals that persistent social stress changes gut #microbiota, or microorganisms, in ways that can trigger certain immune responses.</t>
  </si>
  <si>
    <t>http://ow.ly/bJZ630q9uPx</t>
  </si>
  <si>
    <t>Chantilly</t>
  </si>
  <si>
    <t>There’s no need to live with a condition that causes you pain or disrupts your normal life. Call us today!</t>
  </si>
  <si>
    <t>http://www.novagastro.org/</t>
  </si>
  <si>
    <t>Therapy Toronto</t>
  </si>
  <si>
    <t>Study suggests chronic adversity dampens #dopamine production  #abuse #stress #psychology #mentalhealth #mentalillness #trauma</t>
  </si>
  <si>
    <t>https://therapytoronto.ca/news/2019/12/study-suggests-chronic-adversity-dampens-dopamine-production/</t>
  </si>
  <si>
    <t>Toronto, Canada</t>
  </si>
  <si>
    <t>News about psychology, mental health and related issues from Toronto's premier directory of qualified independent psychotherapists in private practice.</t>
  </si>
  <si>
    <t>http://www.therapytoronto.ca</t>
  </si>
  <si>
    <t>Jim Dwyer MD</t>
  </si>
  <si>
    <t>Masked Hypertension - greater chance with working 49 or more hours per week. Know the basics in 1 minute - Apple podcast @mediblurb -  #hypertension #work #stress #podcast</t>
  </si>
  <si>
    <t>https://podcasts.apple.com/us/podcast/mediblurbs-accurate-and-transparent-health-information/id1472656355?i=1000460825495</t>
  </si>
  <si>
    <t>https://pbs.twimg.com/media/EOgaKq9U8AA6Jvd.jpg</t>
  </si>
  <si>
    <t>Arizona</t>
  </si>
  <si>
    <t>Physician/cardiologist in the trenches. Horseman. Trained broadcaster. 20+ year advocate of health literacy - radio and podcasting. @MediBlurb @HealthGrabber</t>
  </si>
  <si>
    <t>http://www.mediblurb.com</t>
  </si>
  <si>
    <t>Steph Andel</t>
  </si>
  <si>
    <t>Check out this article I wrote for @ConversationUS that discusses our recent research on #cyberloafing, and how it might actually be a useful way to cope with #stress at #work  via @ConversationUS #iopsych #organizationalbehavior #science</t>
  </si>
  <si>
    <t>http://theconversation.com/why-bosses-should-let-employees-surf-the-web-at-work-128444?utm_source=twitter&amp;utm_medium=twitterbutton</t>
  </si>
  <si>
    <t>Tampa, FL</t>
  </si>
  <si>
    <t>Assistant Professor of IO Psychology. Science Advocate. Cat Lover. Coffee Addict. World Traveler.</t>
  </si>
  <si>
    <t>Team Delightful</t>
  </si>
  <si>
    <t>Lower #stress and achieve a better work-life balance by improving your #productivity at work. Here are 3 easy ways you can be more productive in your day:  via @themotleyfool</t>
  </si>
  <si>
    <t>https://dlghtfl.co/2R3gPMl</t>
  </si>
  <si>
    <t>https://pbs.twimg.com/media/EOgZWoqX4AA2xZT.jpg</t>
  </si>
  <si>
    <t>Seattle</t>
  </si>
  <si>
    <t>We Build Brilliant Brands With Modern Marketing &amp; Digital PR. A Content Marketing, Social Media, Influencer Marketing &amp; Personal Branding Agency from @MelCarson</t>
  </si>
  <si>
    <t>http://www.delightfulcommunications.com</t>
  </si>
  <si>
    <t>Groom+Style</t>
  </si>
  <si>
    <t>Meditation is great for relieving and dealing with stress, and all of the issues that come along with it. But it’s not the only way to get there.  #meditation #stress #issues #stressrelief #destress #newyear #january2020</t>
  </si>
  <si>
    <t>https://www.z-physique.com/cant-meditate-9-ways-break-free-stress/</t>
  </si>
  <si>
    <t>https://pbs.twimg.com/media/EOgZU79WAAISibp.jpg</t>
  </si>
  <si>
    <t>Your go-to site for lifestyle choices and honest reviews.</t>
  </si>
  <si>
    <t>https://groomandstyle.com</t>
  </si>
  <si>
    <t>NavyNavStress</t>
  </si>
  <si>
    <t>Staying hydrated helps keep #stress levels down. Keep a glass of water on your desk at work and next to your bed to build more water consumption into your day.</t>
  </si>
  <si>
    <t>https://pbs.twimg.com/media/EOgY9lGXkAEGJW7.png</t>
  </si>
  <si>
    <t>Washington, DC</t>
  </si>
  <si>
    <t>Official Twitter page of the Navy Operational Stress Control Program. Following, listing and RTs ≠ endorsement.</t>
  </si>
  <si>
    <t>http://navstress.wordpress.com</t>
  </si>
  <si>
    <t>#MLBCheatingScandal @CBD works with your endocannabinoid system, it helps #stress and #strains of strenuous physical activity. Many #athletes report that CBD beneficial during and after training and competitions. learn more , sale @</t>
  </si>
  <si>
    <t>https://pbs.twimg.com/media/EOgY2OBX0AA7Euz.png</t>
  </si>
  <si>
    <t>BEACON.agency</t>
  </si>
  <si>
    <t>http://bit.ly/36YJjwa</t>
  </si>
  <si>
    <t>https://pbs.twimg.com/media/EOgYu-3WkAEvHzI.jpg</t>
  </si>
  <si>
    <t>Houston, TX</t>
  </si>
  <si>
    <t>Innovative #Marketing, #Advertising, and #Technology solutions for #SmallBusiness Info@BeaconAgency.net</t>
  </si>
  <si>
    <t>http://www.BEACON.agency</t>
  </si>
  <si>
    <t>dailywaffle.co.uk</t>
  </si>
  <si>
    <t>How to relieve #stress so you can have a good night’s #sleep  @UKBloggersRT</t>
  </si>
  <si>
    <t>https://buff.ly/35pcc3B</t>
  </si>
  <si>
    <t>https://pbs.twimg.com/media/EOgYDANWoAIDJOb.jpg</t>
  </si>
  <si>
    <t>DW Towers, UK</t>
  </si>
  <si>
    <t>The Daily Waffle is a blogging network with something for everyone. Fashion, Beauty, Health, Technology, Movies, Travel, Book Tours, Sport and more</t>
  </si>
  <si>
    <t>http://www.dailywaffle.co.uk</t>
  </si>
  <si>
    <t>MagnaWave</t>
  </si>
  <si>
    <t>Recovering from surgery is stressful and painful.😨 Find out how MagnaWave can naturally improve your recovery process ➡️ ➡️  #postop #stress #pemf #healing</t>
  </si>
  <si>
    <t>https://buff.ly/302k09Y</t>
  </si>
  <si>
    <t>https://pbs.twimg.com/media/EOgXI6TXUAAbU7A.jpg</t>
  </si>
  <si>
    <t>Traveling US</t>
  </si>
  <si>
    <t>Experience the Wave of Relief with MagnaWave.</t>
  </si>
  <si>
    <t>https://www.magnawavepemf.com/</t>
  </si>
  <si>
    <t>NeuroFlow</t>
  </si>
  <si>
    <t>Happy Friday! #mentalhealth #anxiety #stress #depression #ptsd #psychology #lcsw #therapy #selfcare</t>
  </si>
  <si>
    <t>https://pbs.twimg.com/media/EOgVxTlWsAcHBjr.jpg</t>
  </si>
  <si>
    <t>Promoting behavioral health access and engagement in all care settings to improve outcomes, overall wellness, and cost of care.</t>
  </si>
  <si>
    <t>http://www.neuroflowsolution.com/</t>
  </si>
  <si>
    <t>TAT Energy Healing can make U richer &amp; healthier. Why not try? Manual free &amp;amp; exact steps @  #eft #stress #fear</t>
  </si>
  <si>
    <t>Tera Fulbright</t>
  </si>
  <si>
    <t>Being a leader requires confidence, decisiveness, and quick thinking--none of which are served by overthinking every decision. #leadership #stress</t>
  </si>
  <si>
    <t>https://sprou.tt/1lxwhYjHh7z</t>
  </si>
  <si>
    <t>author, HR type person, con-runner, event planner, mom, wife and the red dragon</t>
  </si>
  <si>
    <t>http://terafulbright.com</t>
  </si>
  <si>
    <t>W.H.Y</t>
  </si>
  <si>
    <t>Life can be beautful and its up to you to make it that way. no one can be you but you. #work #quoteoftheday #counselling #hcsmSA #southafrica #stress #help #anxiety #mindfulness</t>
  </si>
  <si>
    <t>https://pbs.twimg.com/media/EOdcVqUWkAAxSMO.jpg</t>
  </si>
  <si>
    <t>South africa</t>
  </si>
  <si>
    <t>W.H.Y empowers couples and individuals to overcome personal obstacles to improve their relationships.</t>
  </si>
  <si>
    <t>http://www.wehearyou.co.za/</t>
  </si>
  <si>
    <t>"Believe you can and you're halfway there." —T. Roosevelt #aromatherapy #essentialoils #stress #anxiety #insomnia #mood #mind #healing #wellness #airfreshener #health #natural #youngliving #airwick #glade #yankeecandle #wallflower #scentsy #scentplug #febreeze #bathandbodywork</t>
  </si>
  <si>
    <t>https://pbs.twimg.com/media/EOgSLTxWoAwR0yp.jpg</t>
  </si>
  <si>
    <t>Nature's Formulary</t>
  </si>
  <si>
    <t>Hard for u to get some sleep? #Ashwagandha has been known to help with not only #stress &amp; mood, but also can help u sleep, naturally! 👊Give it a try:  -#Vegan -#glutenfree -#AllNatural -#NothingArtificial #FridayFeeling #FridayThoughts #FridayMotivation</t>
  </si>
  <si>
    <t>http://bit.ly/AshNF</t>
  </si>
  <si>
    <t>https://pbs.twimg.com/media/EOgR-GOXUAAvfCm.jpg</t>
  </si>
  <si>
    <t>Malta, NY</t>
  </si>
  <si>
    <t>Nature's Formulary #Ayurvedic Products.🌿Classical Ayurvedic #products made in the #USA. Nothing artificial. (RTs are not endorsements) 800.923.9338</t>
  </si>
  <si>
    <t>http://www.naturesformulary.com</t>
  </si>
  <si>
    <t>Dr. Chanel S. Green</t>
  </si>
  <si>
    <t>Enhance your wellbeing. Book a personal or group Session •Fitness•Motivational Coaching•Mindfulness #ShanaeArts #DrChanelShanae #Leadership #Speaker #Movement #Mindfulness #Wellness #Fitness #Motivate #Empower #Exercise #EmotionalWellbeing #Stress #WomanBoss #SelfCare</t>
  </si>
  <si>
    <t>https://pbs.twimg.com/media/EOgRByEU4AUxtKG.jpg</t>
  </si>
  <si>
    <t>Uniting Dance, Movement &amp; Leadership •Educator•Leadership Coach•Speaker| •Sociology Instr| •Dancer•Instr•Dance Ministry•Fitness Trainer| Owner of Shanae Arts</t>
  </si>
  <si>
    <t>https://linktr.ee/ms.chanel.shanae</t>
  </si>
  <si>
    <t>"If trying to stick to your New Year’s resolution is already causing you unwanted #stress and anxiety, you are not alone."</t>
  </si>
  <si>
    <t>https://www.10tv.com/article/how-anxiety-and-stress-can-derail-new-years-resolutions-2020-jan</t>
  </si>
  <si>
    <t>Her Helping Habit</t>
  </si>
  <si>
    <t>We offer online counselling to women going through the hardships of infertility. There is no need to go through it alone. We are here to guide &amp; support you!  #therapy #stress #womenshealth #infertilitycounselling #infertilityawareness #infertilitysupport</t>
  </si>
  <si>
    <t>https://soo.nr/J74u</t>
  </si>
  <si>
    <t>https://pbs.twimg.com/media/EOgOBeKXsAEQuIB.jpg</t>
  </si>
  <si>
    <t>✨ #Heightening my #Life by #HelpingOthers 🧘🏼 #Holistic #SocialWorker &amp; #Counselor 🤰 #EggDonation #Expert ✈️ #FreeSpirit, #OilObsessed &amp; #ChemicalFree</t>
  </si>
  <si>
    <t>https://shor.by/HHH</t>
  </si>
  <si>
    <t>Caroline Cavanagh</t>
  </si>
  <si>
    <t>Stress is like a dripping tap - it keeps on dripping until just one little drop can lead to a flood! Download your free copy of 30 Ways to Reduce Stress here &gt;&amp;gt;&amp;gt;  #Stress</t>
  </si>
  <si>
    <t>http://ow.ly/mTae30q8jIT</t>
  </si>
  <si>
    <t>https://pbs.twimg.com/media/EOgOEHqXkAUpcGU.jpg</t>
  </si>
  <si>
    <t>Salisbury, England</t>
  </si>
  <si>
    <t>10 ways to reduce exam stress &amp; improve results, designed for teenagers and available NOW for just £27.95. Click the link to buy. #ExamStress</t>
  </si>
  <si>
    <t>http://bit.ly/ExamStressResourcePack</t>
  </si>
  <si>
    <t>MHANorthShore</t>
  </si>
  <si>
    <t>Great suggestions for getting a handle on #stress and supporting your #Mentalhealth #FridayMotivation RT @PsychToday: 5 healthy ways to reduce stress and reclaim your life</t>
  </si>
  <si>
    <t>https://twitter.com/PsychToday/status/1218216662303797248
http://bit.ly/3abC6el</t>
  </si>
  <si>
    <t>Evanston, IL</t>
  </si>
  <si>
    <t>Mental Health America of the North Shore, improves mental health through education and advocacy. This page is not a substitute for professional help.</t>
  </si>
  <si>
    <t>http://www.mhans.org/</t>
  </si>
  <si>
    <t>Anxiety, Depression, Stress. Heal Yourself Natural. Shop Online at  or call us for more information: 1-877-626-4112 #Herbal #Natural #Teas #Health #Remedies #Free #Stress #Vitamins #MensHealth #WomensHealth #wealth</t>
  </si>
  <si>
    <t>http://www.TheHerbalGardens.com
https://shr.link/fnbni</t>
  </si>
  <si>
    <t>Anthony Rhead</t>
  </si>
  <si>
    <t>Mindfulness of healing water, ambience flowing through the veins, waves of kindness, burning surrender, peacefully extinguishing fire born flames.. #natureverse #stress #mentalhealthawareness #sytems #mindfulness #poetrycommunity #poetry #poem #peace #nature #antared1 #pain #sea</t>
  </si>
  <si>
    <t>https://pbs.twimg.com/media/EOgNh59XkAITgsY.jpg</t>
  </si>
  <si>
    <t>Staffordshire, England</t>
  </si>
  <si>
    <t>Ambient Poetry, Sea, Music, Books. Happy single, not looking. Live in Chronic pain/physical disabilities. Contributor: Even in my dreams Vegan poems🌿 Vegan..</t>
  </si>
  <si>
    <t>We Can Survive &amp; Thrive - Paul Hill</t>
  </si>
  <si>
    <t>#mentalhealth #bipolar #positive #mindful #selfcare #depression #PTSD #anxiety #stress #BPD A big #ThankYou to all of you. Very soon I'll be back on track, posting pics, like I do! This episode was caused by weeks of stress that I didn't seek #help for. It hasn't beaten me.</t>
  </si>
  <si>
    <t>https://pbs.twimg.com/media/EOgM-EHWsAIHRgE.jpg</t>
  </si>
  <si>
    <t>Wales, United Kingdom</t>
  </si>
  <si>
    <t>#SURVIVOR of #abuse #trauma #assault and #mentalhealth . #gay Guy 🌈 #dog Lover 🐕 #good Guy 😊. Let's #raise #MentalHealthAwareness. Looking for #friends 😊👍</t>
  </si>
  <si>
    <t>Min Phan</t>
  </si>
  <si>
    <t>Stress baby!!!! 🤯 👉🏻 Full here:  -------- #taeyeon #stress #태연 #TheUNSEENinSeoul</t>
  </si>
  <si>
    <t>https://youtu.be/HLG83FDUjR8</t>
  </si>
  <si>
    <t>pic.twitter.com/6zywEnsMms</t>
  </si>
  <si>
    <t>Seoul, Republic of Korea</t>
  </si>
  <si>
    <t>instagram: min_phan</t>
  </si>
  <si>
    <t>http://youtube.com/c/MingOnFilm</t>
  </si>
  <si>
    <t>I don't know what to do sometimes I want to conquer the world and others I feel like I want to off myself. #suicide #death #meditation #loneliness #bored #stress #anxiety #anxious #stressfull #life #sad #lonely</t>
  </si>
  <si>
    <t>Matthew Hatson</t>
  </si>
  <si>
    <t>Neuvana Xen First Impressions - My Video Review of the Vagus Nerve Stimulator for Stress, Anxiety and Building Resilience  @neuvanalife #stress #vns #vagusnerve #resilience</t>
  </si>
  <si>
    <t>https://youtu.be/0EjSCBfzldE</t>
  </si>
  <si>
    <t>Helping companies and executives defeat #Stress with #Resilience. Lover of #stoicism, #neuroscience, #iemt #MBIT, #HeartMath, #Coaching #HRV, and #Arsenal.</t>
  </si>
  <si>
    <t>http://www.nexus8.co.uk</t>
  </si>
  <si>
    <t>S.J. Scott - Author</t>
  </si>
  <si>
    <t>“Life's beauty is inseparable from its fragility.” - @SusanDavid_PhD  #stress #stressmanagement</t>
  </si>
  <si>
    <t>https://buff.ly/2DeDksA</t>
  </si>
  <si>
    <t>Habit Stacking Author</t>
  </si>
  <si>
    <t>Self improvement author: happiness, habits, self-help, learning, productivity, goal setting, mindfulness. Newest book- Happier Human: https://amzn.to/2VC9XVu</t>
  </si>
  <si>
    <t>http://www.DevelopGoodHabits.com/</t>
  </si>
  <si>
    <t>Barry Lee 🌱</t>
  </si>
  <si>
    <t>Individuals around the world are experiencing the health advantages of CBD. Get your Free Sample pack and find out the effectiveness of CBD hemp oil.  #stress #cannabidiol</t>
  </si>
  <si>
    <t>https://doctorsoncbd.com/buy-cbd-products/free-cbd-samples</t>
  </si>
  <si>
    <t>https://pbs.twimg.com/media/EOgIWegX4AI0rJj.jpg</t>
  </si>
  <si>
    <t>Edmonton, Alberta 🇨🇦</t>
  </si>
  <si>
    <t>CBD Advocate helping people live a better quality life. Learn more about the health benefits of CBD and get your FREE sample pack: http://doctorsoncbd.com</t>
  </si>
  <si>
    <t>https://doctorsoncbd.com/</t>
  </si>
  <si>
    <t>Sri Sri Tattva USA</t>
  </si>
  <si>
    <t>Alternate nostril breathing is known to reduce stress and improve sleep performance. #breathing #stress #sleep #breathing technique #naturalhealth #naturalbeauty #health #healthylife #healthtips #homeremedies #holistichealth #holistic #healthandwellness</t>
  </si>
  <si>
    <t>https://pbs.twimg.com/media/EOgIUEyWoAAr88k.jpg</t>
  </si>
  <si>
    <t>What does ‘Tattva’ mean? ‘Tattva’ in Sanskrit means ‘Essence’/‘Truth’ Tattva represents the nature of our offerings which are pure, holistic and transformative</t>
  </si>
  <si>
    <t>TMS Institute of America</t>
  </si>
  <si>
    <t>Don't let your symptoms rob you of another day. Call our office at 314.736.5999 to schedule your free TMS consultation today. . . . #TMS #depression #anxiety #mentalhealth #mentalhealthawareness #sad #love #ptsd #mentalillness #depressed #selfcare #stress #suicide #recovery</t>
  </si>
  <si>
    <t>https://pbs.twimg.com/media/EOgIQZiWoAQSwII.jpg</t>
  </si>
  <si>
    <t>Creve Coeur, MO</t>
  </si>
  <si>
    <t>We serve greater St. Louis with #TMS Therapy for the treatment of #Depression. TMS offers long-term remission from Treatment Resistant Depression (TRD).</t>
  </si>
  <si>
    <t>http://www.tmshelps.com</t>
  </si>
  <si>
    <t>Nicole Rogers</t>
  </si>
  <si>
    <t>Last year, we wrote an article: "Announcing New Beginners Yoga Page"  #YogaNews #Yoga #BeginnerYoga #Stress</t>
  </si>
  <si>
    <t>https://lttr.ai/MRKf</t>
  </si>
  <si>
    <t>https://pbs.twimg.com/media/EOgHwK7XkAAFnFq.jpg</t>
  </si>
  <si>
    <t>YogaClassesNear.me is connected to the largest searchable directory that shares information on local yoga classes, customers reviews, and location data.</t>
  </si>
  <si>
    <t>http://yogaclassesnear.me</t>
  </si>
  <si>
    <t>Timothy Linsdau</t>
  </si>
  <si>
    <t>What is a Real ID?  #Love #stress #strife #faith #improve #emboldened #confidence #maturity #patience #serenity #positive #leadership #humility #servitude #parenting #Christian #Devotion #Bible #God #Christ #tranquility #Real #ID</t>
  </si>
  <si>
    <t>https://youtu.be/_HwTnS4Iuz0</t>
  </si>
  <si>
    <t>San Diego</t>
  </si>
  <si>
    <t>A San Diego video production company, Timothy Linsdau Productions specializes in documentary production.</t>
  </si>
  <si>
    <t>http://tvlvideo.com</t>
  </si>
  <si>
    <t>Debi Goldben - Reiki, Emotion &amp; Body Code, Tarot</t>
  </si>
  <si>
    <t>#Fibromyalgia often presents after an accident or another traumatic event. This article may shed some light on why.  #ChronicPain #Stress #PTSD #EmotionCode #BodyCode #Reiki</t>
  </si>
  <si>
    <t>https://buff.ly/2QW0EAp</t>
  </si>
  <si>
    <t>https://pbs.twimg.com/media/EOgHlOmWAAQZk67.jpg</t>
  </si>
  <si>
    <t>Ocala, Florida</t>
  </si>
  <si>
    <t>Intuitive &amp; Spiritual Advisor/Coach Guiding people as they reconnect with their inner MAGIC.</t>
  </si>
  <si>
    <t>https://debigoldben.com/</t>
  </si>
  <si>
    <t>Counselling Centre</t>
  </si>
  <si>
    <t>A 4 day course for counsellors who want to improve their work with clients who have experienced trauma. #training #cpd #trauma #stress #Altrincham</t>
  </si>
  <si>
    <t>https://pbs.twimg.com/media/EOgHgMMW4AApcNZ.jpg</t>
  </si>
  <si>
    <t>Greater Manchester, UK</t>
  </si>
  <si>
    <t>For Whatever Life Throws at You. We provide counselling for children, adults, couples and families and training for professional and personal development.</t>
  </si>
  <si>
    <t>http://www.thecfc.org.uk</t>
  </si>
  <si>
    <t>Roots of Action</t>
  </si>
  <si>
    <t>To Manage Stress, #Teachers Need to Prioritize Themselves. Start With #SelfCare.  by @TheConnectedEdu via @EdSurge #edchat #stress</t>
  </si>
  <si>
    <t>http://ow.ly/jGzZ30qag5p</t>
  </si>
  <si>
    <t>Seattle, WA</t>
  </si>
  <si>
    <t>Research-based #parenting and #education blog founded by @DrPriceMitchell #psychology #teens #children</t>
  </si>
  <si>
    <t>http://www.rootsofaction.com</t>
  </si>
  <si>
    <t>CompleteHealthClinic</t>
  </si>
  <si>
    <t>Your Pelvic Floor Has The Power To Help You Reduce Stress &amp; Improve Gut Health - men read as well!  #guthealth #pelvicfloor #yoga #movement #stress</t>
  </si>
  <si>
    <t>https://zurl.co/65wW</t>
  </si>
  <si>
    <t>Cheshire &amp; Manchester</t>
  </si>
  <si>
    <t>#Colonic therapist with a warm positive outlook and sense of humour. Love to talk about my work and listen to my clients. #colonicsqueen</t>
  </si>
  <si>
    <t>http://www.completehealthclinic.co.uk</t>
  </si>
  <si>
    <t>EFT Tapping Tips</t>
  </si>
  <si>
    <t>Stimulating the meridianpoints through #efttapping can reduce the #stress or #negativeemotion you feel from your issue.</t>
  </si>
  <si>
    <t>Tapping Helps</t>
  </si>
  <si>
    <t>http://bit.ly/efttapping1</t>
  </si>
  <si>
    <t>WaitingForTheCall</t>
  </si>
  <si>
    <t>#FridayFeeling I’m convinced that #stress contributed to the start of my #AF symptoms &amp; #HeartFailure @dr_kewalkrishan @pumpinghearts @babycatcheroz @DrAmirKhanGP @savodoc @CarysBarton @KatieMagnet @TheBHF @DrRajivsankar @foziaahmedMD @iamnickevans @BSHeartFailure RT @dr_kewalkrishan: It is important to learn how to manage stress. Try different ways to relax, such as: - Practicing yoga or meditation 🧘🏻‍♀️🧘🏻‍♂️ - Getting regular exercise 🤸🏻‍♀️🤸🏻‍♂️ - Spending time with friends👫🏻👫 - Eat Healthy Food 🥗🥦🥑🍒🍎 #DrKewalKrishan #HeartSpecialist #HealthyHeart #LVAD</t>
  </si>
  <si>
    <t>https://twitter.com/dr_kewalkrishan/status/1218038021515177984</t>
  </si>
  <si>
    <t>https://pbs.twimg.com/media/EOdXHikUcAEY6E5.jpg</t>
  </si>
  <si>
    <t>Julie Bartlett @babycatcheroz is #WaitingForTheCall for a heart transplant since 2016 &amp; since February 2019 on the Urgent List. Advocate for Organ Donation</t>
  </si>
  <si>
    <t>Relationship Therapy Center</t>
  </si>
  <si>
    <t>The greatest weapon against stress is ability to choose one thought over another. ~William James #stress</t>
  </si>
  <si>
    <t>https://pbs.twimg.com/media/EOgE1WAWkAI6QXc.jpg</t>
  </si>
  <si>
    <t>Fair Oaks, CA and Roseville, C</t>
  </si>
  <si>
    <t>Psychotherapist | Counselor | Teacher who helps you to have Success in Life and Love! #therapy #counseling #divorce #parenting</t>
  </si>
  <si>
    <t>https://www.therelationshiptherapycenter.com</t>
  </si>
  <si>
    <t>US ambassador's moustache causes uproar in South Korea If you thought that was odd check out the rants on  #trafficjam #android #ios #free #m25 #m6 #m4 #m62 #m5 #m61 #m65 #stress #roadrage #app #rant</t>
  </si>
  <si>
    <t>https://pbs.twimg.com/media/EOgEyoEWsAAAQOY.jpg</t>
  </si>
  <si>
    <t>Thank you for #follow, enjoy some #Natural plant power #CBD cures #stress #pain #sleep better , helps #PTSD and more . Best Tasting #edibles  #FridayFeeling #FridayMotivation #follobackforfolloback</t>
  </si>
  <si>
    <t>pic.twitter.com/cWmA1KufjQ</t>
  </si>
  <si>
    <t>Barb shadowplay</t>
  </si>
  <si>
    <t>I love this. So much of what we worry about never happens. When you find yourself worrying, stop and ask this. You’ll lower your cortisol levels and be able to think more clearly #stress #anxiety #selfcare</t>
  </si>
  <si>
    <t>https://pbs.twimg.com/media/EOgDtSBXUAES6nC.jpg</t>
  </si>
  <si>
    <t xml:space="preserve">#Manchester Royal Exchange </t>
  </si>
  <si>
    <t>Manchester city centre psychotherapist - a friendly place for fearlessly facing feelings and finding a fresh way forward.</t>
  </si>
  <si>
    <t>http://www.shadowplaycounselling.co.uk</t>
  </si>
  <si>
    <t>NobleBeastDogTrain</t>
  </si>
  <si>
    <t>Ever wonder how #stress effects your dog's ability to #learn? This is a great information brought to you by The Academy of Pet Careers. 𝐏𝐥𝐞𝐚𝐬𝐞 𝐬𝐡𝐚𝐫𝐞 𝐭𝐨 𝐛𝐫𝐢𝐧𝐠 𝐚𝐰𝐚𝐫𝐞𝐧𝐞𝐬𝐬! #DenverDogTrainer #DogTraining #DogObedience</t>
  </si>
  <si>
    <t>https://pbs.twimg.com/media/EOgDsNiX0AIPEtB.jpg</t>
  </si>
  <si>
    <t>Metro Denver Colorado</t>
  </si>
  <si>
    <t>Noble Beast offers fun &amp; effective positive training techniques which build and supports the most positive relationship you could have with your pup!</t>
  </si>
  <si>
    <t>http://www.NobleBeastDogTraining.com</t>
  </si>
  <si>
    <t>TheCuriosityHour</t>
  </si>
  <si>
    <t>Revisit #episode55 where we discuss #heartdisease #parenting and the #anxiety and #stress that comes when the two converge</t>
  </si>
  <si>
    <t>https://soundcloud.com/thecuriosityhourpodcast/s03-e055-erin-burton</t>
  </si>
  <si>
    <t>https://pbs.twimg.com/media/EOgC0jDWsAEWOw2.jpg</t>
  </si>
  <si>
    <t>The Curiosity Hour Podcast is a weekly hour long podcast dedicated to finding out what it means to live with authenticity, courage, vulnerability, and purpose.</t>
  </si>
  <si>
    <t>Flying Start Tuition</t>
  </si>
  <si>
    <t>Smash #11Plus Stress!' Workshop - Saturday 1st February, 9.30am-1.30pm 💪 An exciting new offer for your child to learn tools and techniques that diffuse #stress, #anxiety and other unwanted emotions, giving greater clarity and ease with their #learning, call 07775 683387.</t>
  </si>
  <si>
    <t>https://pbs.twimg.com/media/EOgCwqTW4AY9BXe.jpg</t>
  </si>
  <si>
    <t>Chesham, Buckinghamshire</t>
  </si>
  <si>
    <t>Inspiring children to love learning. Maths and English tutoring from Primary through to GCSE. Tests and Exams prep, inc. Eleven Plus. 01494 772898</t>
  </si>
  <si>
    <t>http://www.flyingstarttuition.co.uk</t>
  </si>
  <si>
    <t>Cancer and Careers</t>
  </si>
  <si>
    <t>Register for our 'Managing Long-Term Stress' webinar on 1/29 to hear advice on how to alleviate workplace #stress to increase your overall well-being! For more info &amp; to register:  #balancingworkandcancer #bethebossovercancer</t>
  </si>
  <si>
    <t>https://cutt.ly/orc46tr</t>
  </si>
  <si>
    <t>https://pbs.twimg.com/media/EOgCu8FX0AI7r1k.jpg</t>
  </si>
  <si>
    <t>Nonprofit that empowers &amp; educates people with cancer to thrive in their workplace. Free programs for patients, survivors, healthcare pros &amp; employers.</t>
  </si>
  <si>
    <t>http://www.cancerandcareers.org</t>
  </si>
  <si>
    <t>Daisy_sone_youngone</t>
  </si>
  <si>
    <t>Why do I find this so hot??? #Taeyeon #Stress RT @sintop_gg: 이 포즈 박제해주세요 #태연 #taeyeon</t>
  </si>
  <si>
    <t>https://twitter.com/sintop_gg/status/1218167227435741184</t>
  </si>
  <si>
    <t>pic.twitter.com/Bv2yaeJiIt</t>
  </si>
  <si>
    <t>Currently in Korea🇰🇷 Why doesn't IG have a Repost button? 🙃</t>
  </si>
  <si>
    <t>Georgetown Market</t>
  </si>
  <si>
    <t>Get your #CBD free samples and coupons from Jennifer with CV Sciences until 2pm today! Chill out &amp; be healthy with +CBD! #free #samples #coupons #stress #anxiety #health #aplacetoshop #supportsmallbusiness</t>
  </si>
  <si>
    <t>https://pbs.twimg.com/media/EOgChMoX4AEvkxE.jpg</t>
  </si>
  <si>
    <t>Indianapolis, IN</t>
  </si>
  <si>
    <t>Best source for organic &amp; allergy-friendly foods, natural supplements plus juice, smoothies, and delicious meals! Family-owned for 42 years. 4375 Georgetown Rd</t>
  </si>
  <si>
    <t>http://www.georgetownmarket.com</t>
  </si>
  <si>
    <t>Thank you for #follow, enjoy some #Natural plant power #CBD cures #stress #pain #sleep better , helps #players with gains, #stress, #pain relief and more . Best Tasting #edibles</t>
  </si>
  <si>
    <t>https://pbs.twimg.com/media/EOgCewbWAAAdJCr.png</t>
  </si>
  <si>
    <t>The Best #Yoga Pose For #Stress Opens Up Your Heart After A Long Day &amp; Here's How It's Done via EliteDaily</t>
  </si>
  <si>
    <t>http://snip.ly/xsg7u</t>
  </si>
  <si>
    <t>https://pbs.twimg.com/media/EOgCGSgWsAAr-IE.jpg</t>
  </si>
  <si>
    <t>Ram Rao</t>
  </si>
  <si>
    <t>https://pbs.twimg.com/media/EOgBtaGXkAASk5w.jpg</t>
  </si>
  <si>
    <t>SalonOasisAndDaySpa</t>
  </si>
  <si>
    <t>Music can help you relax and unwind, but it can also motivate you to do your best work! #Music #Stress #Productivity</t>
  </si>
  <si>
    <t>https://www.fastcompany.com/90275754/this-is-what-kind-of-music-you-should-listen-to-at-work-to-be-more-productive</t>
  </si>
  <si>
    <t>Kansas City, MO</t>
  </si>
  <si>
    <t>An experience for your mind, body and soul. We offer a variety of services for your hair, nails, skin, and body. We're sure you'll be pleased with our service.</t>
  </si>
  <si>
    <t>http://salonoasisanddayspa.com/</t>
  </si>
  <si>
    <t>Bambi Boulangerie</t>
  </si>
  <si>
    <t>I only slept 4 hours last night, which seems to largely be the pattern of the last 2 wks. What's wrong with me? Am I stressing, sad or a combination of both? Why can't I sleep? #sleep #nosleep #sleepdeprivation #stress #sad</t>
  </si>
  <si>
    <t>San Francisco, Cali</t>
  </si>
  <si>
    <t>Francophile &amp; Italophile who's also obsessed with Hawaii, New Orleans and Bali. Wants to move to Bali!!! Follow me on Instagram (@bambibellina).</t>
  </si>
  <si>
    <t>CharlieLittleDeerCampbell</t>
  </si>
  <si>
    <t>Clicking your #pen is quite therapeutic. It may #annoy you neurotypicals, but, for some of us on the #autismspectrum, it helps relieve #stress.</t>
  </si>
  <si>
    <t>That is classified</t>
  </si>
  <si>
    <t>Catholic Christian author, this is my pen name, but you are free to call me Charlie.</t>
  </si>
  <si>
    <t>Claire Mac Donald</t>
  </si>
  <si>
    <t>#Stress &amp; #anxiety have been dubbed silent killers by some doctors. One of the most serious epidemics of our time - affecting young, old, men, women &amp;amp; children; fm all walks of life. Our workshop aims to help you better understand how our bodies respond:</t>
  </si>
  <si>
    <t>http://ow.ly/Uocg50xVgn3</t>
  </si>
  <si>
    <t>https://pbs.twimg.com/media/EOgAVy6WkAEOX4k.png</t>
  </si>
  <si>
    <t>Twickenham, UK</t>
  </si>
  <si>
    <t>The award winning Maris Practice specialises in natural health and wellbeing using complementary therapies for a variety of conditions</t>
  </si>
  <si>
    <t>http://www.themarispractice.com/</t>
  </si>
  <si>
    <t>Check out my #Stress and #Anxiety #Board on #Pinterest! #pins #checkitout #Friday #Friyay #comfort #fears #relaxation #community #support #SharingIsCaring #specialneeds #autism #awesomism</t>
  </si>
  <si>
    <t>https://pin.it/vlv6vmjw3vex76</t>
  </si>
  <si>
    <t>CSU COAST</t>
  </si>
  <si>
    <t>"The yawns of #sealions increase in frequency immediately after situations of social conflict among themselves." #marinelife #ocean #anxiety #stress</t>
  </si>
  <si>
    <t>https://phys.org/news/2020-01-sea-lions-due-anxiety.html</t>
  </si>
  <si>
    <t xml:space="preserve">California </t>
  </si>
  <si>
    <t>Get the latest marine and coastal news and info relevant to students-special funding opportunities and awards, internships, jobs, etc.!</t>
  </si>
  <si>
    <t>http://www.calstate.edu/coast</t>
  </si>
  <si>
    <t>Countplus Accounting</t>
  </si>
  <si>
    <t>Don't settle for stressful days and busy nights. Figure out the work-life balance this year with the help of this post from @TheSelfEmployed  #business #entrepreneur #stress #WorkLifeBalance</t>
  </si>
  <si>
    <t>https://buff.ly/37GHJPI</t>
  </si>
  <si>
    <t>https://pbs.twimg.com/media/EOf_yibX4AEtZaT.jpg</t>
  </si>
  <si>
    <t>Ragan House, 674 Knutsford Rd, 
Warrington, Cheshire, WA4 1JH</t>
  </si>
  <si>
    <t>Countplus is an accountancy firm offering a range of services which cover all areas of business #tax &amp; accounting for #SME &amp; #soletrader businesses.</t>
  </si>
  <si>
    <t>https://www.countplus.co.uk/</t>
  </si>
  <si>
    <t>Lucy Gilroy</t>
  </si>
  <si>
    <t>#hypnotherapy helps to #relax you and to reduce #stress so you can improve your #mind and #body. @ Royal Society of Medicine</t>
  </si>
  <si>
    <t>https://www.instagram.com/p/B7bdtjvnR7d/?igshid=1p9gz2t2isa1r</t>
  </si>
  <si>
    <t>Oxfordshire</t>
  </si>
  <si>
    <t>Hypnotherapist/Psychotherapist. Founder of The Childrey Practice: Specialist nurse.</t>
  </si>
  <si>
    <t>http://www.thechildreypractice.co.uk</t>
  </si>
  <si>
    <t>More motivation straight to your inbox by joining our mailing list 😎 Clickity click click!  #happy #mentalhealth #stress #anxiety #motivationalspeaker #tla #tlamindset #CBT #sportspsychology #psychologyfacts #mindsetcoaching #performancecoach</t>
  </si>
  <si>
    <t>https://buff.ly/2NCMSAX</t>
  </si>
  <si>
    <t>https://pbs.twimg.com/media/EOf_joAX0AEJDvd.jpg</t>
  </si>
  <si>
    <t>ArtesianNaturalFoods</t>
  </si>
  <si>
    <t>Keep your eyes out for our new commercial... what do you guys think? Let us know when you see it! #commercial #lincolncentershops #energy #sleep #stress #discounts #lcfinds @ Artesian Natural Foods</t>
  </si>
  <si>
    <t>https://www.instagram.com/p/B7bc8nvlGTT/?igshid=17nzibrdqci0k</t>
  </si>
  <si>
    <t>Stockton, CA</t>
  </si>
  <si>
    <t>Keep up-to-date on new products, events, giveaways, healthy recipes &amp; more! Visit us on Facebook (ArtesianNaturalFoods), &amp; Instagram, too (@artesiannatural)</t>
  </si>
  <si>
    <t>http://www.artesiannaturalfoods.com</t>
  </si>
  <si>
    <t>Dr. Romie Mushtaq MD</t>
  </si>
  <si>
    <t>Do you find yourself not able to find your personality until you have an EXTRA LARGE cup of coffee in the morning? You may have a #busybrain #coffeeaddict #DrRomie #anxiety #insomnia #troublefocusing #adhd #busylives #stressedout #stress #mindfulness #MD</t>
  </si>
  <si>
    <t>https://youtu.be/uRT5dMO4oFw</t>
  </si>
  <si>
    <t>https://pbs.twimg.com/media/EOf_V2TX0AYO3To.jpg</t>
  </si>
  <si>
    <t>Orlando, FL</t>
  </si>
  <si>
    <t>Neurology, Integrative Medicine &amp; #mindfulness ✨ Workplace Brain/Mental Health ✨ Speaker✨ Wellness Evolved Podcast✨Chief Wellness Officer, Evolution Hospitality</t>
  </si>
  <si>
    <t>http://DrRomie.com</t>
  </si>
  <si>
    <t>Lacey Croft</t>
  </si>
  <si>
    <t>Battling burnout in animation  #canlab #stress #1u</t>
  </si>
  <si>
    <t>https://now.uz/2NCcFZF</t>
  </si>
  <si>
    <t>PhD candidate studying workers’ mental and emotional labour during job loss. Labour Studies instructor. Yoga teacher. Tweets about work &amp; mental health.</t>
  </si>
  <si>
    <t>Bodet UK</t>
  </si>
  <si>
    <t>C-suite staff require more support with stress. Deadlines, heavy workloads, traffic-heavy commutes, poor management, expensive lunches and time-consuming meetings all contribute to C-suite #stress. Read more in @hrmagazine  #HR #wellbeing</t>
  </si>
  <si>
    <t>http://ow.ly/j12250xXWEj</t>
  </si>
  <si>
    <t>https://pbs.twimg.com/media/EOf81QOXsAAid3S.jpg</t>
  </si>
  <si>
    <t>Hemel Hempstead</t>
  </si>
  <si>
    <t>Time and Attendance solutions. School Class Change systems. Lockdown systems. Synchronised Clocks. Industrial Bell systems. Sports Scoreboards. Access Control</t>
  </si>
  <si>
    <t>http://www.bodet.co.uk</t>
  </si>
  <si>
    <t>#Hypnotherapy can help to reduce #stress. ⁦@lucygilroyTCP⁩ feel the #cortisol &amp; #relax</t>
  </si>
  <si>
    <t>https://www.facebook.com/428558810623455/posts/1950172031795451?sfns=mo</t>
  </si>
  <si>
    <t>Hot-NewTech</t>
  </si>
  <si>
    <t>This is not your ordinary bracelet. The @bellabeat Leaf Urban helps you track #activity, #sleep, #stress, #meditation, and even reproductive health. Wear it as a necklace, bracelet, or clip for a stylish way to stay connected to your health. #healthy #health #fitspo #wellness</t>
  </si>
  <si>
    <t>https://pbs.twimg.com/media/EOf7BCQWAAEqJYX.jpg</t>
  </si>
  <si>
    <t>We bring you the HOTTEST NEW crowdfunding technology before it hits the market at amazing discounts.</t>
  </si>
  <si>
    <t>http://www.hot-newtech.com</t>
  </si>
  <si>
    <t>Amanda Dudman</t>
  </si>
  <si>
    <t>Found this model on the #stressresponse a bell curve I guess. Useful as a quick means to self assess your own #stress level and where the optimum is. Not all stress is bad.</t>
  </si>
  <si>
    <t>https://pbs.twimg.com/media/EOf6mKtX0AAx5l3.jpg</t>
  </si>
  <si>
    <t>Based in Buckinghamshire, UK</t>
  </si>
  <si>
    <t>Coach, writer, traveller, speaker, OD consultant, trainer, mentor, facilitator, do-er.</t>
  </si>
  <si>
    <t>http://www.amandadudman.co.uk</t>
  </si>
  <si>
    <t>Kayla J.W. Marnach</t>
  </si>
  <si>
    <t>Great idea for #stress free #sleep and #relaxation.</t>
  </si>
  <si>
    <t>http://bit.ly/2GAmz9y</t>
  </si>
  <si>
    <t>Austin, TX</t>
  </si>
  <si>
    <t>Empower children, educate adults/ author/parenting tips/Can-Do Kids books provide stress-free way to start the hardest of conversations #Parenting #children</t>
  </si>
  <si>
    <t>http://www.kaylajwmarnach.com</t>
  </si>
  <si>
    <t>Shoshana Shea, Ph.D.</t>
  </si>
  <si>
    <t>For more on how we can have big, bold, beautiful lives even with #stress, #anxiety, and scars, check out @OTC_Psych feat Dr. @jill_stoddard. #bemighty #ACT #mindfulness</t>
  </si>
  <si>
    <t>http://ow.ly/1ewd50xUIGN</t>
  </si>
  <si>
    <t>https://pbs.twimg.com/media/EOf6jIeWkAAJ4RC.jpg</t>
  </si>
  <si>
    <t>San Diego, CA</t>
  </si>
  <si>
    <t>Mindfulness, ACT &amp; CBT for life transitions, anxiety, stress, addiction, career &amp; relationship challenges.</t>
  </si>
  <si>
    <t>http://shoshanashea.com/</t>
  </si>
  <si>
    <t>How do you deal with chronic stress? I took medication but it is less and less effective. Do you do meditation? #stress #anxiety #anxious #stressfull #life #sad #lonely #loneliness #suicide #death #meditation</t>
  </si>
  <si>
    <t>Hillside</t>
  </si>
  <si>
    <t>Coloring mandalas can be an excellent #meditation technique for relieving #stress and #anxiety. Check out how you can practice this with your children here:  #MentalHealthMatters</t>
  </si>
  <si>
    <t>https://buff.ly/2VVVmUX</t>
  </si>
  <si>
    <t>https://pbs.twimg.com/media/EOf6JJEWsAEZW27.jpg</t>
  </si>
  <si>
    <t>One of Atlanta's oldest nonprofits (est. 1888) offering treatment services for children ages 7-21 with severe emotional, psychological &amp; behavioral challenges.</t>
  </si>
  <si>
    <t>http://hside.org</t>
  </si>
  <si>
    <t>REACHMarionCo</t>
  </si>
  <si>
    <t>We wanted to #share the @womenshealth post! #2020WillBeTheYearFor…..being a healthier you! If you are looking for tips to be a more mindful you &amp; better manage #stress and #anxiety, we’ve got what you need here" Link:</t>
  </si>
  <si>
    <t>https://go.usa.gov/xpFkt</t>
  </si>
  <si>
    <t>https://pbs.twimg.com/media/EOf6ES5WsAAPvta.jpg</t>
  </si>
  <si>
    <t>The CDC awarded the Marion County Public Health Department funding to create a network of strategies to address high chronic disease rates in Marion County.</t>
  </si>
  <si>
    <t>Dale Sellers</t>
  </si>
  <si>
    <t>All #work &amp; no #play can make life no #fun. Seek #help from others. If you’re working too hard, try to remove the #stress by taking small breaks whenever you can. With #patience &amp;amp; resolve, you’ll be able to bring #balance into your life again! #abundance</t>
  </si>
  <si>
    <t>http://dalesellers.com</t>
  </si>
  <si>
    <t>https://pbs.twimg.com/media/EOf5_5kX4AA8LCg.jpg</t>
  </si>
  <si>
    <t>Oakville ON CA</t>
  </si>
  <si>
    <t>💫 Dale Sellers Intuitive Solutions | ✨Psychic Medium🌟Spiritual Advisor✨Paranormal Investigator &amp; more! #psychic #medium #speaker #intuition #paranormal #tarot</t>
  </si>
  <si>
    <t>DiPiero Simmons McGinley &amp; Bastress, PLLC</t>
  </si>
  <si>
    <t>Can I File a #Lawsuit Against an Employer for Stress and Anxiety? High levels of stress and anxiety on the job are not healthy and can lead to serious complications. Do you have legal recourse? Read on:  #WV #stress #anxiety #lawyer</t>
  </si>
  <si>
    <t>http://ow.ly/Q4KS50xRtfq</t>
  </si>
  <si>
    <t>Charleston, West Virginia</t>
  </si>
  <si>
    <t>DiPiero Simmons McGinley &amp; Bastress, PLLC are experienced #Charleston, WV #attorneys dedicated to getting justice for their clients.</t>
  </si>
  <si>
    <t>http://www.dbdlawfirm.com/</t>
  </si>
  <si>
    <t>Yoga Classes Near ME</t>
  </si>
  <si>
    <t>Last year, we wrote an article: "Announcing New Beginners Yoga Page"  #BeginnerYoga #Stress #Yoga #YogaNews</t>
  </si>
  <si>
    <t>https://lttr.ai/MQ4b</t>
  </si>
  <si>
    <t>https://pbs.twimg.com/media/EOf5t9nXsAELpUi.jpg</t>
  </si>
  <si>
    <t>How to Get and Stay Motivated All Year Long | Psychology Today  #mentalhealth #wellness #selfhelp #selfcare #therapy #anxiety #depression #stress #worry #burnout</t>
  </si>
  <si>
    <t>https://www.psychologytoday.com/us/blog/mental-health-in-the-workplace/202001/how-get-and-stay-motivated-all-year-long</t>
  </si>
  <si>
    <t>Dr. Gregory Jantz</t>
  </si>
  <si>
    <t>Here is the book that is helping people all across the country to reduce and manage #stress.  #mentalhealth</t>
  </si>
  <si>
    <t>http://ow.ly/d19A306sDja</t>
  </si>
  <si>
    <t>Seattle, Washington</t>
  </si>
  <si>
    <t>Founder of The Center • A Place of HOPE, Husband, Father, Author, Radio Host, International Speaker of Hope!</t>
  </si>
  <si>
    <t>http://www.APlaceofHope.com</t>
  </si>
  <si>
    <t>Caity</t>
  </si>
  <si>
    <t>MCLV Guide to Coping with Stress //  // #Stress #Relax #Meditation</t>
  </si>
  <si>
    <t>https://bit.ly/30EbhKx</t>
  </si>
  <si>
    <t>https://pbs.twimg.com/media/EOf5Y4oU8AA1Fsr.jpg</t>
  </si>
  <si>
    <t>San Francisco</t>
  </si>
  <si>
    <t>Writer. Fashion Lover. Gym Rat. Plant-Based, Gluten-Free Foodie. Blogger. Health Enthusiast. 👻 moicontrelavie</t>
  </si>
  <si>
    <t>http://moicontrelavie.com/</t>
  </si>
  <si>
    <t>Jeannie Burlowski</t>
  </si>
  <si>
    <t>More and more, #college #students are turning to PAPER #planners to plan out high achievement days and reduce #stress. Here—a helpful tutorial on how to use the paper #planner I most recommend (and use myself).</t>
  </si>
  <si>
    <t>http://bit.ly/2QVBctI</t>
  </si>
  <si>
    <t xml:space="preserve">Minneapolis, Minnesota </t>
  </si>
  <si>
    <t>Academic strategist, speaker, author of LAUNCH: How to Get Your Kids Through College Debt-Free and Into Jobs They Love Afterward (available at http://bit.ly/burlowski)</t>
  </si>
  <si>
    <t>http://jeannieburlowski.com</t>
  </si>
  <si>
    <t>OC Urology Assoc.</t>
  </si>
  <si>
    <t>Stop letting life pass you by. See the advantages for #stress urinary incontinence surgery.</t>
  </si>
  <si>
    <t>http://ow.ly/MYep30pZIEt</t>
  </si>
  <si>
    <t>When you want compassionate, patient-focused urology care with close attention to your special needs, your first choice should be Orange County Urology Assoc.</t>
  </si>
  <si>
    <t>http://www.Orangecountyurology.com</t>
  </si>
  <si>
    <t>“How to overcome workplace #stress with mindfulness meditation”  meditation #health #wellness</t>
  </si>
  <si>
    <t>https://mindfulnessmeditationinstitute.org/product/mindfulness-in-the-workplace-pdf/</t>
  </si>
  <si>
    <t>Trumperick du Jour</t>
  </si>
  <si>
    <t>"Look, I Paid for the Procedure, or Said I Would, Which Amounts to the Same Thing" #FridayFeeling #stress #poetry @realDonaldTrump @GOP</t>
  </si>
  <si>
    <t>https://pbs.twimg.com/media/EOf2Wj6WkAIcOPV.jpg</t>
  </si>
  <si>
    <t>Minneapolis</t>
  </si>
  <si>
    <t>A daily Trump limerick. Iowa Writers Workshop grad, former Minnesota Monthly editor. http://www.trumperickdujour.com. My profile pic is a gallstone, as is my soul.</t>
  </si>
  <si>
    <t>http://www.trumperickdujour.com</t>
  </si>
  <si>
    <t>@rayfreemanpsychotherapy</t>
  </si>
  <si>
    <t>True! #Repost anxietybees with @get_repost ・・・ Always make sure to recharge!! ©️ _itsahappyworld_ ✿ ❀ ❁ #anxiety #depression #ocd #adhd #bipolar #socialanxiety #stress #mentalhealth #mentalillness #anorexia #sad…</t>
  </si>
  <si>
    <t>https://www.instagram.com/p/B7bYw4IAMdK/?igshid=rjd3so6j3d3s</t>
  </si>
  <si>
    <t>Experienced psychotherapist &amp; hypnotherapist, trainer and writer...Director of the NATIONAL COUNCIL OF PSYCHOTHERAPISTS.</t>
  </si>
  <si>
    <t>Mind Tree Solutions</t>
  </si>
  <si>
    <t>Why decluttering is good for your mental health inthemomentmag  #mentalhealth #declutter #stress</t>
  </si>
  <si>
    <t>https://www.calmmoment.com/living/why-decluttering-is-good-for-your-mental-health/</t>
  </si>
  <si>
    <t>Bedfordshire and Milton Keynes</t>
  </si>
  <si>
    <t>Life is tough and change happens 😰. I share the tools that support wellbeing, mental health recovery and personal growth. 🇬🇧 🙏🏼☕️ Sharing is caring.</t>
  </si>
  <si>
    <t>HICCUPS! HOW TO GET RID OF HICCUPS INSTANTLY AT HOME?  #tagfire #health #lifestyle #life #LOL #addiction #love #stress #nakedfun #style #loveyourself #smile #picoftheday #food #followme #swag #cool #fun #hot #funny #igaddict #follobackforfolloback</t>
  </si>
  <si>
    <t>https://healthyfit07.blogspot.com/2018/03/hiccups-causes-and-treatment.html</t>
  </si>
  <si>
    <t>https://pbs.twimg.com/media/EOf0z__WsAcZnAd.jpg</t>
  </si>
  <si>
    <t>Scott Miller</t>
  </si>
  <si>
    <t>#Stress is probably one of the least talked about, most threatening issue in society. We should all find a way to battle it. How do you deal with the “S” word? #work #creative #creativity #health</t>
  </si>
  <si>
    <t>https://lnkd.in/eq-MQSU</t>
  </si>
  <si>
    <t>Baltimore, MD</t>
  </si>
  <si>
    <t>Real Estate | Sports Dork | Foodie | Marketer | MBA | MS Johns Hopkins | Novice Developer</t>
  </si>
  <si>
    <t>http://www.highpowerrealty.com</t>
  </si>
  <si>
    <t>Elio Struyf</t>
  </si>
  <si>
    <t>A bit of screaming to start the weekend and release some of my frustrations 😱  Which song helps you to relieve you from #stress / #struggles / #frustrations? #SongsToHelpYouOut #MusicAddicted</t>
  </si>
  <si>
    <t>https://elst.es/3ajrnyr</t>
  </si>
  <si>
    <t>Belgium</t>
  </si>
  <si>
    <t>Office Development MVP ⌨️ | 🎤 Speaker | PnP | SP | SPFx | ☁️ Azure ⚡ | ✒️ Blogger - http://eliostruyf.com | BIWUG board member - http://biwug.be | ❤️ Stickers | 🌹 | #Lego</t>
  </si>
  <si>
    <t>http://www.eliostruyf.com</t>
  </si>
  <si>
    <t>Dr. Carla Marie Manly</t>
  </si>
  <si>
    <t>FEELING STRESSED AND BURNT OUT? PARENTS--AND MOMS--THESE TIPS ARE JUST WHAT YOU NEED!  @jennsinrich @parentsmagazine @familiustalk #stress #burnout #selflove #BURNOUTSYNDROMES #selfcare #anxiety</t>
  </si>
  <si>
    <t>https://www.parents.com/parenting/moms/healthy-mom/the-burnout-epidemic-is-disproportionately-affecting-women-heres-what-moms-can-do/</t>
  </si>
  <si>
    <t>Sonoma County, CA</t>
  </si>
  <si>
    <t>Lover of Joy and Freedom. Wildly Passionate about Love and Life. Clinical Psychologist. Author. Advocate. My views are my own--yet informed by many....</t>
  </si>
  <si>
    <t>http://www.drcarlamanly.com</t>
  </si>
  <si>
    <t>Catherine Mackay</t>
  </si>
  <si>
    <t>Work #Stress: employers' duty to assess risk  Stress claims currently limited in #UK by 'Hatton v Sutherland' 2002 decision stress harm risk must be reasonably foreseeable. This strict test likely to come under more fire in the future.@DACBeachcroft @CNpl🧠</t>
  </si>
  <si>
    <t>https://www.constructionnews.co.uk/agenda/opinion/employers-have-a-duty-to-assess-the-risk-of-stress-17-01-2020/</t>
  </si>
  <si>
    <t>https://pbs.twimg.com/media/EOfxPflX0AIiC39.jpg</t>
  </si>
  <si>
    <t>Scotland /USA/Global</t>
  </si>
  <si>
    <t>#Health at #Work / Aspirant #Leader / Ethical #Technology / #Brain #Health / #PsychologicalSafety / #Climate Change / #Social Media / Horizon Scanner🕷️🌍🧠</t>
  </si>
  <si>
    <t>https://www.linkedin.com/in/catherine-mackay-4a3b5449</t>
  </si>
  <si>
    <t>Lose Yourself in #Nature … Let Nature Absorb Your #Stress! #flowers #garden</t>
  </si>
  <si>
    <t>http://itsgardeningtime.com/?p=8736&amp;utm_source=ReviveOldPost&amp;utm_medium=social&amp;utm_campaign=ReviveOldPost</t>
  </si>
  <si>
    <t>Tom Seaman</t>
  </si>
  <si>
    <t>Pain Tools, Physical and Emotion Pain Articles, Trivia -  #pain #chronicpain #stress #stressmanagement #dystonia #parkinsons #fibromyalgia #neurology</t>
  </si>
  <si>
    <t>https://mailchi.mp/aadccaf0044a/pain-tools-physical-and-emotion-pain-articles-trivia</t>
  </si>
  <si>
    <t>https://pbs.twimg.com/media/EOfvI6OXUAETFks.jpg</t>
  </si>
  <si>
    <t>Professional life coach and author of the book Diagnosis Dystonia: Navigating the Journey. Chronic pain and dystonia awareness advocate, speaker, and blogger.</t>
  </si>
  <si>
    <t>http://www.tomseamancoaching.com</t>
  </si>
  <si>
    <t>Arnaud Vanderroost</t>
  </si>
  <si>
    <t>9 Reasons Why CyberSecurity Stress Is an Industry Epidemic  #Security #CyberSecurity #stress #jobpressure #ciso</t>
  </si>
  <si>
    <t>https://securityintelligence.com/articles/9-reasons-why-cybersecurity-stress-is-an-industry-epidemic/</t>
  </si>
  <si>
    <t>Brussels, Belgique 🇧🇪🇪🇺</t>
  </si>
  <si>
    <t>There are 10 types of people in the world: those who understand binary, and those who don't #CyberSecurity #PKI #IoT #AI #PSD2 #TLS All opinions are my own</t>
  </si>
  <si>
    <t>http://www.linkedin.com/in/avdrst</t>
  </si>
  <si>
    <t>Tiemen Slingerland</t>
  </si>
  <si>
    <t>A couple of times a year I get really bad #skin. Don’t know exactly why, might be #stress related, or because I don’t get enough proper sleep or sunlight. And because I’m a bit neurotic I start scratching my face until it’s a bloody mess. (1/9)</t>
  </si>
  <si>
    <t>Leeuwarden, NL</t>
  </si>
  <si>
    <t>gardener | driver | chef | Italophile | introvert | multipotentialite | unreal poet</t>
  </si>
  <si>
    <t>http://www.flickr.com/photos/crack_shot/collections/</t>
  </si>
  <si>
    <t>Versus</t>
  </si>
  <si>
    <t>No worries! Versus users spent nearly 4,600 hours learning to #relax with the #stress exercises in 2019. #getversus</t>
  </si>
  <si>
    <t>https://pbs.twimg.com/media/EOft2SvU4AUtJzJ.jpg</t>
  </si>
  <si>
    <t>Improve focus and reduce stress with Versus, a mobile EEG headset and iOS app allowing for quality brain exercise and data tracking. #lifebrainpowered</t>
  </si>
  <si>
    <t>https://getversus.com</t>
  </si>
  <si>
    <t>Maria Gaian</t>
  </si>
  <si>
    <t>A slightly more technical article about the link between #stress, #depression &amp; cardiovascular disease. It's VITAL that we learn to manage our stress levels with #meditation, #mindfulness, etc With depression, just a little stress stymies blood vessels</t>
  </si>
  <si>
    <t>http://bit.ly/2VxPxSg</t>
  </si>
  <si>
    <t>https://pbs.twimg.com/media/EOftTxYVAAIqiXW.jpg</t>
  </si>
  <si>
    <t>Alicante, Spain</t>
  </si>
  <si>
    <t>Gaian Therapist specialising in mental health. I run wild, magickal, healing retreats in Spain. 🌈🌻 Herbalism posts over @magiadehierbas</t>
  </si>
  <si>
    <t>https://www.mariagaian.com</t>
  </si>
  <si>
    <t>A massive genetic study in nearly 200,000 veterans with anxiety is providing new insights into how and why people may be predisposed to anxiety issues. #anxiety #ptsd #stress #mindfulness #changingbrainhealth #mentalhealth #psychology #depression</t>
  </si>
  <si>
    <t>https://hubs.ly/H0myxwC0</t>
  </si>
  <si>
    <t>APAHelpCenter</t>
  </si>
  <si>
    <t>Social Support Can Lead To Full Recovery Of Anxiety, Study Finds @mindbodygreen  #anxiety #stress #mentalhealth</t>
  </si>
  <si>
    <t>https://www.mindbodygreen.com/articles/social-support-can-lead-to-full-recovery-of-anxiety-study-finds</t>
  </si>
  <si>
    <t>Tips, news and talk about stress, mind-body health, behaviors and emotional well-being from the American Psychological Association.</t>
  </si>
  <si>
    <t>http://www.apa.org/helpcenter</t>
  </si>
  <si>
    <t>itsettled</t>
  </si>
  <si>
    <t>Got an unpaid invoice past its due date then it's already late? Time to spur them in to action! #itsettled gives you insight on the best ways to make contact with your customer NOW! Make #cashflow #stress a thing of the past. Get</t>
  </si>
  <si>
    <t>http://itsettled.co.uk</t>
  </si>
  <si>
    <t>https://pbs.twimg.com/media/EOfr1vNXkAEFGVR.jpg</t>
  </si>
  <si>
    <t>itsettled from Credebt uses a proven 12 step process to help get you paid on time, every time!</t>
  </si>
  <si>
    <t>coumcollege</t>
  </si>
  <si>
    <t>STRESS AND PRODUCTIVITY IN THE WORKPLACE | A 5 WEEK ONLINE COURSE | #Bullying, deadlines, &amp; group dynamics can create a situation where men become stressed &amp;amp; resentful about the fact that they have to work:  #work #workplace #stress #menshealth #job #career</t>
  </si>
  <si>
    <t>https://buff.ly/2zMcEh7</t>
  </si>
  <si>
    <t>https://pbs.twimg.com/media/EOfrsWiXkAArv_t.jpg</t>
  </si>
  <si>
    <t>http://www.coum.org</t>
  </si>
  <si>
    <t>Today is International Day of Education and we here would like to say thank you to all the teachers that make the world brighter by spreading education to the next generation. #work #quoteoftheday #counselling #hcsmSA #southafrica #stress #help #anxiety #mindfulness</t>
  </si>
  <si>
    <t>https://pbs.twimg.com/media/EOdbHIgW4AArkMX.jpg</t>
  </si>
  <si>
    <t>Clare Davis</t>
  </si>
  <si>
    <t>Managing #Stress and #MentalHealth in #Recruitment - Clare Davis with @RecruitingGym This one day course in #Bristol is designed to help leaders to take preventative measures to lead a team of recruiters to be more resilient and hit their targets.</t>
  </si>
  <si>
    <t>http://ow.ly/Uik450xUsa8</t>
  </si>
  <si>
    <t>Bristol, Bath &amp; South West, England</t>
  </si>
  <si>
    <t>My passion is to help middle managers to support their teams when they have mental health concerns and communication blocks. #MentalHealth #MiddleManagers</t>
  </si>
  <si>
    <t>http://novaassociates.co.uk</t>
  </si>
  <si>
    <t>McGraw-Hill Students</t>
  </si>
  <si>
    <t>Does balancing school and work cause you stress? Here are 5 ways to easily control your stress!  #CollegeStudent #Stress</t>
  </si>
  <si>
    <t>https://www.mheducation.com/highered/ideas/student-content-update/how-to-manage-stress</t>
  </si>
  <si>
    <t>Join our community of McGraw-Hill Higher Ed Students!</t>
  </si>
  <si>
    <t>http://shop.mheducation.com/ideas.html</t>
  </si>
  <si>
    <t>The Smoggy Thorpes</t>
  </si>
  <si>
    <t>What a week of #stress &amp; #illness we've had! Thank goodness it's Friday, I can feel a whisky or two coming on in preparation for #BurnsNight, sadly I'm the desi drive next week @thewaspsnestst1 😢 #sadface</t>
  </si>
  <si>
    <t>The Jewish Board</t>
  </si>
  <si>
    <t>"Online [or #internet] addiction can lead to #anxiety, #depression, #ADHD, #stress, #obesity, and the inability to interact in the real world[…] it can also have a negative impact on your #selfesteem." Learn the difference between habit and an #addiction:</t>
  </si>
  <si>
    <t>https://www.myjewishlearning.com/here-now/are-you-addicted-to-the-internet-what-you-need-to-know-about-online-addictions/</t>
  </si>
  <si>
    <t>New York's largest mental health and social services agency. Working to help New York's most vulnerable citizens.</t>
  </si>
  <si>
    <t>http://jewishboard.org</t>
  </si>
  <si>
    <t>ajayrara</t>
  </si>
  <si>
    <t>#stress : the fastest growing universal #religion ever ...will cross n land on #moon n #Mars surface also ...#weekendvibes</t>
  </si>
  <si>
    <t>In search of my inner self...Professional Astro-consultant-Occult - Energy Chakral Healer...</t>
  </si>
  <si>
    <t>Dartmouth Foundations</t>
  </si>
  <si>
    <t>#DartmouthFoundations Taking photos improves mental health The Connection Between #Art, #Healing, #PublicHealth: Immersing in a creative pursuit proven to lower #stress, #anxiety, improves sleep, elevates mood, reduces diseases.</t>
  </si>
  <si>
    <t>https://www.canva.com/learn/photography-as-therapy/</t>
  </si>
  <si>
    <t>Hanover, NH</t>
  </si>
  <si>
    <t>#DartmouthFoundations for Future Leaders in Health and Health Care interested in working as a clinician, researcher, policy analyst, healthcare consultant, etc.</t>
  </si>
  <si>
    <t>https://tdi.dartmouth.edu/education/professional-education/healthcare-foundations/overview</t>
  </si>
  <si>
    <t>LCP</t>
  </si>
  <si>
    <t>#DYK? “The act of creation can reduce #stress and #anxiety and improve your mood.” Check out these tips for making #art and improving your #MentalHealth!</t>
  </si>
  <si>
    <t>https://n.pr/2smLN8H</t>
  </si>
  <si>
    <t>New Orleans, Louisiana</t>
  </si>
  <si>
    <t>We are Cancer Prevention and Control in Louisiana!</t>
  </si>
  <si>
    <t>http://louisianacancer.org</t>
  </si>
  <si>
    <t>TayganC2C</t>
  </si>
  <si>
    <t>Something to keep up that #fitnessmotivation and relieve some #stress! Happy to say this helps me massively! 💪☀️ RT @bn1magazine: How is the new year fitness routine going? Have you stuck to your early morning gym routine? BN1 magazine has come up with some tips to help you keep that #NewYearNewMe promise to yourself. #FitnessMotivation To read the full guide, head to &gt;&amp;gt;</t>
  </si>
  <si>
    <t>https://twitter.com/bn1magazine/status/1218194264833822720
http://bit.ly/2tDFBt6</t>
  </si>
  <si>
    <t>https://pbs.twimg.com/media/ENxKgtdW4AAWwre.jpg</t>
  </si>
  <si>
    <t>[ Front of House and Investments Team Member ] @ Coast to Capital, Local Enterprise Partnership 🐝 BEE Happy 🐝 (These views are my own)</t>
  </si>
  <si>
    <t>Dennis Wardzala</t>
  </si>
  <si>
    <t>Trapped. Aaand the last styleframe from last year that didn’t make it to the www. . . #stress #illustration #business #goals #newme #family #worklifebalance #drawing #quickanddirty #sketch #sketchbook #sketching…</t>
  </si>
  <si>
    <t>https://www.instagram.com/p/B7bRZc1I5-m/?igshid=1uc292m0y3htp</t>
  </si>
  <si>
    <t>Chicago</t>
  </si>
  <si>
    <t>design student // illustrator // dreamer // optimist // home base: darmstadt instagram: denward</t>
  </si>
  <si>
    <t>http://denward.de</t>
  </si>
  <si>
    <t>William Chen, PhD</t>
  </si>
  <si>
    <t>Genes, #Stress, and Behavior - Is Your Child an Orchid or a Dandelion?  #parenting #psychology</t>
  </si>
  <si>
    <t>http://bit.ly/1N3JBAQ</t>
  </si>
  <si>
    <t>Oshawa - Ontario - Canada</t>
  </si>
  <si>
    <t>Husband, father, psychotherapist in private practice, rock musician, and amateur cook. I volunteer as a Program Director at Durham Region Autism Services.</t>
  </si>
  <si>
    <t>http://www.durham-autism.org/</t>
  </si>
  <si>
    <t>BuckeyeLegalFunding</t>
  </si>
  <si>
    <t>Are you going through a rough time financially due to a Personal Injury accident? Buckeye Legal Funding can help ease the pressure of mounting bills and other money related stressors. Contact us TODAY to apply, 216-503-1111. #stress #legal #funding #injury</t>
  </si>
  <si>
    <t>https://pbs.twimg.com/media/EOfk8BNXUAAY2nh.png</t>
  </si>
  <si>
    <t>Cleveland, Ohio</t>
  </si>
  <si>
    <t>Cash advances for your injury lawsuits. Our advances are repaid only if you receive a successful recovery from your claim. NO RISK, FAIR RATES, GREAT SERVICE</t>
  </si>
  <si>
    <t>http://www.BuckeyeFunding.com</t>
  </si>
  <si>
    <t>The Girl In Line - Blog</t>
  </si>
  <si>
    <t>I’m going print this off and read before bed every night. Replace every negative thought with 3 positive ones. Rewire &amp; calibrate. #mentalhealth #anxiety #stress #selfcare Wise words @LisaSLisson - thank you. RT @LisaSLisson: Worrying about something that may or may not happen steals our happiness &amp;amp; robs us of the moment we are in. We control this. Replace every worrying thought with a positive and grateful one. Living with gratitude attracts more things to be grateful for. Our minds are powerful.</t>
  </si>
  <si>
    <t>https://twitter.com/lisaslisson/status/1218145976218738689</t>
  </si>
  <si>
    <t>Burlington, Ontario</t>
  </si>
  <si>
    <t>playing the back 9 of life &amp; defender of the underdog, #adoptdontshop🐾💜 #MentalHealth #Narcissist detector, #bekind #accountability F.L.Y. The Listener</t>
  </si>
  <si>
    <t>http://thegirlinline.com</t>
  </si>
  <si>
    <t>djemal ua</t>
  </si>
  <si>
    <t>// 6 Ways to Put the Fun Back into Your Life — Reduce Stress and Be Healthier Too // #writing about #health, #stress and how sense of #humor helps posted on .@Medium  #selfimprovement #motivation #lifehacks #life #mentalhealth #fun</t>
  </si>
  <si>
    <t>https://link.medium.com/lwjF0gS562</t>
  </si>
  <si>
    <t>I like to write about #health #wellness #poetry #Haiku #spirituality #mindfulness #mentalhealth - For New Book Details - http://amazon.com/author/djemalua</t>
  </si>
  <si>
    <t>https://medium.com/@djemal.ua</t>
  </si>
  <si>
    <t>Hawk Shield Security</t>
  </si>
  <si>
    <t>Go easy on yourself! According to research, striving for perfection can create #Stress #Depression #Anxiety creating poor #MentalHealth And stop worrying about #Security and #Safety issues. We can help and advise you on both #ProudToProtect #ConstructionUK #BeSafe #ItsOKNotToBeOK RT @ASPRuralCrime: Share this with someone you know ? It may just help ! #RuralIsolation #RuralVunerabilty</t>
  </si>
  <si>
    <t>https://twitter.com/ASPRuralCrime/status/1211742192722743299</t>
  </si>
  <si>
    <t>https://pbs.twimg.com/media/END5GKYX0AYJKU7.jpg</t>
  </si>
  <si>
    <t>County Durham, United Kingdom</t>
  </si>
  <si>
    <t>Hawk Shield Security are leading providers of Manned Guarding, Dog &amp; Handler Teams, Mobile Patrol, CCTV and Key Holding services to a wide variety of clients.</t>
  </si>
  <si>
    <t>http://www.hawkshield.co.uk</t>
  </si>
  <si>
    <t>Go easy on yourself! According to research, striving for perfection can create #Stress #Depression #Anxiety creating poor #MentalHealth And stop worrying about #Security and #Safety issues. We can help and advise you on both #ProudToProtect #ConstructionUK #BeSafe #ItsOKNotToBeOK</t>
  </si>
  <si>
    <t>https://pbs.twimg.com/media/EOfiAcBX4AIRM7r.jpg</t>
  </si>
  <si>
    <t>We did it...we made it to the weekend. Now try to let yourself unwind and relax. Yeah I know that is easier said than done but at least try. Recharging your batteries is very necessary to our well being. #SQUISHtheStigma #Anxiety #Stress #Depression #Bipolar #PTSD</t>
  </si>
  <si>
    <t>https://pbs.twimg.com/media/EOfhw60X0AkZZPi.jpg</t>
  </si>
  <si>
    <t>Advocacy 4 U</t>
  </si>
  <si>
    <t>#Stress is very common for #Special #Needs children. All #children do not express it the same way. They may be irritable, anger, combative, anxious, withdrawn, or disrespectful. #Projecting is their way of asking for help. Be aware of your #child's #emotional and #mental state.</t>
  </si>
  <si>
    <t>As a special needs mom and Educator, I know how hard it is to advocate for your child's rights. I opened this business so you can have someone to fight with you</t>
  </si>
  <si>
    <t>Leigh Soroptimist</t>
  </si>
  <si>
    <t>#LEGO Released Sets for Adults That Are Meant To Relieve #Stress And #Anxiety</t>
  </si>
  <si>
    <t>https://totallythebomb.com/lego-sets-for-adults-that-are-meant-to-relieve-stress-and-anxiety</t>
  </si>
  <si>
    <t>Leigh, England</t>
  </si>
  <si>
    <t>#Women from all backgrounds and ages – Our aim is to #Educate, #Empower, #Enable Women and Girls- Working on projects locally, nationally and internationally 🙌</t>
  </si>
  <si>
    <t>https://sigbi.org/leigh/</t>
  </si>
  <si>
    <t>Beth Gillespie</t>
  </si>
  <si>
    <t>Friday Tip: If you are feeling a little anxious or just plain stressed out, try a little lavender or holy basil! 💜 #anxious #stress #lavender #holybasil #brainhealth #alzheimers #dementia #revitalizeyourbrain #memory #memoryloss #nutrition #womenshealth #hormones #detox</t>
  </si>
  <si>
    <t>https://pbs.twimg.com/media/EOff_BBWAAEamli.jpg</t>
  </si>
  <si>
    <t>Nutrition Consultant and Speaker, specializing in brain health detoxification and GI health. http://bit.ly/Revitalize-Your-Brain #brainhealth #alzheimers #dementia</t>
  </si>
  <si>
    <t>http://www.nutritionwithbeth.com/</t>
  </si>
  <si>
    <t>John Richard</t>
  </si>
  <si>
    <t>A year ago I published "How You Can Avoid and Cope with Divorce including children"  #Stress #StressManagement #Divorce</t>
  </si>
  <si>
    <t>https://rplg.co/57bbd220</t>
  </si>
  <si>
    <t>https://pbs.twimg.com/media/EOff1w6XsAMietb.jpg</t>
  </si>
  <si>
    <t>#success is a #mindset. It all depends on how you think and then the result will come into your life. It’s not associated with how much money you can earn.</t>
  </si>
  <si>
    <t>https://www.gosetmind.com/</t>
  </si>
  <si>
    <t>Greyholme Dental</t>
  </si>
  <si>
    <t>We Can Offer You A Range Of Different Cosmetic, Restorative And Preventative Treatments. To book in or for more information please call us on 01242 806 782 #cosmeticdentist #whiteteeth #newsmile #celebritysmile #anxious #anxiety #stress #wedding #weddingday #nervous</t>
  </si>
  <si>
    <t>https://pbs.twimg.com/media/EOffExoWoAA8JdJ.jpg</t>
  </si>
  <si>
    <t>Cheltenham, England</t>
  </si>
  <si>
    <t>Pain Free Dentistry in a fun,friendly, no pain, no fear environment. Call 01242 673448 to find out more.. #gds</t>
  </si>
  <si>
    <t>http://www.greyholmedental.com/</t>
  </si>
  <si>
    <t>Exciting times! This is my 1st article in Mind Cafe (a publication on Medium)! I've been writing on Medium for a while now...but it was my first one in an actual Publication :-) #author? #insomnia #stress #anxiety #bettersleep! #lifestyle</t>
  </si>
  <si>
    <t>https://medium.com/mind-cafe/5-practical-steps-to-beat-insomnia-8f136491f8ca</t>
  </si>
  <si>
    <t>Dr. LaFarra</t>
  </si>
  <si>
    <t>Close your eyes and take slow, deep breaths. If you can’t close your eyes, look at one focal point ahead of you and focus on deep breathing. Feel the air extending and contracting your stomach as it moves in and out of your body. #Stress #StressManagement #Life #Happiness</t>
  </si>
  <si>
    <t>https://pbs.twimg.com/media/EOfeJbmWkAAypW0.png</t>
  </si>
  <si>
    <t>Mississippi, USA</t>
  </si>
  <si>
    <t>Deanna Marie Mason</t>
  </si>
  <si>
    <t>No matter if your teen is a great student, average student, or struggling student, it is important to remember that academic stress can influence their achievement. #school #stress #teens #adolescent #depression #success #parents #pressure #achievement</t>
  </si>
  <si>
    <t>https://bit.ly/35YTCPv</t>
  </si>
  <si>
    <t>https://pbs.twimg.com/media/EOfDKk0WsAUHHv6.jpg</t>
  </si>
  <si>
    <t>Madrid, Comunidad de Madrid</t>
  </si>
  <si>
    <t>Proactive Parenting. Professional Support for the Modern Family</t>
  </si>
  <si>
    <t>http://www.deannamariemason.com</t>
  </si>
  <si>
    <t>Women's Health Matters</t>
  </si>
  <si>
    <t>The first step in our #StressReliefPlaybook is identifying your top sources of #stress and worry. Read the complete stress-relief playbook here. →</t>
  </si>
  <si>
    <t>https://bit.ly/2FBeKRn</t>
  </si>
  <si>
    <t>https://pbs.twimg.com/media/EN8h-0TWsAA6gd0.jpg</t>
  </si>
  <si>
    <t>Toronto</t>
  </si>
  <si>
    <t>Canada's trusted source of information, news &amp; research on women's health. Moderated by Women's College Hospital (@wchospital).</t>
  </si>
  <si>
    <t>http://womenshealthmatters.ca</t>
  </si>
  <si>
    <t>J. Villalobos</t>
  </si>
  <si>
    <t>How to Breathe For Added Benefits When Walking  #Stress #exercise #Oxygen</t>
  </si>
  <si>
    <t>https://lttr.ai/MQkS</t>
  </si>
  <si>
    <t>https://pbs.twimg.com/media/EOfdyQpXsAUrgix.png</t>
  </si>
  <si>
    <t>Julie Watts</t>
  </si>
  <si>
    <t>BWRT®️ : modern psychotherapeutic intervention for psychological &amp; emotional issues. @newscientist #anxiety #stress #depression #PTSD #therapy #grief #health #support #mood #mentalhealth #confidence #BWRT #BBRS RT @MiscarriageA: We talked to @newscientist about new research into miscarriage &amp;amp; ectopic pregnancy &amp;amp; mental health, thank you for covering such an important issue. Dr Jessica Farren says, "We have a problem on our hands that we haven't up until now properly acknowledged or looked to treat."</t>
  </si>
  <si>
    <t>https://twitter.com/miscarriagea/status/1217758645028642816
https://twitter.com/newscientist/status/1217243556668235776</t>
  </si>
  <si>
    <t>Vice CEO Terence Watts BWRT®Institute, Ambassador for BWRT®: CoFounder The British Brainworking Research Society, love my dogs, champagne, all things glamorous!</t>
  </si>
  <si>
    <t>http://www.bwrt.org</t>
  </si>
  <si>
    <t>Erin Nicole</t>
  </si>
  <si>
    <t>💃 🏃‍♀️ 🤸‍♀️ 🧘‍♀️ 🙏 How Can Move Happy® Help Teenagers With Depression? Free 📓 I made in profile #mayoclinic #garyveechallenge #teen #teenager #anxiety #mentalhealth #mentalillness #recovery #wellness #love #life #stress #awareness #ptsd #happy #depressed #endthestigma #depression</t>
  </si>
  <si>
    <t>pic.twitter.com/DSIuTgluhz</t>
  </si>
  <si>
    <t>Nashville, TN</t>
  </si>
  <si>
    <t>Empirically based info: Mindset, Fitness, Community. For a free digital copy of my Move Happy Journal go to: https://themovehappy.com/#subscribe</t>
  </si>
  <si>
    <t>https://TheMoveHappy.com</t>
  </si>
  <si>
    <t>Paul E. Spector</t>
  </si>
  <si>
    <t>Blog article by @StephAndel23 about benefits of #cyberloafing #stress #organizationalbehavior.</t>
  </si>
  <si>
    <t>https://theconversation.com/why-bosses-should-let-employees-surf-the-web-at-work-128444?utm_source=linkedin&amp;utm_medium=linkedinbutton</t>
  </si>
  <si>
    <t>Author, Blogger, Professor of Business Management &amp; #iopsych, OB/HR Researcher, Research Methodologist, Gamer, Woodworker.</t>
  </si>
  <si>
    <t>http://paulspector.com/</t>
  </si>
  <si>
    <t>Patricia Didelot</t>
  </si>
  <si>
    <t>Are you a stressed out mom? Whether ur kids are infants or adults, the #anxiety &amp; #stress over their wellbeing never stops. Can I get an Amen? I wish I had the solutions I'm using now when my girls were little to reduce all these feelings. Want to learn more? DM me #gutbrainaxis</t>
  </si>
  <si>
    <t>https://pbs.twimg.com/media/EOfc8tXWsAQ3H69.jpg</t>
  </si>
  <si>
    <t>I help stressed out women going through menopause easily find their mojo again by healing their gut naturally. Take my free health assessment.</t>
  </si>
  <si>
    <t>http://25432.amarecontent.com</t>
  </si>
  <si>
    <t>Tabitha Sukhai</t>
  </si>
  <si>
    <t>Even Lego is going after #wellness and #mindfulness messaging this year! #stress #anxiety #marketing</t>
  </si>
  <si>
    <t>#SocialMedia &amp; #Content Strategist | FOLIO Digital Awards Content #Innovator of the Year + Top Woman in #Media | VP of Strategy + Innovation at #6boroSocial</t>
  </si>
  <si>
    <t>http://about.me/tabitha.sukhai</t>
  </si>
  <si>
    <t>Michigan Workers Comp Lawyers</t>
  </si>
  <si>
    <t>Can you make a #WorkersComp claim for #stress and #anxiety?</t>
  </si>
  <si>
    <t>https://www.workerscomplawyerhelp.com/blog/2020/01/workers-comp-for-stress-and-anxiety/</t>
  </si>
  <si>
    <t>https://pbs.twimg.com/media/EOfbOR-WoAERlEi.png</t>
  </si>
  <si>
    <t>Farmington Hills, MI, U.S.</t>
  </si>
  <si>
    <t>Michigan lawyers focusing exclusively on workers compensation cases. We've been protecting injured workers in Michigan for more than 35 years.</t>
  </si>
  <si>
    <t>http://www.WorkersCompLawyerHelp.com</t>
  </si>
  <si>
    <t>Society of Cannabis Clinicians</t>
  </si>
  <si>
    <t>The #endocannabinoid system is facing more challenges than 100 years ago. @fundacioncanna on how the effects of #stress can influence hormones &amp; neurotransmitters, leading to a variety of issues  #stressmanagement #neuroscience #ScienceTwitter #mmj</t>
  </si>
  <si>
    <t>https://www.fundacion-canna.es/en/endocannabinoid-system-and-stress-response-implication-fatigue-and-burn-out</t>
  </si>
  <si>
    <t>https://pbs.twimg.com/media/EOLzX6mWAAEKXef.jpg</t>
  </si>
  <si>
    <t>A nonprofit organization promoting cannabis research, quality practice standards &amp; educating healthcare professionals who recommend medical #cannabis</t>
  </si>
  <si>
    <t>http://cannabisclinicians.org/</t>
  </si>
  <si>
    <t>TheMindfulnessProject</t>
  </si>
  <si>
    <t>"No problem can be solved by the same level of consciousness that created it" , Albert Einstein. #theScienceofMindfulness #Heartbraincoherence #energy #frequency #vibration #stress #mentalhealth #depression #anxiety #energypsychology #thoughts #emotions #StephanieEscott #Mindful</t>
  </si>
  <si>
    <t>https://pbs.twimg.com/media/EOfYck4XkAMO87V.jpg</t>
  </si>
  <si>
    <t>Ontario, Canada</t>
  </si>
  <si>
    <t>Energy Medicine Practitioner, Mindfulness &amp; Life Coach The Science of Mindfulness - You are more powerful than you know, Genius Human</t>
  </si>
  <si>
    <t>http://www.StephanieEscott.com</t>
  </si>
  <si>
    <t>Tiina Hoffman</t>
  </si>
  <si>
    <t>Just ended the workweek in a good online meeting w a #mindfulness partner. Check out my Garmin’s body battery: #recovery (blue) during the meeting 15:30-16. ☺️ #Stress level dropping. Ready for the weekend! #tgif #resilience @Kalapa_Academy #firstbeat</t>
  </si>
  <si>
    <t>https://pbs.twimg.com/media/EOfXUc8WAAA_Lmz.jpg</t>
  </si>
  <si>
    <t>Jyväskylä, Finland</t>
  </si>
  <si>
    <t>Exercise Physiologist / Master Trainer at Firstbeat Technologies. Focusing on #lifestyle hacks for better #recovery #sleep #resilience #performance @firstbeat</t>
  </si>
  <si>
    <t>https://www.firstbeat.com/en/author/tiinahoffman/</t>
  </si>
  <si>
    <t>Healthy American Male</t>
  </si>
  <si>
    <t>As research shows, men and women differ in so many things, and their stress response is just another dividing line between them.  #stress #mentalhealth #men #women</t>
  </si>
  <si>
    <t>https://healthyamericanmale.com/why-do-men-and-women-react-differently-to-stress/</t>
  </si>
  <si>
    <t>https://pbs.twimg.com/media/EOfXJUjXUAEWvre.jpg</t>
  </si>
  <si>
    <t>At Healthy American Male, we are building a community of health experts and contributors to provide the widest coverage of men’s health and fitness topics.</t>
  </si>
  <si>
    <t>http://www.healthyamericanmale.com/</t>
  </si>
  <si>
    <t>We Are Open! Regular hours, so be sure to stop by! Natural Cleaning Products Available NOW! Sign-up &amp; SAVE 20% Online TODAY.  | 1-877-626-4112 #Herbal #Natural #Teas #Health #Remedies #Free #Stress #Vitamins</t>
  </si>
  <si>
    <t>http://www.TheHerbalGardens.com
https://shr.link/a8bkd</t>
  </si>
  <si>
    <t>Dr. Nicole Lipkin</t>
  </si>
  <si>
    <t>"It requires acceptance for outcomes that may not please you."  #Stress #Devil</t>
  </si>
  <si>
    <t>https://lttr.ai/MQhC</t>
  </si>
  <si>
    <t>https://pbs.twimg.com/media/EOfXCjuWsAIQczd.jpg</t>
  </si>
  <si>
    <t>Philadelphia</t>
  </si>
  <si>
    <t>Bringing human nature back into business. Organizational Psychologist | Speaker | Coach | Books: What Keeps Leaders Up At Night &amp; Y in the Workplace.</t>
  </si>
  <si>
    <t>http://www.equilibrialeadership.com</t>
  </si>
  <si>
    <t>💪🏾Mr. UnBreakable💪🏾</t>
  </si>
  <si>
    <t>I’m free from #stress, y’all free from stress??</t>
  </si>
  <si>
    <t>In Front Of U!</t>
  </si>
  <si>
    <t>🔥🎤🔥🎤That M8D Music Link 🔥🎤🔥🎤</t>
  </si>
  <si>
    <t>https://linktr.ee/stoodjoe</t>
  </si>
  <si>
    <t>Elizabeth Appiah</t>
  </si>
  <si>
    <t>Our new paper is out in #psychopharmacology investigating the effect of #cbd on #stress response in people at high risk of developing #psychosis  with @docsagnik @MatthijsBossong @Lucia_Valmaggia @MondelliValeria et al. Thanks for your hard work and support</t>
  </si>
  <si>
    <t>https://www.ncbi.nlm.nih.gov/m/pubmed/31915861/#</t>
  </si>
  <si>
    <t>Trainee Clinical Psychologist at King's. Interested in psychosis, stress, cannabinoids and social justice. Views my own.</t>
  </si>
  <si>
    <t>laxman</t>
  </si>
  <si>
    <t>Technology was designed to make our lives easier, but it can also be a major factor for #stress and #depression. When you use the Laxman mental system, you are taken out of the stressful environment and placed in a deep state of #meditation.</t>
  </si>
  <si>
    <t>http://mylaxman.com</t>
  </si>
  <si>
    <t>https://pbs.twimg.com/media/EOfV2f0WsAEcJZF.png</t>
  </si>
  <si>
    <t>Berlin, Germany</t>
  </si>
  <si>
    <t>Laxman Mental System is the next generation mindmachine, with mp3, software and a cutting edge design - experience the science of relaxation</t>
  </si>
  <si>
    <t>http://www.mylaxman.com</t>
  </si>
  <si>
    <t>Sherrill W. Hayes</t>
  </si>
  <si>
    <t>My colleagues and I are conducting a study on #stress and #burnout in #analytics and #datascience. Please retweet and share with all your colleagues in the field. Thanks! #MachineLearning #AI #research #AcademicTwitter #phdchat #Statistics</t>
  </si>
  <si>
    <t>https://kennesaw.co1.qualtrics.com/jfe/form/SV_7a13soTjGE0I3lj</t>
  </si>
  <si>
    <t>Director #PhD @KSUDataScience, Prof @KSUConflict; Co-Ed http://tinyurl.com/y2hwqtcr; Social Aspects of #DataScience; Social Policy; Opinions are mine; RT ≠ Endorsement</t>
  </si>
  <si>
    <t>https://www.researchgate.net/profile/Sherrill_Hayes</t>
  </si>
  <si>
    <t>We Are Aspire</t>
  </si>
  <si>
    <t>Stress management should be a company initiative, not an afterthought! Take a look at Erin O'Neill's viewpoint here:  #stress #wellbeing #mentalhealth</t>
  </si>
  <si>
    <t>https://insights.weareaspire.com/post/102fv1m/stress-management-should-be-a-company-initiative-not-an-afterthought</t>
  </si>
  <si>
    <t>We specialise in finding Digital, Media and Marketing professionals their perfect next move - from opportunities at exciting tech start ups to global brands</t>
  </si>
  <si>
    <t>http://www.weareaspire.com</t>
  </si>
  <si>
    <t>Self Leadership</t>
  </si>
  <si>
    <t>Loving this resource in our #wellbeing and #stress management workshop. "It's not about the nail." Perfectly and comically illustrates one of the greatest barriers to listening; listening to reply or even to…</t>
  </si>
  <si>
    <t>https://www.instagram.com/p/B7bIW_Og8nv/?igshid=1o0htjd2pee58</t>
  </si>
  <si>
    <t>Sheffield</t>
  </si>
  <si>
    <t>The Self Leadership Initiative Ltd delivers bespoke #softskills #training to improve #leadership, #teamwork, #communication, #wellbeing, #employability and more</t>
  </si>
  <si>
    <t>http://www.SelfLeadershipInitiative.com</t>
  </si>
  <si>
    <t>Cara Bradley</t>
  </si>
  <si>
    <t>Inhale and Exhale fo 5-6 seconds each. It's called #Coherent #Breathing. Do it for a few minutes and shift from "crazy busy" to an optimal state of #calm and #clear. Slow breathing immediately reduces sensations of #stress and #anxiety. But don't take my word for it.</t>
  </si>
  <si>
    <t>https://pbs.twimg.com/media/EOfUyreXsAMOK7z.jpg</t>
  </si>
  <si>
    <t>I teach high impact self care strategies for optimal wellbeing and performance.</t>
  </si>
  <si>
    <t>http://carabradley.net</t>
  </si>
  <si>
    <t>“Want to learn mindfulness, but short on time? New online course. Free preview.”  #stress meditation #peace mindfulness #relax</t>
  </si>
  <si>
    <t>https://mindfulnessmeditation.thinkific.com/courses/mindfulness-for-bu</t>
  </si>
  <si>
    <t>Mersey Care NHS FT</t>
  </si>
  <si>
    <t>#Moneyworries or large #debts? Taking stock of #stress can be really helpful, find out more in our #selfhelp guide</t>
  </si>
  <si>
    <t>http://www.selfhelpguides.ntw.nhs.uk/merseycare/leaflets/selfhelp/Health%20Anxiety.pdf</t>
  </si>
  <si>
    <t>https://pbs.twimg.com/media/EOfUQfuWkAAWFvg.jpg</t>
  </si>
  <si>
    <t>Merseyside</t>
  </si>
  <si>
    <t>Providing adult specialist mental health, addiction, learning disability and community health services in North West England and beyond.</t>
  </si>
  <si>
    <t>http://www.merseycare.nhs.uk</t>
  </si>
  <si>
    <t>Crawl Stand CONQUER</t>
  </si>
  <si>
    <t>Most of us come from dysfunctional families. No parent ever googles 'how can I screw up my kid'. If your parents weren't that great it's usually their own parents' fault. These behaviours are learnt...  #narcisism #stress #mentalhealth via @janinecera</t>
  </si>
  <si>
    <t>http://bit.ly/2stzBmu</t>
  </si>
  <si>
    <t>https://pbs.twimg.com/media/EOfTn2zWAAUNDoF.jpg</t>
  </si>
  <si>
    <t>Newport, RI</t>
  </si>
  <si>
    <t>Health and Life Coaching. Your current situation is an evolution of who you are. A move in a new direction might mean releasing some of your past. I can help.</t>
  </si>
  <si>
    <t>Diet Montain dew 🇱🇧🇲🇶🇨🇦</t>
  </si>
  <si>
    <t>Jtexte hier un dmes chum de gars pis y mretexte today, and actually he made my day pcq jviens dme levé et dle retexter. I like the way i Can be chill in the morning and not #stress à cause de some texte 😅 anw Grand merci m'y bro @EyamieSteve Have a nice one 🙋‍♂️</t>
  </si>
  <si>
    <t>Clarence-Rockland, Ontario</t>
  </si>
  <si>
    <t>QLF 🤴🏻</t>
  </si>
  <si>
    <t>Bill</t>
  </si>
  <si>
    <t>Love watching waves crash on sand, walls or rocks... it relieves my #stress...</t>
  </si>
  <si>
    <t>https://pbs.twimg.com/media/EOfS-erWkAI72cV.jpg</t>
  </si>
  <si>
    <t>New Jersey, USA</t>
  </si>
  <si>
    <t>Internet Information Publisher</t>
  </si>
  <si>
    <t>http://myretirementbusiness.com/blog</t>
  </si>
  <si>
    <t>Alyce E. Wellons</t>
  </si>
  <si>
    <t>. . Make time to be there for someone. Giving back has its own rich benefits 💫💗 . . . #stress #dontgoalone #stressrelief #physicalhealth #mentalhealth #community #connection #therapy #openheart #therapist #health…</t>
  </si>
  <si>
    <t>https://www.instagram.com/p/B7bHT9tARH6/?igshid=mq2f3je4brp6</t>
  </si>
  <si>
    <t>http://www.alycewellons.com</t>
  </si>
  <si>
    <t>Horsesmouth</t>
  </si>
  <si>
    <t>#Debt is stressful. But your stress level depends on the type of debt you have. #Creditcards cause far more #stress than first mortgages and lines of credit, a study by Ohio State researchers finds. Reverse mortgages actually reduce stress temporarily:</t>
  </si>
  <si>
    <t>https://bit.ly/2QC0i1s</t>
  </si>
  <si>
    <t>Midtown Manhattan</t>
  </si>
  <si>
    <t>Horsesmouth helps tens of thousands of financial advisors every day to serve their clients and build smarter, growing advisory practices.</t>
  </si>
  <si>
    <t>http://www.horsesmouth.com</t>
  </si>
  <si>
    <t>Dr Suzanne Henwood</t>
  </si>
  <si>
    <t>5 simple steps to slat #stress #wellbeing #coaching RT @CWB_Mason: #FridayFeeling 5 ways to relieve stress for greater #wellbeing this year:</t>
  </si>
  <si>
    <t>https://twitter.com/cwb_mason/status/1218171638405046272
https://bit.ly/2uC6AWy</t>
  </si>
  <si>
    <t>Auckland, New Zealand</t>
  </si>
  <si>
    <t>mBIT Trainer, coach, author, speaker: awakens, mPowers &amp; evolves others through compassion, courage, creativity and wisdom. Supporting people to thrive at work</t>
  </si>
  <si>
    <t>http://braining4success.com</t>
  </si>
  <si>
    <t>Staying Young Show</t>
  </si>
  <si>
    <t>How does #stress affect the #brain? Find out!</t>
  </si>
  <si>
    <t>http://traffic.libsyn.com/stayingyoung2/medicalminute011819.mp3</t>
  </si>
  <si>
    <t>Nationally syndicated - your source for the latest #health, #wellness, #medical, #nutrition, #fitness, #podcast, #HealthTips. by Executive Medicine of Texas</t>
  </si>
  <si>
    <t>http://www.stayyoungamerica.com</t>
  </si>
  <si>
    <t>Dennis Santaniello</t>
  </si>
  <si>
    <t>I'm currently writing a #selfhelp book about #mindfulness, #meditation and dealing with #stress. The tentative title "Present Moment, Baby." If it's a fun write, it'll be a fun read. As of now, it's a blast to write. I'll be sure to keep you guys updated.</t>
  </si>
  <si>
    <t>https://pbs.twimg.com/media/EOfOvSdXUAAwyyK.jpg</t>
  </si>
  <si>
    <t xml:space="preserve">USA </t>
  </si>
  <si>
    <t>Writer. Farmer.</t>
  </si>
  <si>
    <t>http://dennissantaniello.com</t>
  </si>
  <si>
    <t>With fires, tornadoes, earthquakes etc - we know that a well-nourished body and brain is better able to withstand ongoing #stress &amp; recover from #mentalillness :to improve the #mentalhealth of a population following environmental catastrophe. #BWRT #BWRTSA #Worldwide #BBRS</t>
  </si>
  <si>
    <t>MoodDisorders Canada</t>
  </si>
  <si>
    <t>As #stress hormones begin flooding your body, they prepare you for fight or flight, increasing your pulse and breathing rate, and pulling your body's attention away from everything else. Discover some strategies to beat stress:  #mentalhealth #anxiety</t>
  </si>
  <si>
    <t>https://www.psychologytoday.com/us/blog/click-here-happiness/202001/how-relieve-manage-and-overcome-stress</t>
  </si>
  <si>
    <t>Belleville, Ontario</t>
  </si>
  <si>
    <t>We support persons with mental health issues and illnesses (depression, bipolar disorder and other mood disorders), their families and caregivers from Canada.</t>
  </si>
  <si>
    <t>https://mdsc.ca/</t>
  </si>
  <si>
    <t>Cate</t>
  </si>
  <si>
    <t>https://lttr.ai/MQbS</t>
  </si>
  <si>
    <t>https://pbs.twimg.com/media/EOfOhdOXUAAvvHN.png</t>
  </si>
  <si>
    <t>Georgia, USA</t>
  </si>
  <si>
    <t>I'm Cate, and I enjoy all sorts of gardening and wildlife-- &amp; gardening to help support wildlife :) When my kids were little we did all that Big Backyard stuff</t>
  </si>
  <si>
    <t>http://www.bestgardeninfo.com</t>
  </si>
  <si>
    <t>Mental Health Advocate</t>
  </si>
  <si>
    <t>Seasonal depression affects over 3 million people in the US each year. Take a stances against stigma and checks out our short film if you’re feeling low! @BlurtAlerts #depression #mentalhealth #Awareness #stress #wellness</t>
  </si>
  <si>
    <t>https://youtu.be/YjRbkBr78hI</t>
  </si>
  <si>
    <t>pic.twitter.com/2HGySnl1Kn</t>
  </si>
  <si>
    <t>Dedicated towards supporting individuals suffering from mental illnesses and fighting towards ending mental health stigmatizion</t>
  </si>
  <si>
    <t>Lifestyle Medicine Wellness Partners</t>
  </si>
  <si>
    <t>We love feedback! What is the #1 obstacle to your health? #health #wellness #stress #sleep #relationships #work #home</t>
  </si>
  <si>
    <t>https://pbs.twimg.com/media/EOfNArrWoAEzsrk.jpg</t>
  </si>
  <si>
    <t>Tampa Bay</t>
  </si>
  <si>
    <t>A non-profit organization using Lifestyle Medicine evidence based approaches that prevent or reverse chronic medical conditions.</t>
  </si>
  <si>
    <t>https://www.facebook.com/pg/LifeWellPartners/about/?ref=page_internal</t>
  </si>
  <si>
    <t>Natural Healing Show</t>
  </si>
  <si>
    <t>#Secrets of a #medical intuitive, what your #circadian rhythms reveal about you:  #healing #energyhealing #chronobiology #stress #sleep #wellness</t>
  </si>
  <si>
    <t>https://catherinecarrigan.com/what-your-circadian-rhythms-reveal-about-you/</t>
  </si>
  <si>
    <t>#NaturalHealth and #Healing #Podcast Hosted by #Medicalintuitive and #Author @CSCarrigan GMT Mon 9am Fri 9am Sat 13:00 Sun 18:00</t>
  </si>
  <si>
    <t>https://catherinecarrigan.com/natural-healing-show/</t>
  </si>
  <si>
    <t>GameofSocialMedia</t>
  </si>
  <si>
    <t>Asheville, NC</t>
  </si>
  <si>
    <t>What Is #SocialMedia Today teaches you how to play the #gameofsocialmedia #writerslife #authorpreneur #whatissocialmedia</t>
  </si>
  <si>
    <t>http://businessofwriting.net</t>
  </si>
  <si>
    <t>Catherine Carrigan</t>
  </si>
  <si>
    <t>Atlanta, Georgia</t>
  </si>
  <si>
    <t>Medical Intuitive Healer + Amazon No. 1 Bestselling Author + Host of the Natural Healing Show for UK Health Radio</t>
  </si>
  <si>
    <t>https://www.catherinecarrigan.com</t>
  </si>
  <si>
    <t>SHRM Media Affairs</t>
  </si>
  <si>
    <t>"Most people in their late-40s are part of what’s known as the 'sandwich generation'—those who care for aging parents and their own family at the same time. . . @JohnnyCTaylorJr, president and CEO of @SHRM, says 'that #stress shows up and impacts #work.'"</t>
  </si>
  <si>
    <t>https://www.cnbc.com/2020/01/16/happiness-hits-rock-bottom-at-age-47-2-according-to-new-research.html</t>
  </si>
  <si>
    <t>News, research and resources on the workplace and workforce from SHRM, the voice of all things work.</t>
  </si>
  <si>
    <t>http://www.shrm.org/about-shrm/press-room</t>
  </si>
  <si>
    <t>Kristie Leong M.D.</t>
  </si>
  <si>
    <t>Studies show that interacting with #nature &amp; animals lowers the level of #stress hormones &amp;amp; helps calm #anxiety &amp;amp; ease depression. What a combination! Ducks, sunlight, &amp;amp; being outdoors.:)</t>
  </si>
  <si>
    <t>pic.twitter.com/lo8swJMXDe</t>
  </si>
  <si>
    <t>Physician, medical writer, health nut. I deliver straight talk about #Nutrition and healthy lifestyle habits..Staying healthy should be an adventure!</t>
  </si>
  <si>
    <t>MiSP</t>
  </si>
  <si>
    <t>In #Manchester on Tuesday (21st) next week? Come to a FREE one-day #Stress and #Wellbeing Workshop for #schools, being hosted by @Towergate Insurance at their offices in Hardman Square from 9.30am, and find out how #mindfulness can help you manage stress:</t>
  </si>
  <si>
    <t>https://mindfulnessinschools.org/wp-content/uploads/2019/12/Towergate-and-MISP-Workshop.pdf?fbclid=IwAR0SjXolhSNpTWlg3TLmUYnVWj3f-7wIaU41My-Uq9BS5XOPiO7pAO-Oseg</t>
  </si>
  <si>
    <t>https://pbs.twimg.com/media/EOfKo1IWsAEccwd.jpg</t>
  </si>
  <si>
    <t>Mindfulness in Schools Project is a registered charity whose aim is to encourage, support and research the teaching of secular mindfulness in schools.</t>
  </si>
  <si>
    <t>http://www.mindfulnessinschools.org</t>
  </si>
  <si>
    <t>Andrea Till</t>
  </si>
  <si>
    <t>So my day consists of work, and getting @MatchboxTwenty tix. One is definitely more important then the other. But I need to other to pay for the tix. So wish me luck. I just want 1 front row. Work with me tix God's #matchboxtwenty #stress</t>
  </si>
  <si>
    <t>BC baby!</t>
  </si>
  <si>
    <t>a truly proud Canadian who lives every day looking for the good! :) just be happy!</t>
  </si>
  <si>
    <t>Clearview Minds</t>
  </si>
  <si>
    <t>A great way to combat stress is through #mindfulness check out this taster session from @Mind_Mosaic_16 in #Greenock #Stress Management RT @Mind_Mosaic_16: Mindfulness @ MindMosaic We will be holding Mindfulness Taster Sessions and would like to invite you along. Reserve your place now by calling us on 01475 892208. If you would like a printable poster please contact karyn@mindmosaic.co.uk. #Mindfulness #MentalHealth @BranchtonCC</t>
  </si>
  <si>
    <t>https://twitter.com/mind_mosaic_16/status/1217808850839113728</t>
  </si>
  <si>
    <t>https://pbs.twimg.com/media/EOaGsgPXUAYVwsJ.jpg</t>
  </si>
  <si>
    <t>27 Love Avenue, Quarriers</t>
  </si>
  <si>
    <t>We support those making that transition into the workplace, or need help when they are there to make the most out of the opportunity.</t>
  </si>
  <si>
    <t>http://www.clearviewminds.com</t>
  </si>
  <si>
    <t>Dr. Mike Carollo, PsyD</t>
  </si>
  <si>
    <t>Share your ideas for others 😁 #wellbeing #bekind #selfcare #mentalhealth #kindness #stress #psychotherapy #counseling #lifecoaching #psychology #positivepsychology #loveyourself</t>
  </si>
  <si>
    <t>https://pbs.twimg.com/media/EOfKSu-WoAAaG86.jpg</t>
  </si>
  <si>
    <t>Sean Si</t>
  </si>
  <si>
    <t>4 Ways on How to Deal With #Stress</t>
  </si>
  <si>
    <t>http://dld.bz/JK3A</t>
  </si>
  <si>
    <t>Philippines</t>
  </si>
  <si>
    <t>Sean Si is a blogger, writer, web developer and an SEO specialist in profession.</t>
  </si>
  <si>
    <t>http://seo-hacker.com</t>
  </si>
  <si>
    <t>Priya Singhvi, founder of Meaningful Minds</t>
  </si>
  <si>
    <t>#Ecopsychology: Research points to the beneficial effects that exposure to the natural world has on #health, reducing #stress and promoting #healing. Glad we’re thinking about this at @ryecountryday with outdoor classrooms + education ☀️🌿  via @YaleE360</t>
  </si>
  <si>
    <t>https://e360.yale.edu/features/ecopsychology-how-immersion-in-nature-benefits-your-health</t>
  </si>
  <si>
    <t>Rye, NY</t>
  </si>
  <si>
    <t>🌱Director of Health &amp; Wellness @ryecountryday 🧠 Learners for Life @goalearning 💙 Cultural Competency + SEL Consultant @LausanneLearn @OESISNetwork</t>
  </si>
  <si>
    <t>http://www.linkedin.com/in/priyasinghvi</t>
  </si>
  <si>
    <t>Josiane Martins</t>
  </si>
  <si>
    <t>Cybersecurity #stress is an industry wide epidemic among #security professionals, but why exactly has it become an industry epidemic? #CyberSecurity</t>
  </si>
  <si>
    <t>https://okt.to/UHaJhZ</t>
  </si>
  <si>
    <t>Portsmouth, NH</t>
  </si>
  <si>
    <t>Generate #PKI Opportunities for Enterprises and Partners, Business Development #DigitalTransformation, #Cloud ,#IoT, #Brazil is the motherland!</t>
  </si>
  <si>
    <t>https://www.linkedin.com/in/martinsjosiane/</t>
  </si>
  <si>
    <t>JMV</t>
  </si>
  <si>
    <t>How to Breathe For Added Benefits When Walking  #exercise #Stress #Oxygen</t>
  </si>
  <si>
    <t>https://lttr.ai/MQY8</t>
  </si>
  <si>
    <t>https://pbs.twimg.com/media/EOfJw_wWoAEgS7j.png</t>
  </si>
  <si>
    <t>Love Halloween! The stories, the movies, the thrills! Inspired me to write some short stories and to create a web-site for some spooky, (but not gruesome) fun!</t>
  </si>
  <si>
    <t>http://shorthalloweenstories.com</t>
  </si>
  <si>
    <t>Sleep Renewal</t>
  </si>
  <si>
    <t>Tossing and turning before falling asleep isn’t unusual. In fact, what doctors call “acute insomnia” is actually quite common amid the everyday worries and stresses of life  #SleepRenewal #SleepStartsHere #SleepClinic #Insomnia #restless #sleep #stress</t>
  </si>
  <si>
    <t>http://ow.ly/R8N730j1uDc</t>
  </si>
  <si>
    <t>https://pbs.twimg.com/media/EOfJV_FWkAAcEYD.jpg</t>
  </si>
  <si>
    <t>Johannesburg, South Africa</t>
  </si>
  <si>
    <t>Millions suffer with undiagnosed sleep disorders which are connected to health concerns. We specialise in diagnostic testing &amp; treatment of sleep disorders.</t>
  </si>
  <si>
    <t>https://www.sleeprenewal.co.za</t>
  </si>
  <si>
    <t>#indifference and #tolerance is bigger #crime then #opposition. #Wrongs need to be set #right. #Motorism #Life #Quote #Philosophy #Quotes #Wise #Wisdom #Motivation #Inspiration #victory #triumph #Frustration #Stress #MentalHealth #Anxiety #Fiasco #Debacle #destiny #Spirituality</t>
  </si>
  <si>
    <t>https://pbs.twimg.com/media/EOfHtErUEAUoqkj.jpg</t>
  </si>
  <si>
    <t>DHA Laboratory</t>
  </si>
  <si>
    <t>Mix of #Stress and #AirPollution May Lead to #Cognitive Difficulties in #Children  #mentalhealth @PsychToday @ClevelandClinic</t>
  </si>
  <si>
    <t>https://pbs.twimg.com/media/EOfHY4xW4AAqcAa.jpg</t>
  </si>
  <si>
    <t>Mount Prospect, IL</t>
  </si>
  <si>
    <t>DHA is a #laboratory that specializes in performing/coordinating #biochemical #laboratory testing for advanced #nutrienttherapy #functionalmedicine #pyroluria</t>
  </si>
  <si>
    <t>http://www.dhalab.com</t>
  </si>
  <si>
    <t>Hope Street Xchange</t>
  </si>
  <si>
    <t>Our tenants @IMPACTNortheast are running a male mental health support group tonight and it's free to attend. If you or anyone you know may benefit from this support, why not get in touch...What is there to lose?💙 #mentalhealth #menshealth #sunderland #support #stress #wellbeing RT @IMPACTNortheast: Why not come along to our male mental health support group S.W.A.G.E.R this Friday 5-7pm,. We will be running our 1st 1 hr stress awareness course. It will be fun interactive and a good laugh. Its free to attend what have you got to lose?</t>
  </si>
  <si>
    <t>https://twitter.com/IMPACTNortheast/status/1218096917621673984
http://ow.ly/FMPK50xWFdI</t>
  </si>
  <si>
    <t>Sunderland</t>
  </si>
  <si>
    <t>Sunderland's Centre for Enterprise and Innovation, offering contemporary events and office space in the heart of the city. Contact: hello@hopestreetxchange.com</t>
  </si>
  <si>
    <t>http://hopestreetxchange.com/</t>
  </si>
  <si>
    <t>James Roberts</t>
  </si>
  <si>
    <t>This skill is used in moments of distress to help one relax. Read more:  #stress #relaxation</t>
  </si>
  <si>
    <t>https://buff.ly/2tfpuCm</t>
  </si>
  <si>
    <t>https://pbs.twimg.com/media/EOfFMbBWoAEahc0.jpg</t>
  </si>
  <si>
    <t>Prestatyn, Wales</t>
  </si>
  <si>
    <t>2 x #Paralympian. Creator of The A.M.P Method. @SUSportsScience &amp; @uoChester Alum. The host of the podcast @themindsetath. A basketball player for @wbnwknights.</t>
  </si>
  <si>
    <t>https://linktr.ee/jamesoroberts11</t>
  </si>
  <si>
    <t>Healthista</t>
  </si>
  <si>
    <t>Feeling stressed or anxious? Reduce anxiety with this quick breathing technique @maudehirst #stress #meditate #Mindfulness</t>
  </si>
  <si>
    <t>https://buff.ly/30uo6Yx</t>
  </si>
  <si>
    <t>pic.twitter.com/os8IBYfIVD</t>
  </si>
  <si>
    <t>The UK's fastest growing online health channel for women - edited by multi-award winning journalist @AnnaMagee</t>
  </si>
  <si>
    <t>http://healthista.com</t>
  </si>
  <si>
    <t>IINH</t>
  </si>
  <si>
    <t>16 Simple Ways to Relieve #Stress and Anxiety #stressdetox</t>
  </si>
  <si>
    <t>http://bit.ly/306W7xY</t>
  </si>
  <si>
    <t>Dublin, Ireland</t>
  </si>
  <si>
    <t>Start your new career in Nutrition - Nutrition and Health Coach /Nutritional Therapist. Globally recognised qualifications. Online &amp; class-based courses.</t>
  </si>
  <si>
    <t>https://www.iinh.net/</t>
  </si>
  <si>
    <t>Suaju</t>
  </si>
  <si>
    <t>Despair struggling to achieve try pranichealing #stressfree #stressrelief #stress mcks</t>
  </si>
  <si>
    <t>https://pbs.twimg.com/media/EOfDCMDXsAI67Yy.jpg</t>
  </si>
  <si>
    <t>Creative Inspiring &amp; Founder of Suaju Ltd 'Products Technology System Software Services' - Social Commerce Digital Media Marketing</t>
  </si>
  <si>
    <t>http://www.suaju.com</t>
  </si>
  <si>
    <t>Troy Borst</t>
  </si>
  <si>
    <t>I can manage the #stress of hurtful #relationships if I know that God has good for me in and through it. #encouragement</t>
  </si>
  <si>
    <t>Bloomfield, IN</t>
  </si>
  <si>
    <t>Χριστιανός | Husband to @troyskellybean | Father of 3 | Minister | Author | SEC 🏈| NHL ⚡️| 🥋 | @sacredcomm | @D_I_Scripture |</t>
  </si>
  <si>
    <t>Today is about you. With two weeks left of the first month of the year this is the most important time to make a change. #work #quoteoftheday #counselling #hcsmSA #southafrica #stress #help #anxiety #mindfulness</t>
  </si>
  <si>
    <t>https://pbs.twimg.com/media/EOdaH-GXsAAkaQV.jpg</t>
  </si>
  <si>
    <t>UOGParklife</t>
  </si>
  <si>
    <t>2020 concerns: University or Apprenticeship? #studentlife #stress click the link to find out more</t>
  </si>
  <si>
    <t>http://uogjmag.co.uk/to-play-hard-or-to-work-hard-university-vs-apprenticeships?_thumbnail_id=26839</t>
  </si>
  <si>
    <t>pic.twitter.com/T3B6pJoSLC</t>
  </si>
  <si>
    <t>Powered by journalism students from the @UOGjourno course.</t>
  </si>
  <si>
    <t>http://jmag.glos.ac.uk</t>
  </si>
  <si>
    <t>https://pbs.twimg.com/media/EOfBwifWAAINP2-.jpg</t>
  </si>
  <si>
    <t>Recovery_made_simple</t>
  </si>
  <si>
    <t>Sometimes you just have to stop pretending and find a safe place to collapse. #selfcare #selfcarematters #MentalHealthMatters #mentalhealth #recovery #copingskills #stressmanagement #stress</t>
  </si>
  <si>
    <t xml:space="preserve">Limerick, Ireland. </t>
  </si>
  <si>
    <t>Visit http://WellbeingTrackers.com for simple and easy-to-use mental health and addiction recovery tools. Follow for weekly encouragement and tips.</t>
  </si>
  <si>
    <t>http://www.WellBeingTrackers.com</t>
  </si>
  <si>
    <t>AOS Products</t>
  </si>
  <si>
    <t>#SpearmintOil Benefits: •Relieves #spasms •Relieves #stress •Improve #Memory •Fights against Bacterial #Infections and more Now pure Spearmint oil available online:</t>
  </si>
  <si>
    <t>https://www.indiannaturaloils.com/Menthol-&amp;-Mint-Oil/Spearmint-Oil</t>
  </si>
  <si>
    <t>https://pbs.twimg.com/media/EOe_yjCUUAIDrOl.jpg</t>
  </si>
  <si>
    <t>Ghaziabad, U.P., India</t>
  </si>
  <si>
    <t>AOS Products Private Limited is a leading name in the field of Essential Oil, Mint Products, Aromatherapy Oils, Carrier Oils, Menthol Crystals etc.</t>
  </si>
  <si>
    <t>https://www.aosproduct.com/</t>
  </si>
  <si>
    <t>Decisive Thinking</t>
  </si>
  <si>
    <t>Are you in a high #stress job which requires a lot of responsibility? Do you sometimes feel #overwhelmed at the end of the working day? Take just 10 – 15 minutes each day to #focus on your breathing and just have some time out for yourself #EmpowerYourself</t>
  </si>
  <si>
    <t>https://pbs.twimg.com/media/EOe_D-SWkAIhm0W.jpg</t>
  </si>
  <si>
    <t>We assist you to transform your thoughts, feelings and actions in a sustained and practiced manner. This will help you to take charge of your life.</t>
  </si>
  <si>
    <t>http://www.decisivethinking.co.uk</t>
  </si>
  <si>
    <t>Piercarla Garusi</t>
  </si>
  <si>
    <t>what are YOU experiencing that is causing you MASSIVE amount of #Stress? Can we solve it?</t>
  </si>
  <si>
    <t>I connect with Higher Dimensions.. HIGH VIBES Paintings, HIGH VIBES Coach, HIGH VIBES Products. http://pgartworks.wordpress.com</t>
  </si>
  <si>
    <t>http://www.pgcoaching.wordpress.com</t>
  </si>
  <si>
    <t>Manny</t>
  </si>
  <si>
    <t>https://lttr.ai/MQRt</t>
  </si>
  <si>
    <t>https://pbs.twimg.com/media/EOe9SlSXsAEGVez.png</t>
  </si>
  <si>
    <t>Love movies and tv shows/series and facts and trivia related to movies and television.</t>
  </si>
  <si>
    <t>Fear of failure often leads us to hold a little effort back and not commit 100% thus leading to the ultimate self fulfilling prophecy. Don’t let your fear hold you back from discovering your potential #Stress #MentalHealthMatters #MentalHealth #Confidence #CalmPeople</t>
  </si>
  <si>
    <t>https://pbs.twimg.com/media/EOe8u-NWAAAX3yr.jpg</t>
  </si>
  <si>
    <t>lucas mthenjane, Strong by Zumba MT | Life Coach</t>
  </si>
  <si>
    <t>It’s Friday and I’m feeling super ..... Come what may, I shall make it and get ready for a 👍🏽 weekend 💯 #conquer #life #coach #jump #trainers #sunny #outdoors #lifestyle #stress #positive #indulge #machine #muscles…</t>
  </si>
  <si>
    <t>https://www.instagram.com/p/B7a79I3pnFR/?igshid=e2kdsv1bem23</t>
  </si>
  <si>
    <t>Master Trainer for Strong by Zumba, Life Coach | Spartan Athlete| Martial Arts Instr. &amp; TV and radio fitness presenter... Changing lives one step at a time.</t>
  </si>
  <si>
    <t>healistry</t>
  </si>
  <si>
    <t>Daily Affirmation #30 "I release all of the ways I feel stressed." #release #stress #releasethestress #affirmation #dailyaffirmation #positiveaffirmation #friday #tgif #happyfriday</t>
  </si>
  <si>
    <t>https://www.instagram.com/p/B7a7wGCnV2P/?igshid=15jslcvtr2k39</t>
  </si>
  <si>
    <t>Spiritual Healing &amp; Education Metaphysics Master's Student Attuned Shamanic Healer Astrology &amp; Tarot</t>
  </si>
  <si>
    <t>Ricky Rod 💃</t>
  </si>
  <si>
    <t>Not going to go back to sleep.... going to do some reading and drink coffee... work on some homework and conquer the day!! #teamnosleep #gradschool #stress #anxiety #friday</t>
  </si>
  <si>
    <t>🔜#EDCLV2020 Instagram:RickyRave94 | SnapChat: Rickyrodxxx | 25 | @serengetee REP: RODRIGUEZ24 ⬅️Discount Code| PURA VIDA REP: RICKYRODRIGUEZ50 |</t>
  </si>
  <si>
    <t>https://www.amazon.com/hz/wishlist/ls/Q7FLOHEOOKPQ?ref_=wl_share</t>
  </si>
  <si>
    <t>YBR</t>
  </si>
  <si>
    <t>Theres a lot of help out there for #bullying in schools for young people but not enough for #workplace bullying for #adults. And this is happening to me and its causes #stress #depression #anxiety which is all now affecting my #mentalhealth #bbc5live</t>
  </si>
  <si>
    <t>Sue Schlesman</t>
  </si>
  <si>
    <t>Stressed and worried? Read this nugget of truth and inspiration. 7 Prayers That Work: A prayer for trust, peace, and mindfulness  #stress #worry #anxiety #prayer #soulspeak</t>
  </si>
  <si>
    <t>http://www.7prayersthatwork.com/2020/01/a-prayer-for-trust-peace-and-mindfulness.html?spref=tw</t>
  </si>
  <si>
    <t>Virginia, USA</t>
  </si>
  <si>
    <t>Christ-follower, writer, boy-mom, pastor's wife, frustrated gluten-lover. I crave my family, nature, color, and books, but Jesus most of all.</t>
  </si>
  <si>
    <t>http://www.susanwalleyschlesman.com</t>
  </si>
  <si>
    <t>Mindful You</t>
  </si>
  <si>
    <t>Mindful You - Take Your Journey Within. Live a happy, joyful and mindful life. Say good bye to stress and anxiety.  #Mindfulness #sleep #anxiety #stress #life #meditation #onlinemeditation #friend #WorkLifeBalance</t>
  </si>
  <si>
    <t>http://Mindfulyou.space</t>
  </si>
  <si>
    <t>pic.twitter.com/nqZ4TBZsoj</t>
  </si>
  <si>
    <t>Take Your Journey Within</t>
  </si>
  <si>
    <t>http://www.mindfulyou.space</t>
  </si>
  <si>
    <t>Let food be your medicine, not drugs which isn't food at all. We can help, call 217-228-2040 today.  #stress, #anxiety, #arthritis, #autoimmune, #autoimmunedisease, #braincancer, #cancer, #chronicallyill, #chronicfatigue, #chronicfatiguesyndrome,</t>
  </si>
  <si>
    <t>https://articles.mercola.com/sites/articles/archive/2020/01/13/asafoetida-benefits.aspx?cid_source=dnl&amp;cid_medium=email&amp;cid_content=art1HL&amp;cid=20200113Z1&amp;et_cid=DM435967&amp;et_rid=788993173</t>
  </si>
  <si>
    <t>Sari Vuohtoniemi</t>
  </si>
  <si>
    <t>Thank you @SofiaFutureFarm for inviting me to run a seminar on #Leadership for #TruePotential -from #stress to #resilience and unleashing potential and share some effective approaches to develop these. Good leadership is based on self-awareness and ability to lead oneself.</t>
  </si>
  <si>
    <t>https://pbs.twimg.com/media/EOe5okmXkAANY2e.jpg</t>
  </si>
  <si>
    <t>Helsinki, Finland</t>
  </si>
  <si>
    <t>#Leadership #Team #Transformation #Coach #PCC #SocialPsychologist &amp;mom with a mission of #coaching for true potential of people making the world a better place</t>
  </si>
  <si>
    <t>http://www.truepotential.fi</t>
  </si>
  <si>
    <t>Pink Spaghetti</t>
  </si>
  <si>
    <t>When you're busy, time for yourself often disappears - make time in your schedule for fresh air and exercise, it'll reduce #stress and increase #productivity! #VirtualAssistant #PA #Cheshire</t>
  </si>
  <si>
    <t>Alsager, Cheshire</t>
  </si>
  <si>
    <t>When you don't have time, knowledge or inclination to do it yourself. The 25th hour in the day for small business owners. #virtualassistant #pa #cheshire</t>
  </si>
  <si>
    <t>http://www.pink-spaghetti.co.uk</t>
  </si>
  <si>
    <t>Rebecca Hasson</t>
  </si>
  <si>
    <t>NEWS FROM OUR LAB: Increased psychological #stress is associated with increased #dieting behavior among #adolescents with overweight/#obesity. @tajibewa @AlisonMillerPhD @kendrinrae Learn more here:</t>
  </si>
  <si>
    <t>https://www.sciencedirect.com/science/article/abs/pii/S0195666319310098?via%3Dihub</t>
  </si>
  <si>
    <t>@umkines professor, @umcdrl director, @ACSMNews board of trustees, @councilbh governing board, #healthequity researcher, &amp; #twinning with @DrRianCharles</t>
  </si>
  <si>
    <t>http://www.cdrl.kines.umich.edu</t>
  </si>
  <si>
    <t>Michael &amp; Jayne Cox</t>
  </si>
  <si>
    <t>Shall we talk about wellbeing at work this year? How can we help you?  #WorkplaceWellbeing #Wellbeing #Stress #Anxiety</t>
  </si>
  <si>
    <t>http://ht.ly/AeKN30qa9Mc</t>
  </si>
  <si>
    <t xml:space="preserve">#FreeRangeATWork </t>
  </si>
  <si>
    <t>#Specialist #Consultancy focussing on #AV #Technology &amp; #StressManagement for #WorkplaceWellbeing. Proud to work with #F1 World Champions @MercedesAMGF1 🎄</t>
  </si>
  <si>
    <t>http://www.fusion-spaces.com</t>
  </si>
  <si>
    <t>Alzheimer Society YR</t>
  </si>
  <si>
    <t>#FactFriday - Signs of #caregiver #stress</t>
  </si>
  <si>
    <t>https://pbs.twimg.com/media/EOQUVmXX0AAHStA.jpg</t>
  </si>
  <si>
    <t>2 - 240 Edward St. Aurora, ON</t>
  </si>
  <si>
    <t>The Alzheimer Society of York Region supports the more than 15,000 York Region residents living with Alzheimer's/dementia.</t>
  </si>
  <si>
    <t>John Michael Kaiser</t>
  </si>
  <si>
    <t>Be the Best that You can be  #Rut #Smile #Stress</t>
  </si>
  <si>
    <t>https://lttr.ai/MQL1</t>
  </si>
  <si>
    <t>https://pbs.twimg.com/media/EOe01nnXkAIOacF.png</t>
  </si>
  <si>
    <t>Northridge , CA</t>
  </si>
  <si>
    <t>Instrument Manager. Science Communicator. I try to raise awareness of science to the public through blogging.</t>
  </si>
  <si>
    <t>http://jmkthought.blogspot.com/</t>
  </si>
  <si>
    <t>Kalinga TV</t>
  </si>
  <si>
    <t>Air Pollution, #Stress Linked To Thought Problems In #Kids #Kalingatv #AirPollution #childrenhealth</t>
  </si>
  <si>
    <t>https://kalingatv.com/miscellany/air-pollution-stress-linked-to-thought-problems-in-kids/</t>
  </si>
  <si>
    <t>Odisha, India</t>
  </si>
  <si>
    <t>When it comes to Breaking News, Kalinga TV leads the Way with 24x7 Coverage.</t>
  </si>
  <si>
    <t>http://kalingatv.com</t>
  </si>
  <si>
    <t>Kirsty</t>
  </si>
  <si>
    <t>A little something I wrote recently: Ways To Avoid Having A Nightmare Wedding  #Tricky #Wedding #Stress</t>
  </si>
  <si>
    <t>https://lttr.ai/MQLp</t>
  </si>
  <si>
    <t>https://pbs.twimg.com/media/EOe0nhUWsAADJDX.jpg</t>
  </si>
  <si>
    <t>West Midlands, England</t>
  </si>
  <si>
    <t>Latest post: Week 3: A New Me With Slimbiome https://ift.tt/2NCLnST</t>
  </si>
  <si>
    <t>http://www.luvandlifestyle.com</t>
  </si>
  <si>
    <t>TalkingEDs: Glasgow &amp; West Eating Disorder Service</t>
  </si>
  <si>
    <t>This week's #FridayFacts are based on #stress. See our #blog post for more details:  Get in touch if you want some #support or to access #therapy #counselling or #CBT for #stress We are here to listen and support you.</t>
  </si>
  <si>
    <t>https://scribblingsofapsychotherapist.blogspot.com/2020/01/friday-facts-stress.html</t>
  </si>
  <si>
    <t>https://pbs.twimg.com/media/EOeyQSqWAAISRZR.jpg</t>
  </si>
  <si>
    <t>Glasgow &amp; West Eating Disorder Support Service. Therapy, CBT, counselling, support, groups, training, consultations, professional services &amp; more, since 2010.</t>
  </si>
  <si>
    <t>https://www.eatingdisorderscotland.co.uk</t>
  </si>
  <si>
    <t>Unfoldu Online Solutions Pvt Ltd</t>
  </si>
  <si>
    <t>Exams can be stressful, But being prepared can help manage stress. Unfoldu Online &amp; Offline For Multiplatforms! Download the app Now! #unfoldu #multiplatforms #stress #exams #student #onlinelearning #helpfulapp #learningapp #unfolduapp #fridayfeeling #fridaythoughts</t>
  </si>
  <si>
    <t>https://pbs.twimg.com/media/EOeyB5fVAAEysaA.jpg</t>
  </si>
  <si>
    <t>Mohali, Punjab</t>
  </si>
  <si>
    <t>UnfoldU Group Inc. is an OTC Pre-market listed company in USA operating in the field of online education industry. The parent company is based in USA while the</t>
  </si>
  <si>
    <t>https://www.unfoldu.com/</t>
  </si>
  <si>
    <t>Pochat Training</t>
  </si>
  <si>
    <t>602,000 #employees suffered from work-related #stress, #anxiety or #depression last year. How do you think that affects their health, happiness and #productivity? Give us some of your thoughts! #MentalHealth #uksopro #UKSmallbiz #Chesterfield #Derby #Derbyshire #Sheffield</t>
  </si>
  <si>
    <t>https://pbs.twimg.com/media/EOexiZRX0AIdpex.jpg</t>
  </si>
  <si>
    <t>Chesterfield, England</t>
  </si>
  <si>
    <t>Fun, engaging, accredited training courses in First Aid, Mental Health First Aid, citizenAID, Food Safety, Health &amp; Safety, Social Care + more! #PochatTraining</t>
  </si>
  <si>
    <t>https://pochattraining.co.uk/</t>
  </si>
  <si>
    <t>IMe&amp;Myself</t>
  </si>
  <si>
    <t>#PedderRoad Pay top dollar to watch motorists stuck outside ur house ! #LOL ! #MumbaiSaga #stress @PMOIndia urge u to pass thru at peak time</t>
  </si>
  <si>
    <t>on Ipad (launchpad)</t>
  </si>
  <si>
    <t>Idealist. Banker, wanna-be-reformist, follow me and i reciprocate !!!</t>
  </si>
  <si>
    <t>http://www.theidealworld.com</t>
  </si>
  <si>
    <t>David Lim</t>
  </si>
  <si>
    <t>The First Priority … Taking Care Of Yourself  #repost #blog #blogpost #yourfirstpriority #personalhealthandwellbeing #physicalandmentalhealth #worklifebalance #stress #takingcareofyourself #bestpractices</t>
  </si>
  <si>
    <t>https://www.davidlimonline.com/blog/2020/1/1/the-first-priority-taking-care-of-yourself</t>
  </si>
  <si>
    <t>Senior Advisor, Digital Creator, Producer, EP of #ThePowerOfTermination, EP &amp; Host of The David &amp; Ronald Show Podcast, @Labeled_Series Season 2 Out Now!</t>
  </si>
  <si>
    <t>https://www.davidlimonline.com</t>
  </si>
  <si>
    <t>https://pbs.twimg.com/media/EOexTHvWkAUiu4i.jpg</t>
  </si>
  <si>
    <t>Do you agree? #stress #life #change #reactions</t>
  </si>
  <si>
    <t>https://pbs.twimg.com/media/EOexR7XWsAA_Zu3.png</t>
  </si>
  <si>
    <t>GranaGard</t>
  </si>
  <si>
    <t>How to Use the #Breath to Strengthen Your #Mind  #breathing #mindful #mindfulthinking #stress #qualityoflife #life #healthyliving</t>
  </si>
  <si>
    <t>http://gooo.io/mindfulorgmind</t>
  </si>
  <si>
    <t>https://pbs.twimg.com/media/EOZVy9lWsAI9XRw.jpg</t>
  </si>
  <si>
    <t>An Omega 5 softgel with patented nanotech. Animal studies show it improves spatial #memory and protects #brain cells.</t>
  </si>
  <si>
    <t>http://granalix.com</t>
  </si>
  <si>
    <t>Dr Pete Marcelo IL</t>
  </si>
  <si>
    <t>Why Are Young Americans Killing Themselves?  #www.drpetemarcelo.org #anxiety #health #stress #counseling #therapy #autism #adhd #mentalhealth #marriagecounseling #counseling #depression #bipolar #mindfulness #60156...</t>
  </si>
  <si>
    <t>https://nyti.ms/37DrJ0B</t>
  </si>
  <si>
    <t>Huntley, IL</t>
  </si>
  <si>
    <t>Dr Pete Marcelo Psychologist &amp; Counseling Services 60142, Educational Leader, Mental Health, Counseling, Therapist, The Marcelo’s Farm, Hemp Fields Forever</t>
  </si>
  <si>
    <t>http://www.drpetemarcelo.org</t>
  </si>
  <si>
    <t>https://qoo.ly/33v27c</t>
  </si>
  <si>
    <t>03322497743 ❄️ Beat The Cool Breeze With Full Body Massage🥶😍 Timing:12:00pmTo10:00pm #karachiMassageSalon #ThaiMassage #Spa #VictoriaMassageSalon #MassageSalon #StressFree #BeautifulLife #Stress .</t>
  </si>
  <si>
    <t>https://pbs.twimg.com/media/EOeupJJXUAAl1VO.jpg</t>
  </si>
  <si>
    <t>Depression Congress 2020</t>
  </si>
  <si>
    <t>Mix of #stress and #air_pollution may lead to #cognitive difficulties in #children For details visit:</t>
  </si>
  <si>
    <t>https://depressioncongress.neurologyconference.com</t>
  </si>
  <si>
    <t>https://pbs.twimg.com/media/EOeuYsaVAAAQKNP.jpg</t>
  </si>
  <si>
    <t>World’s leading Scientific Event Organizer proudly welcomes all the neurologists, doctors, students and researchers to attend the 2nd World Depression Congress</t>
  </si>
  <si>
    <t>A Relaxation Meditation That Will Reduce Stress thank you @JacquelineGikow  #relaxation #meditation #stress</t>
  </si>
  <si>
    <t>http://snip.ly/96rmq</t>
  </si>
  <si>
    <t>https://pbs.twimg.com/media/EOes2mmXsAEuId9.jpg</t>
  </si>
  <si>
    <t>The Empathy Business</t>
  </si>
  <si>
    <t>We too find it difficult to be #empathic when we are stressed. Especially when you are in a hurry, it is difficult to *really* listen to the other, instead of saying ‘Everything will be fine’. We believe that care and compassion can actually help dealing with #stress. #Empathy RT @theempathybiz: I find being empathic difficult when I am...</t>
  </si>
  <si>
    <t>https://twitter.com/theempathybiz/status/1217236063837659136</t>
  </si>
  <si>
    <t>Transforming the world through empathy. Check out our new campaign @truthabout_tech</t>
  </si>
  <si>
    <t>http://theempathybusiness.co.uk</t>
  </si>
  <si>
    <t>MyLondonWorks</t>
  </si>
  <si>
    <t>Three tips for building a #workplace that's resilient when it comes to #stress:  #HappyAtWork #EmployeeWellbeing</t>
  </si>
  <si>
    <t>https://bit.ly/2G0RMTD</t>
  </si>
  <si>
    <t>https://pbs.twimg.com/media/EOep0zZXsAEklPk.jpg</t>
  </si>
  <si>
    <t>What if every day everyone woke up feeling excited about going to work? My London Works is a burgeoning movement aimed at making this a reality #FutureOfWork</t>
  </si>
  <si>
    <t>http://www.mylondonworks.co.uk</t>
  </si>
  <si>
    <t>HR magazine</t>
  </si>
  <si>
    <t>C-suite staff require more support with #stress HR Magazine:</t>
  </si>
  <si>
    <t>http://bit.ly/2RjJ2gA</t>
  </si>
  <si>
    <t>https://pbs.twimg.com/media/EOepwJiXUAEhZOl.jpg</t>
  </si>
  <si>
    <t>Breaking daily news, blogs and forums, research, new thinking, best practice and strategic information.Towers Watson's HR publication of the year 2012 and 2010.</t>
  </si>
  <si>
    <t>http://www.hrmagazine.co.uk</t>
  </si>
  <si>
    <t>How many personal development workshops offer a money back guarantee? We Do!!  Our next Keeping Calm Weekend Workshop now has 3 places left. Book before 24th Jan to get £100 discount How much incentive do you need ? #Stress #StressManagement #Calm</t>
  </si>
  <si>
    <t>LatestLY</t>
  </si>
  <si>
    <t>Parents Take Note! Air Pollution, Stress Linked to Thought Problems in Kids  #stress #AirPollution #health #Mentalhealth</t>
  </si>
  <si>
    <t>https://www.latestly.com/lifestyle/health-wellness/parents-take-note-air-pollution-stress-linked-to-thought-problems-in-kids-1475750.html</t>
  </si>
  <si>
    <t>http://LatestLY.com focuses on the What, When, Who and How of a trending story, and helps readers with analyses that go beyond the domain of news.</t>
  </si>
  <si>
    <t>https://www.LatestLY.com</t>
  </si>
  <si>
    <t>Faith O Ogbesoyen</t>
  </si>
  <si>
    <t>Nothing beats a #traditionalwedding, the rich #culture #colours, the process it takes, #knocking on the #bridefamily door etc. I for one love the efforts it’s takes, the #stress , the #groom &amp; #groomsmen getting to…</t>
  </si>
  <si>
    <t>https://www.instagram.com/p/B7axVW1n6jX/?igshid=1amvssalk6avi</t>
  </si>
  <si>
    <t>I am a mother, daughter, events planner, coordinator &amp; hotelier</t>
  </si>
  <si>
    <t>Dr Vin</t>
  </si>
  <si>
    <t>What is fusion and defusion and how knowing this can help us with our #mentalhealth? #emotionalliteracy #stress #depression #anxiety</t>
  </si>
  <si>
    <t>https://www.epsychconnect.com/2019/11/what-is-fusion-and-defusion-and-how.html?spref=tw</t>
  </si>
  <si>
    <t>I'm a Family Doctor who has an interest in psychotherapy, relationships, parenting&amp;workplace wellness. Tweets are general in nature NOT specific advice #MH4Docs</t>
  </si>
  <si>
    <t>http://www.epsychconnect.com</t>
  </si>
  <si>
    <t>All About People</t>
  </si>
  <si>
    <t>Several of our #counsellors have trained with The National Centre for Eating Disorders (NCFED). So we have an indepth understanding of them &amp; how to work with the specific issues related to them. #eatingdisorders #anxiety #stress #foodobsession #bodyimage #selfworth</t>
  </si>
  <si>
    <t>https://pbs.twimg.com/media/EOem2clWkAERwbx.jpg</t>
  </si>
  <si>
    <t>Leamington Spa</t>
  </si>
  <si>
    <t>We are a team of highly experienced Therapists, trainers and coaches. We can help you make sense of any difficult situation either personally or professionally</t>
  </si>
  <si>
    <t>http://www.allaboutpeopleltd.co.uk/</t>
  </si>
  <si>
    <t>Skin Renewal SA</t>
  </si>
  <si>
    <t>When it comes to your joints &amp; connective tissue, we talk about the epigenetics, i.e. lifestyle factors, that actually pull the trigger of the proverbial “loaded gun of genetics”  #SkinRenewalSA #HealthRenewal #joints #connectivetissue #stress</t>
  </si>
  <si>
    <t>http://ow.ly/jsMW30l1odY</t>
  </si>
  <si>
    <t>https://pbs.twimg.com/media/EOel2SzXUAEeU9v.jpg</t>
  </si>
  <si>
    <t>South Africa</t>
  </si>
  <si>
    <t>Medical Aesthetic Clinics located in Jhb, Sandton, Pretoria, Centurion,Cape Town, Stellenbosch and Durban - S. Africa</t>
  </si>
  <si>
    <t>http://www.skinrenewal.co.za</t>
  </si>
  <si>
    <t>Airline sorry for forcing passenger to take pregnancy test If you thought that was odd check out the rants on  #trafficjam #android #ios #free #m25 #m6 #m4 #m62 #m5 #m61 #m65 #stress #roadrage #app #rant</t>
  </si>
  <si>
    <t>https://pbs.twimg.com/media/EOelSVqWkAA0bqp.jpg</t>
  </si>
  <si>
    <t>Virtually Yours - the obvious solution</t>
  </si>
  <si>
    <t>As any freelancer knows, you wear numerous hats including finance, marketing and HR hats; to name but three. That’s enough to #stress anyone out so here are five reasons why #meditation can help. Read on, if you’ve time!  @TalentedLadies #freelancer</t>
  </si>
  <si>
    <t>https://buff.ly/2FDx8X7</t>
  </si>
  <si>
    <t>https://pbs.twimg.com/media/EOejUPaXsAEP4Aq.jpg</t>
  </si>
  <si>
    <t>Hazlemere, South East</t>
  </si>
  <si>
    <t>Director at Virtually Yours. I help business owners become more profitable by taking care of their communication and admin needs #VirtuallyYours</t>
  </si>
  <si>
    <t>http://www.virtuallyyours.co.uk</t>
  </si>
  <si>
    <t>𝐈𝐫ï𝐚</t>
  </si>
  <si>
    <t>Healing nature 🌳🌱  #treelovers #nature #environment #research #stress #health</t>
  </si>
  <si>
    <t>https://iheartintelligence.com/more-trees-around-us-lower-stress-levels</t>
  </si>
  <si>
    <t>Heartspace</t>
  </si>
  <si>
    <t>Artist • Photographer • #Nature Lover • Stargazer • Multidimensional Dreamer • #Reality Surfer • #Consciousness Explorer • #Science Nerd • IG: lilsoulscapist</t>
  </si>
  <si>
    <t>Best 5 Essential Oils For Depression, Stress, and Anxiety  #essentialoils #essentialoilsfordepression #anxiety #stress #stressmanagement</t>
  </si>
  <si>
    <t>Onlymyhealth</t>
  </si>
  <si>
    <t>If at any time you suffer anxiety, try these easy and effective 5-second hacks. This is the best first aid for anxiety. #Anxiety #Stress #Hacks</t>
  </si>
  <si>
    <t>https://www.onlymyhealth.com/five-second-tricks-to-relieve-anxiety-problem-1579087211</t>
  </si>
  <si>
    <t>Worry about your health and fitness? No worries, get all the latest information on health, fitness and diet here.</t>
  </si>
  <si>
    <t>http://www.onlymyhealth.com/</t>
  </si>
  <si>
    <t>ThinkCre8tiveGroup CIC</t>
  </si>
  <si>
    <t>This is what we do! #socialprescribing #dementia #musicincarehomes #stroke #heartdisease #lungdisease #substancemisuse #diabetes #pnd #depression #stress @NASPTweets @sabinamelb @TurningPoint_TT @WakefieldMayor @edgehill_HRI</t>
  </si>
  <si>
    <t>https://pbs.twimg.com/media/EOedGhqX0AAWGu5.jpg</t>
  </si>
  <si>
    <t>Bolton, England</t>
  </si>
  <si>
    <t>Not for profit consultancy service for health and education delivering creative projects, training and resources from birth onwards.</t>
  </si>
  <si>
    <t>http://www.thinkcre8tivegroup.com</t>
  </si>
  <si>
    <t>Time Well Spent</t>
  </si>
  <si>
    <t>How to Achieve a Less Stressful Workplace in 2020 -  #GoogleAlerts #stressmanagement #stress</t>
  </si>
  <si>
    <t>https://goo.gl/alerts/vTcuw</t>
  </si>
  <si>
    <t>Devon</t>
  </si>
  <si>
    <t>Virtual PA and Business Administration providing affordable, friendly support for women in business. Building our team to meet the needs of small business.</t>
  </si>
  <si>
    <t>http://www.time-well-spent.co.uk/</t>
  </si>
  <si>
    <t>John Dinsmore</t>
  </si>
  <si>
    <t>Good to see the @wellcometrust tackling issues of researcher #stress and #mentalhealth. Leading research = 1) create a supportive research environment 2) build researcher confidence 3) help develop future leaders. 3 team goals I always strive for as a PI</t>
  </si>
  <si>
    <t>https://www.theguardian.com/society/2020/jan/15/researchers-facing-shocking-levels-of-stress-survey-reveals</t>
  </si>
  <si>
    <t>Dublin City, Ireland</t>
  </si>
  <si>
    <t>#Healthcare Innovation Lead/Deputy Director @TCPHI_TCD; Asst. Prof#digitalhealth @tcddublin; BofD @EITHealth_UKI; PI @ProACT2020 Views my own/RT not endorsement</t>
  </si>
  <si>
    <t>GlobalSign</t>
  </si>
  <si>
    <t>https://okt.to/fbAFEa</t>
  </si>
  <si>
    <t>https://pbs.twimg.com/media/EOeb_mnWAAAD887.jpg</t>
  </si>
  <si>
    <t>Global</t>
  </si>
  <si>
    <t>#PKI Management Made Easy! @GlobalSign have provided Automated, Scalable and Integrated Digital Certificate Solutions for over 20 years. #GlobalSign #SSL #DSS</t>
  </si>
  <si>
    <t>COME</t>
  </si>
  <si>
    <t>Take time out to spend quality time with your family. #Goodmorning #Caregivers #Stress #Burnout #Alzheimer #Babyboomers #Caring #Familycaregivers #Healthcare #Selfcare #Comeoutreach #Youarenotalone #SHARKSyouth #Endurance</t>
  </si>
  <si>
    <t>https://pbs.twimg.com/media/EOeZSljXkAEU02D.jpg</t>
  </si>
  <si>
    <t>Bronx, NY</t>
  </si>
  <si>
    <t>a not for profit organization dedicated to improving health awareness as well as promoting caregiver education and support as they provide for their loved ones</t>
  </si>
  <si>
    <t>http://www.comeoutreach.org</t>
  </si>
  <si>
    <t>BlueCBD</t>
  </si>
  <si>
    <t>Post training taste explosions 😋 Each with 10mg of CBD! Happy Friday! #BlueCBD #CBD #CBDuk #CBDoils #CBDproducts #cbdmovement #cbdhealth #health #healthylifestyle #wellbeing #stress #stressrelief #athlete #athleticperformance #athletelife #crossfit #crossfitters</t>
  </si>
  <si>
    <t>https://pbs.twimg.com/media/EOeZdJOX0AAoCXe.jpg</t>
  </si>
  <si>
    <t>Pursue Greatness, with Calm and Integrity 🏅 Premium Quality CBD Products 💧</t>
  </si>
  <si>
    <t>http://www.bluecbd.co.uk</t>
  </si>
  <si>
    <t>Highfield Healthcare</t>
  </si>
  <si>
    <t>Registration is open for February's @Aware Life Skills Programme! Highfield Healthcare are proud to host this #CBT based, 6 week group programme from 03.02.2020. REGISTER HERE:  💙 #MentalHealth #ItsOKToNotBeOK #Anxiety #Stress #Depression</t>
  </si>
  <si>
    <t>https://bit.ly/373etCR</t>
  </si>
  <si>
    <t>https://pbs.twimg.com/media/EOeZa-iWsAEiw1C.jpg</t>
  </si>
  <si>
    <t>A Family Run, Community of Care. Highfield Healthcare has been providing acute and specialist mental health and nursing home services in Dublin since 1825.</t>
  </si>
  <si>
    <t>http://www.highfieldhealthcare.ie</t>
  </si>
  <si>
    <t>Rejuvage</t>
  </si>
  <si>
    <t>Yoga has benefits as wide ranging as increasing muscle #strength, reducing #weight and improving #stress and #anxiety. Apps offer you the chance to do quick and easy #yoga workouts without the hassle of finding a class to go to.</t>
  </si>
  <si>
    <t>https://rejuvage.com/6-best-yoga-apps-for-2020/</t>
  </si>
  <si>
    <t>https://pbs.twimg.com/media/EOeZVYFX0AgZ4yS.jpg</t>
  </si>
  <si>
    <t>Midsters With Attitude! The first pro ageing destination, we’re redefining life after 50!</t>
  </si>
  <si>
    <t>http://rejuvage.com/</t>
  </si>
  <si>
    <t>WorryHead</t>
  </si>
  <si>
    <t>The way we #think impacts on our lives. #Logic gives us calculated #decisions but #emotions give us risky and unexpected responses. #Stress #impacts the way we think. It affects other areas in our body, our #performance at #work and even family #life.</t>
  </si>
  <si>
    <t>https://zurl.co/RyoZ</t>
  </si>
  <si>
    <t>https://pbs.twimg.com/media/EOeZQ8HX0AAGACN.jpg</t>
  </si>
  <si>
    <t>Worry Head blog is designed to show you through our experience how to stop your worries and help you not only put your life back on track but also improve it!</t>
  </si>
  <si>
    <t>https://www.worryhead.com/</t>
  </si>
  <si>
    <t>Out and About STYLE Mag</t>
  </si>
  <si>
    <t>#Stress isn't just bad for your health, but your skin as well. See how your emotions could be the cause of your skin's problems. 👇🏾  #howdo #emotionsaffect #yourhealth #affectyourbody #forabetterlife #health #health #skin #happy #emotions #skincare</t>
  </si>
  <si>
    <t>https://outandaboutstylemag.com/how-do-emotions-influence-your-skin/</t>
  </si>
  <si>
    <t>https://pbs.twimg.com/media/EOeZKaJU4AEAqxe.jpg</t>
  </si>
  <si>
    <t>A magazine about real people living extraordinary lives. No celebrities, no celebrity gossip; just inspiration and real topics that affects us as 'real people'.</t>
  </si>
  <si>
    <t>http://www.outandaboutstylemag.com</t>
  </si>
  <si>
    <t>Dan Roberts</t>
  </si>
  <si>
    <t>We all deserve a happy childhood, but for many of us growing up is a struggle &amp; the wounds we develop in childhood cause #anxiety, #stress &amp;amp; #depression in later life. Here's my story for @Medium on overcoming a painful past:  #psychology #mentalhealth</t>
  </si>
  <si>
    <t>https://bit.ly/2u5DIpi</t>
  </si>
  <si>
    <t>Cognitive &amp; Schema Therapist. Trauma specialist. Teach &amp; write about psychology/psychotherapy. Helping create a more mindful, compassionate world.</t>
  </si>
  <si>
    <t>https://pbs.twimg.com/media/EOeYXihWoAE17lx.jpg</t>
  </si>
  <si>
    <t>https://pbs.twimg.com/media/EOeYSJEX4AASseU.jpg</t>
  </si>
  <si>
    <t>IIT Hyderabad</t>
  </si>
  <si>
    <t>In a fun-filled session, #Personality Development Trainer Dr. BV Pattabhiram interacted with #IITHyderabad students during an Extra Mural Lecture (#EML) and spoke about dealing with #stress and simple tools to tackle it. @emliith @DrRPNishank @HRDMinistry</t>
  </si>
  <si>
    <t>https://pbs.twimg.com/media/EOeYJUFU8AAb2A6.jpg</t>
  </si>
  <si>
    <t>The Official Twitter Account of the Indian Institute of Technology Hyderabad</t>
  </si>
  <si>
    <t>http://www.iith.ac.in</t>
  </si>
  <si>
    <t>Aware</t>
  </si>
  <si>
    <t>There are only a few places remaining on Aware's FREE Life Skills Online - register now  Learn skills for coping with #anxiety #depression #stress using the principles of #CBT</t>
  </si>
  <si>
    <t>http://bit.ly/AwareLSO</t>
  </si>
  <si>
    <t>https://pbs.twimg.com/media/EOeWX5OXsAUUaWd.png</t>
  </si>
  <si>
    <t>9 Upper Leeson St, Dublin 4.</t>
  </si>
  <si>
    <t>Aware is a non-profit organisation providing education, support and information around #Depression &amp; #BipolarDisorder. Aware's charity number is 20013189.</t>
  </si>
  <si>
    <t>http://www.aware.ie</t>
  </si>
  <si>
    <t>P&amp;S Chemist</t>
  </si>
  <si>
    <t>#ErectileDysfunction is common, in #men over 40. It's usually nothing to worry about &amp; is often due to #stress, #tiredness, #anxiety or #drinking too much #alcohol. But, if it happens often, speak to us @pschemist as treatment &amp;amp; #FridayWisdom is available at our #pharmacy.</t>
  </si>
  <si>
    <t>https://pbs.twimg.com/media/EOeWORoW4AAwphO.jpg</t>
  </si>
  <si>
    <t>Ilford, Essex</t>
  </si>
  <si>
    <t>A multi-award winning pharmacy at the heart of our community. Daily health information, updates, tips, services and offers on health products. Tweets Mon to Fri</t>
  </si>
  <si>
    <t>http://www.pschemist.com</t>
  </si>
  <si>
    <t>AsterGroupUK</t>
  </si>
  <si>
    <t>Thank you to @DorsetMind and Leonie for being part of our #wellbeingontour Waving goodbye to #stress #anxiety 🖐️ RT @DorsetMind: Some great feedback for our amazing trainer Leonie as she shares practical ways to deal with #stress and #anxiety for @AsterGroupUK #wellbeingontour 👏👏☺️ To find out what else we do in our #dorsetmindworks programme follow this link:</t>
  </si>
  <si>
    <t>https://twitter.com/DorsetMind/status/1218097704737431552
http://bit.ly/2FM2viZ
https://twitter.com/juliecridland/status/1217866069433618432</t>
  </si>
  <si>
    <t>Providing safety &amp; security through reliable landlord &amp; independent living services &amp; building new homes. @Sales_Aster for sales. #everyonehasahome</t>
  </si>
  <si>
    <t>http://www.aster.co.uk</t>
  </si>
  <si>
    <t>Expat Directory</t>
  </si>
  <si>
    <t>How to choose a removal company for your international relocation  #Stress #Removalcompanies #Expat</t>
  </si>
  <si>
    <t>https://lttr.ai/MP8i</t>
  </si>
  <si>
    <t>https://pbs.twimg.com/media/EOeUs8wX0AAJ4PJ.jpg</t>
  </si>
  <si>
    <t>Everywhere!</t>
  </si>
  <si>
    <t>Get noticed by the #expat community! Find the right customers for you by promoting your #business in The Expat Directory, part of @ExpatChild network.</t>
  </si>
  <si>
    <t>https://expatchild.com/expatdirectory/</t>
  </si>
  <si>
    <t>03322497743 ❄️ Beat The Cool Breeze With Full Body Massage🥶😍 🌺 Location DHA Phase 5 Khada Market Karachi. Timing:12:00pmTo10:00pm #karachiMassageSalon #ThaiMassage #Spa #VictoriaMassageSalon #MassageSalon #StressFree #BeautifulLife #Stress .</t>
  </si>
  <si>
    <t>https://pbs.twimg.com/media/EOeUOCxWsAAHhcq.jpg</t>
  </si>
  <si>
    <t>BiofeedbackTech</t>
  </si>
  <si>
    <t>learn 'how to effectively and efficiently respond to #stress under pressure' #stressmanagement RT @DrLeahLagos: Biofeedback is a process by which we measure and evaluate changes in your body. By measuring these changes we can teach clients how to effectively and efficiently respond to stress under pressure. #DrLeahLagos #biofeedback #Sportspsychology #StressRelief #PeakPerformance</t>
  </si>
  <si>
    <t>https://twitter.com/DrLeahLagos/status/1217944569876221952</t>
  </si>
  <si>
    <t>pic.twitter.com/udHugGbvEu</t>
  </si>
  <si>
    <t>If you can't measure it how can you improve it? Learn #SelfRegulation to help with #Stress #Anxiety #psychophysiological #Biofeedback #Neurofeedback #HRV</t>
  </si>
  <si>
    <t>http://www.biofeedbacktech.com</t>
  </si>
  <si>
    <t>everywoman</t>
  </si>
  <si>
    <t>.@Unilever announces goal to ensure people with disabilities make up 5% of its workforce by 2025.  #disability #paygap #mentalhealth #stress #wellbeing #equality #inclusion #diversity</t>
  </si>
  <si>
    <t>https://bddy.me/2TDL65Q</t>
  </si>
  <si>
    <t>https://pbs.twimg.com/media/EOeSZcrWsAArBFu.jpg</t>
  </si>
  <si>
    <t>Advancing women in business &amp; contributing to business change for 20 years worldwide. #femaleentrepreneurs #diversity #womeninleadership #ewSelfMade</t>
  </si>
  <si>
    <t>http://www.everywoman.com</t>
  </si>
  <si>
    <t>HR Revolution</t>
  </si>
  <si>
    <t>With increasing levels of absenteeism relating to #workplace #stress, it is increasingly important for employers and employees to recognise the early signs of stress. Read more -  #WorkLifeBalance #stressmanagement</t>
  </si>
  <si>
    <t>http://bit.ly/2NnGmxG</t>
  </si>
  <si>
    <t>https://pbs.twimg.com/media/EOZdeQzW4AA6swx.jpg</t>
  </si>
  <si>
    <t>London &amp; Tunbridge Wells</t>
  </si>
  <si>
    <t>Outsourced HR Services by CIPD qualified experts. We provide HR Solutions, HR Documents and HR advice to SMEs. http://hrrevolution.co.uk</t>
  </si>
  <si>
    <t>http://www.hrrevolution.co.uk</t>
  </si>
  <si>
    <t>Tim Kinser</t>
  </si>
  <si>
    <t>https://pbs.twimg.com/media/EOeRuScX4AA5wbQ.jpg</t>
  </si>
  <si>
    <t>Phoenix, AZ</t>
  </si>
  <si>
    <t>Founder &amp; CEO of Kinser Digital. Marketing Consultant. Social Strategist. Stream promotion. #gaming #gamer #twitch #youtube #mixer</t>
  </si>
  <si>
    <t>Healthcrtoday</t>
  </si>
  <si>
    <t>Taking a few moments each day to practice #deepbreathing exercises can decrease #stress, #relax your #mind, #body and improve #sleep.  #yoga #breathing #abdomen #diaphragmaticbreathing #abdominalbreathing #bellybreathing #nose #relaxationtechniques</t>
  </si>
  <si>
    <t>http://healthcaretoday.com.my/deep-breathing-exercises-to-boost-focus-and-energy.html</t>
  </si>
  <si>
    <t>https://pbs.twimg.com/media/EOeRRnlVUAAafRG.jpg</t>
  </si>
  <si>
    <t>KL</t>
  </si>
  <si>
    <t>Healthcare Today is Malaysia's first dedicated health-based online media.</t>
  </si>
  <si>
    <t>http://healthcaretoday.com.my</t>
  </si>
  <si>
    <t>Human Performance Psychology</t>
  </si>
  <si>
    <t>#Competitive #Stress 🔥🔥Find out how to tackle competitive stress! 🔥🔥🙌  via @AthletesPsych</t>
  </si>
  <si>
    <t>https://humanperformancepsychology.com/2020/01/14/competitive-stress/</t>
  </si>
  <si>
    <t>Bucureşti, România</t>
  </si>
  <si>
    <t>Sport Psychologist/Motivational Mentor/Coach with a life mission to inspire, guide and coach athletes, entrepreneurs &amp; anyone through their amazing journey. 🏆</t>
  </si>
  <si>
    <t>https://humanperformancepsychology.com/</t>
  </si>
  <si>
    <t>Participants needed for online survey! Topic: "Investigating worries of people and how they affect us"  via @SurveyCircle #worrying #worry #worries #stress #MentalHealth #anxiety #research #surveymonkey #survey #surveycircle</t>
  </si>
  <si>
    <t>https://www.surveycircle.com/en/surveys/?cr=at#2f79c2e01181</t>
  </si>
  <si>
    <t>https://pbs.twimg.com/media/EOePEieWkAABdQr.jpg</t>
  </si>
  <si>
    <t>Over 4 in every 5 SME employees have been affected by workplace stress deemed 'excessive', survey reveals  @dolanaccounts #sme #smeuk #business #mentalhealth #stress</t>
  </si>
  <si>
    <t>https://buff.ly/2FSxpIf</t>
  </si>
  <si>
    <t>https://pbs.twimg.com/media/EOeOwwnX4AEQ2YS.jpg</t>
  </si>
  <si>
    <t>Living Healthy List</t>
  </si>
  <si>
    <t>"I now know there is a way out.” K.L."  # #Sleep #Stress #QNRT #Brain #Balance #Wellness</t>
  </si>
  <si>
    <t>https://lttr.ai/MP3M</t>
  </si>
  <si>
    <t>https://pbs.twimg.com/media/EOeORW9XUAAgwTu.png</t>
  </si>
  <si>
    <t>We're all connected. Every one of our experts in health, wellness, personal development, and fun I personally know or they have been referred.</t>
  </si>
  <si>
    <t>Action On Hearing Loss Information Line</t>
  </si>
  <si>
    <t>Are there link between #stress &amp; #tinnitus (noise in the ear(s) or head)? Our factsheet explains what can help to keep stress at bay &amp;amp; what #products, activities &amp;amp; therapies can help with tinnitus to minimise the #impact that stress &amp;amp; tinnitus can have</t>
  </si>
  <si>
    <t>https://bit.ly/2QZtyj4</t>
  </si>
  <si>
    <t>https://pbs.twimg.com/media/EOeN-oeWAAAchve.jpg</t>
  </si>
  <si>
    <t>Action on Hearing Loss Information Line Support + guidance on matters relating to deafness, hearing loss + tinnitus 0808 808 0123 information@hearingloss.org.uk</t>
  </si>
  <si>
    <t>http://www.actiononhearingloss.org.uk</t>
  </si>
  <si>
    <t>Dorothy Martin</t>
  </si>
  <si>
    <t>What if stress was all in the mind... and why it’s a good thing! My Hanuary blog is out - 2 min read  #FridayThoughts #Stress #stressrelief #stressatwork</t>
  </si>
  <si>
    <t>https://dorothymartin.com/how-to-reduce-stress/</t>
  </si>
  <si>
    <t>https://pbs.twimg.com/media/EOeNb2NX0AAks5v.jpg</t>
  </si>
  <si>
    <t>Speaker and leading authority in the field of wellbeing and stress. Helping teams and organisations turn stress into success 💥</t>
  </si>
  <si>
    <t>http://www.dorothymartin.com</t>
  </si>
  <si>
    <t>Dorset Mind</t>
  </si>
  <si>
    <t>Some great feedback for our amazing trainer Leonie as she shares practical ways to deal with #stress and #anxiety for @AsterGroupUK #wellbeingontour 👏👏☺️ To find out what else we do in our #dorsetmindworks programme follow this link:  RT @JulieCridland: @CIHFutures @AsterGroupUK @DorsetMind So great to see you Leonie @thinkingacademy can’t wait to see you again tomorrow #Resilience #StressAndAnxiety #wellbeingontour</t>
  </si>
  <si>
    <t>http://bit.ly/2FM2viZ
https://twitter.com/juliecridland/status/1217866069433618432</t>
  </si>
  <si>
    <t>South West, England</t>
  </si>
  <si>
    <t>We educate people &amp; communities; challenge stigma &amp; inequality; and promote recovery towards positive mental health and wellbeing in Dorset.</t>
  </si>
  <si>
    <t>http://www.dorsetmind.uk</t>
  </si>
  <si>
    <t>Hypnosis Studio</t>
  </si>
  <si>
    <t>Help for Irritable Bowel Syndrome ▸  #Stress #Irritablebowelsyndrome #Hypnosis</t>
  </si>
  <si>
    <t>https://lttr.ai/MP04</t>
  </si>
  <si>
    <t>https://pbs.twimg.com/media/EOeL7XaWAAA8ReG.jpg</t>
  </si>
  <si>
    <t>Newport Pagnell, Milton Keynes</t>
  </si>
  <si>
    <t>Hypnotherapy services for weight control, anxiety &amp; confidence. Member of the National Council of Hypnotherapy.</t>
  </si>
  <si>
    <t>https://hypnosisstudio.co.uk</t>
  </si>
  <si>
    <t>UCC</t>
  </si>
  <si>
    <t>#Yoga is a great way to relax, relieve #stress and build positive mental well-being for anyone at any age and ability. Join us today in the dance studio on the lower ground between 12pm-1pm for our first yoga session for #MentalWellnessMonth.</t>
  </si>
  <si>
    <t>Croydon</t>
  </si>
  <si>
    <t>University Centre Croydon (UCC) is one of the largest providers of Higher Education between London and Brighton.</t>
  </si>
  <si>
    <t>http://www.croydon.ac.uk/ucc</t>
  </si>
  <si>
    <t>Croydon College</t>
  </si>
  <si>
    <t>Croydon, Greater London</t>
  </si>
  <si>
    <t>One of the largest providers of Further and Higher Education and Apprenticeship courses in the South East.</t>
  </si>
  <si>
    <t>http://www.croydon.ac.uk</t>
  </si>
  <si>
    <t>happy new queer!</t>
  </si>
  <si>
    <t>Im baby sitting a cat. Never have I spent some much time with a feline. I’m super attached and miss him all day while at work. How can I return him on Sunday? He is now my reason for living. #cat #stress #wtC</t>
  </si>
  <si>
    <t>https://pbs.twimg.com/media/EOeLeXBXkAEXazu.jpg</t>
  </si>
  <si>
    <t>Dublin/Amsterdam</t>
  </si>
  <si>
    <t>37, Social Media Officer at ROMEO, Storyteller, Lover, Writer, English teacher, sober 01~01~18 (he, him and also she, her, depends on who’s talking to me)</t>
  </si>
  <si>
    <t>https://open.spotify.com/episode/6TdGxMIjTNgeFSqXC4UTAH?si=r2LhSNIzTdemvnkru11yCQ</t>
  </si>
  <si>
    <t>Paula Hammond</t>
  </si>
  <si>
    <t>Stress is a toxin: like mercury poisoning, it can knock decades off your life. The Science of #Stress and how to deal with it</t>
  </si>
  <si>
    <t>https://link.medium.com/Pw9QYt5Mj3</t>
  </si>
  <si>
    <t>Feature-writer, author of 50+ traditionally-published fiction &amp; non-fiction books, booze blogger, vegan, geek. Banner art by Steve Lillie</t>
  </si>
  <si>
    <t>TranceForm Hypnosis</t>
  </si>
  <si>
    <t>A great article:Be positive! The benefits of solution focused hypnotherapy. for anxiety &amp; #stress building self esteem in chester &amp;amp; cheshire.</t>
  </si>
  <si>
    <t>http://ow.ly/xmyj301eI49</t>
  </si>
  <si>
    <t>Chester, England</t>
  </si>
  <si>
    <t>Helping you make positive changes in your life. Improving #motivation | changing habits | combating #stress | #weightloss | #smokingcessation 121 or Skype</t>
  </si>
  <si>
    <t>http://www.tranceformhypnosis.co.uk</t>
  </si>
  <si>
    <t>2 VAT Ladies</t>
  </si>
  <si>
    <t>#BrumHour The next #VAT return payment deadline is 7th February 😮. Be prepared by saving a % of your gross turnover into a separate bank account, all year round. This relieves #stress &amp; helps you keep on top of your #business finances 👍 #FridayFeeling</t>
  </si>
  <si>
    <t>https://www.cmspubaccountancy.co.uk/</t>
  </si>
  <si>
    <t>https://pbs.twimg.com/media/EOeKY0UWAAEy_py.jpg</t>
  </si>
  <si>
    <t>Specialist accountancy services for pub landlords, owners and those in the licenced trade.</t>
  </si>
  <si>
    <t>mojow</t>
  </si>
  <si>
    <t>This post discusses negative emotions and how to hide them away under the carpet, so no one will know we have them in the first place. Just joking! @janinecera shares with you how she manage them.  #mindset #stress #anxiety How do you manage them?</t>
  </si>
  <si>
    <t>https://buff.ly/340gm0A</t>
  </si>
  <si>
    <t>https://pbs.twimg.com/media/EOeKXzbX4AAKYIn.png</t>
  </si>
  <si>
    <t>london</t>
  </si>
  <si>
    <t>Feel better, healthier, happier. Wellbeing at work.</t>
  </si>
  <si>
    <t>http://www.mojow.com</t>
  </si>
  <si>
    <t>NO RISK NO STRESS See It Now:  #PlaceFreeAds #Risk #Stress</t>
  </si>
  <si>
    <t>https://qwikad.com/697/posts/20-Income-Opps/129-Business-Opportunities/853282-NO-RISK-NO-STRESS.html</t>
  </si>
  <si>
    <t>Psychosomatic Medicine 2020</t>
  </si>
  <si>
    <t>Abstract submission open at  Hurry up! Grab your speaker slot now #psychiatry #psychology #psychosomaticmedicine #stress #Mentalhealth #psychotherapy #Neuroscience #Healthcare #Psychopharmacology #Pediatrics #Nursing #Yoga #meditation #Depression #Suicide</t>
  </si>
  <si>
    <t>http://professionalconferences.org/meet-us/psychosomatic-2020-562</t>
  </si>
  <si>
    <t>https://pbs.twimg.com/media/EOeJkXVU0AEQCDb.jpg</t>
  </si>
  <si>
    <t>We are one of the largest conference organizing body in Europe, come and experience the greatest meetings organized by us. #psychiatry #psychology #mentalhealth</t>
  </si>
  <si>
    <t>“How to Slow Your Racing Mind”  #mentalhealth mindfulness #ADD #stress #meditation</t>
  </si>
  <si>
    <t>https://mindfulnessmeditationinstitute.org/2013/03/18/how-to-slow-your-racing-mind/</t>
  </si>
  <si>
    <t>Expat Child</t>
  </si>
  <si>
    <t>How to choose a removal company for your international relocation  #Expat #Removalcompanies #Stress</t>
  </si>
  <si>
    <t>https://lttr.ai/MPxp</t>
  </si>
  <si>
    <t>https://pbs.twimg.com/media/EOeIz20WAAAL1im.jpg</t>
  </si>
  <si>
    <t>Repatriated to the UK 2018</t>
  </si>
  <si>
    <t>Info and advice for parents relocating overseas with their kids. I’ll help make your overseas relocation easy for the whole family!</t>
  </si>
  <si>
    <t>https://expatchild.com</t>
  </si>
  <si>
    <t>JoAnn Delaney</t>
  </si>
  <si>
    <t>MindShiftKQED: It's tough to be a teenager. Hormones kick in, peer pressures escalate and academic expectations loom large. The whole mix of changes can increase #stress, #anxiety and the risk of #depression among all #teens</t>
  </si>
  <si>
    <t>http://ow.ly/pkPI50xXGqf</t>
  </si>
  <si>
    <t>Hershey, PA</t>
  </si>
  <si>
    <t>HMS Teacher 26 Yrs.Exp. MSE BED #DoMoreEdu Blogger. Paperless Inquiry Classroom-Constructed Understanding-Collaborative. PBS Innovator. Keystone Star.</t>
  </si>
  <si>
    <t>https://jdelaneyjoann.wordpress.com/</t>
  </si>
  <si>
    <t>Expatability</t>
  </si>
  <si>
    <t>https://lttr.ai/MPxJ</t>
  </si>
  <si>
    <t>https://pbs.twimg.com/media/EOeIv0SXUAEm4vL.jpg</t>
  </si>
  <si>
    <t>Expat Life Mentor and Consultant. I'll help you navigate the challenges of moving and living overseas. I'm Carole + also @ExpatChild and @Expat_Directory 😘</t>
  </si>
  <si>
    <t>https://expatability.net</t>
  </si>
  <si>
    <t>Medical Xpress</t>
  </si>
  <si>
    <t>Mix of #stress and #airpollution may lead to cognitive difficulties in children @ColumbiaMSPH</t>
  </si>
  <si>
    <t>https://medicalxpress.com/news/2020-01-stress-air-pollution-cognitive-difficulties.html</t>
  </si>
  <si>
    <t>Latest research news on health and medicine</t>
  </si>
  <si>
    <t>http://medicalxpress.com</t>
  </si>
  <si>
    <t>SelfcareIsntSelfish</t>
  </si>
  <si>
    <t>DO NOT miss reading this - can you afford not too?? #selfcare #selfcaresquad #anxiety #anxietyrecovery #stressmanagement #stress RT @SelfCarePsy: NEW BLOG. Can You Afford Not to Self-Care?</t>
  </si>
  <si>
    <t>https://twitter.com/selfcarepsy/status/1217821321733857285
https://www.selfcarepsychology.com/single-post/2020/01/10/Can-You-Afford-Not-to-Self-Care</t>
  </si>
  <si>
    <t>We’re taking a little self-care break for the moment to concentrate on @selfcarepsy SelfCare Psychology 😊👍🥰😘😊</t>
  </si>
  <si>
    <t>http://www.selfcareisntselfish.com</t>
  </si>
  <si>
    <t>ScienceNOW</t>
  </si>
  <si>
    <t>"Time Management"  #Time #productivity #Anxiety #Stress</t>
  </si>
  <si>
    <t>https://lttr.ai/MPpH</t>
  </si>
  <si>
    <t>https://pbs.twimg.com/media/EOd_FC3WsAImBQx.png</t>
  </si>
  <si>
    <t>You don’t want the science later, you want the science NOW. Email medium articles to thesciencenow@gmail.com for a chance to be published!</t>
  </si>
  <si>
    <t>https://medium.com/sciencenow</t>
  </si>
  <si>
    <t>MAXIMUS Training</t>
  </si>
  <si>
    <t>Constantly dealing with #stress? Tired of being tired? Call us on 0116 281 9834 to find out about our #funded #AdultEducationBudget courses in #stress awareness.</t>
  </si>
  <si>
    <t>https://pbs.twimg.com/media/EOd-Bm8WkAA8d83.jpg</t>
  </si>
  <si>
    <t>We provide training, skills development and apprenticeships to a range of public and private sector employers across a variety of sectors.</t>
  </si>
  <si>
    <t>http://www.maximusuk.co.uk/training</t>
  </si>
  <si>
    <t>Claudia Tan</t>
  </si>
  <si>
    <t>A day started off correctly can make all the difference for the hours ahead of when it comes to stress. Want some more advice? Take a look at this article:  #stress</t>
  </si>
  <si>
    <t>https://fm100.com/2020/01/14/5-ways-to-reduce-stress-at-your-desk/</t>
  </si>
  <si>
    <t>https://pbs.twimg.com/media/EOd90vTWAAAb_St.jpg</t>
  </si>
  <si>
    <t>Stuttgart, Germany &amp; worldwide</t>
  </si>
  <si>
    <t>Shaping Minds For Success</t>
  </si>
  <si>
    <t>Stress Management</t>
  </si>
  <si>
    <t>The surprising link between depression and the pursuit of happiness #stress</t>
  </si>
  <si>
    <t>https://www.medicalnewstoday.com/articles/327493.php</t>
  </si>
  <si>
    <t>Blog sharing knowledge and tips about stress management and wellness!</t>
  </si>
  <si>
    <t>http://trystressmanagement.com</t>
  </si>
  <si>
    <t>Teresa Swann/Essential Health</t>
  </si>
  <si>
    <t>You are worrying too much about things that have not even happened yet . #worry #worryaboutyourself #anxious #anxiety #stress #stressful #worryless #worryfree #worrying #happy #happiness</t>
  </si>
  <si>
    <t>https://www.instagram.com/p/B7acZgjH_x0/?igshid=12a7703qd6bhm</t>
  </si>
  <si>
    <t>Benfleet,Essex,England</t>
  </si>
  <si>
    <t>#Benfleetpsychic, #Author, #Healer,#BioBrain,#Doterra, #moneyforhouse,#entrepreneur, #homebiz, #essential ,#psychic http://angelspiritmessages.blogspot.co.uk</t>
  </si>
  <si>
    <t>http://www.angelspiritmessages.co.uk</t>
  </si>
  <si>
    <t>The Essex Girl</t>
  </si>
  <si>
    <t>This has probably been the worst week ever. I need to get today over with and start again. #unwell #mum #ambulance #hospital #dementia #stress #work #unpleasant #worstweek #respiratory #weekover</t>
  </si>
  <si>
    <t>Essex Girl. Petrolhead. Cars. Motorbikes. Vans. Hotrods. Customs. Drag Racing. Arsenal. Motor Parts Direct. Weekend MTB Wanker. *All views/opinions are my own*</t>
  </si>
  <si>
    <t>https://www.mpdonline.co.uk/stores/detail/car-parts-in-Redruth</t>
  </si>
  <si>
    <t>Buckets Of Tea</t>
  </si>
  <si>
    <t>7 Ways To Help Ease Stress  #stress #reducestress</t>
  </si>
  <si>
    <t>https://whatcandacedidnext.co.uk/self-love/ease-stress/</t>
  </si>
  <si>
    <t>https://pbs.twimg.com/media/EOd4xU3XUAEu-wr.jpg</t>
  </si>
  <si>
    <t>Adventures, passions &amp; dreams of a 40 something tea drinker; afternoon tea, food &amp; travel all washed down with buckets of tea. Grab a cuppa &amp; let's tweet!</t>
  </si>
  <si>
    <t>http://bucketsoftea.co.uk</t>
  </si>
  <si>
    <t>LostInQueue</t>
  </si>
  <si>
    <t>Here’s a deep thought at 2:30a here while all are asleep but me. Every time I close my eyes to try to as well, I keep hearing a child cry. It’s neither of mine when I wake, which makes me wonder if it’s my son I’d lost 10 years ago contacting me from heaven. #stress #momlife</t>
  </si>
  <si>
    <t>I’m a stay at home mom who loves to read, write and make art for Reylo and Fan Fiction. Your imaginations are adored and give me life. Keep exploring friends!</t>
  </si>
  <si>
    <t>The Health &amp; Wellbeing Academy</t>
  </si>
  <si>
    <t>Mental wellbeing describes your mental state - how you are feeling and how well you can cope with day-to-day life. Take a validated wellbeing survey today. Enroll for free@  #health #stress #managestress #healthandwellnessacademy #mentalhealth</t>
  </si>
  <si>
    <t>https://bit.ly/384ub0j</t>
  </si>
  <si>
    <t>https://pbs.twimg.com/media/EOd292FX0AAcLPE.jpg</t>
  </si>
  <si>
    <t>Our #ambition is to #use our #knowledge, #experience to #support our #learners in #developing #improved #self #awareness, #resilience, &amp; #fulfillment in #life</t>
  </si>
  <si>
    <t>https://health-wellbeing-academy.thinkific.com/</t>
  </si>
  <si>
    <t>Wildheart Media</t>
  </si>
  <si>
    <t>#Wellness businesses do well to help their clients #destress. But what about you? Do you feel business #stress? If so, read a few of these 16 ways that @Forbes recommends to handle business stress. |  #Forbes #BusinessStress #Wellbeing #Health</t>
  </si>
  <si>
    <t>http://ow.ly/Lt9F50xRIcf</t>
  </si>
  <si>
    <t>https://pbs.twimg.com/media/EOd28FAW4AIy2pz.jpg</t>
  </si>
  <si>
    <t>Brighton, England</t>
  </si>
  <si>
    <t>Our #marketing packages help you to help others. Located in #🇸🇪, #🇬🇧 and #🇺🇸 #DigitalMarketingServices #Wellness #Wellbeing #Yoga #WebDesign #LogoWork</t>
  </si>
  <si>
    <t>https://wildheartmedia.com</t>
  </si>
  <si>
    <t>#Reflexology is best for people who are looking to #relax or restore their natural energy levels. It’s also a good option if you aren’t comfortable being touched on your entire body. #Stress</t>
  </si>
  <si>
    <t>Michael Mol</t>
  </si>
  <si>
    <t>How you spend your days has a direct impact on how you spend your nights. Lifestyle factors that have a direct impact on #sleep range from the obvious (#stress) to the not so obvious (#diet)</t>
  </si>
  <si>
    <t>A husband to one, father to three, friend to a few, a stranger to many, but not to God.</t>
  </si>
  <si>
    <t>http://www.drmichaelmol.com</t>
  </si>
  <si>
    <t>Go Wise Online</t>
  </si>
  <si>
    <t>Fantastic checklist. So important for stress and mental health. #wecare #MentalHealthAwareness #mentalhealth #talk #emergencyservices #stress #Wellbeing #wellness RT @NorthantsChief: As part of our wellbeing programme we will be making sure that our ‘Going home checklist’ is followed and understood by every member of staff. No one should carry the trauma and stress of their job home. Decompressing, refreshing and talking helps. We’re on it..</t>
  </si>
  <si>
    <t>https://twitter.com/northantschief/status/1217557646762500097</t>
  </si>
  <si>
    <t>https://pbs.twimg.com/media/EOWiOKFXkAMTWQj.jpg</t>
  </si>
  <si>
    <t>Yorkshire and The Humber</t>
  </si>
  <si>
    <t>I am a Former Detective. I present internet safety to schools &amp; parents. I'm passionate about children travelling their digital world safely #education #esafety</t>
  </si>
  <si>
    <t>http://www.gowiseonline.co.uk</t>
  </si>
  <si>
    <t>the2020hustle</t>
  </si>
  <si>
    <t>I’m trying to be more communicative, mindful and #healthy this year. Any tips of on how to reduce my #stress?</t>
  </si>
  <si>
    <t>Hustling to make this year the best year so far!</t>
  </si>
  <si>
    <t>https://www.instagram.com/the2020hustle/</t>
  </si>
  <si>
    <t>https://www.podbean.com/eau/pb-t9bp8-cfde5f</t>
  </si>
  <si>
    <t>IinLife</t>
  </si>
  <si>
    <t>It’s very important to understand how stress affects your body and mind. Know more@  Talk to us@ 9686126979 #coaching #business #startups #businesstips #businesscoach #executivecoaching #motivation #leadership #stress #mentalhealth #physicalhealth #health</t>
  </si>
  <si>
    <t>http://www.iinlife.in/</t>
  </si>
  <si>
    <t>https://pbs.twimg.com/media/EOdwMlsU4AEoX5b.jpg</t>
  </si>
  <si>
    <t>Sea Sanctuary</t>
  </si>
  <si>
    <t>‘It’s characterised by three factors: feelings of energy depletion or exhaustion; increased mental distance or negativity surrounding your job; and reduced productivity.’  #mentalhealth #burnout #mentalhealthawareness #mentalhealthnews #hearthealth #stress</t>
  </si>
  <si>
    <t>http://ow.ly/8opr30q9gYG</t>
  </si>
  <si>
    <t>Cornwall</t>
  </si>
  <si>
    <t>Mental health charity in Cornwall, leading a blue health initiative. We take therapy out of the office and onto the water with our yacht, Fire Dancer.</t>
  </si>
  <si>
    <t>http://www.seasanctuary.org.uk</t>
  </si>
  <si>
    <t>Olivia</t>
  </si>
  <si>
    <t>As per the #WHO , #Mentalhealth is a state of wellbeing in which an individual can cope up with day to day stress of life and can work productively. Request for Sample @  #depression #health #anxiety #mentalillness #wellness #stress #parenting #bipolar</t>
  </si>
  <si>
    <t>http://bit.ly/2u8w6SO</t>
  </si>
  <si>
    <t>https://pbs.twimg.com/media/EOdswtrUEAEHmFN.jpg</t>
  </si>
  <si>
    <t>Pune, India</t>
  </si>
  <si>
    <t>COO at The Insight Partners Knowledge Services Amanora Chambers, East Block, Amanora Township,</t>
  </si>
  <si>
    <t>https://www.theinsightpartners.com/</t>
  </si>
  <si>
    <t>Matt India</t>
  </si>
  <si>
    <t>Ayurveda Therapy for Stress Management Read on  #ayurveda #therapy #stress #management #ayurvedatherapy #stressmanagement #mattindia #ayurvedacentre #ayurvedastresstherapy #types</t>
  </si>
  <si>
    <t>https://www.mattindia.com/ayurveda-therapy-for-stress-management/</t>
  </si>
  <si>
    <t>https://pbs.twimg.com/media/EOdq9wYUEAEOgvS.jpg</t>
  </si>
  <si>
    <t>Alleppey</t>
  </si>
  <si>
    <t>Ayurveda Treatment in India by MATT India Ayurveda Hospital located at Kerla. Get traditional ayurvedic treatment for all Disorders</t>
  </si>
  <si>
    <t>https://www.mattindia.com/</t>
  </si>
  <si>
    <t>@COSATU Today</t>
  </si>
  <si>
    <t>Dear #Shopstewards: Going #Back2Basics simplified entails appreciating the diverse backgrounds of workers at the workplace&amp;creating spaces for individual and private engagements to resolve mental health issues affecting workers such as #stress #depression which cannot be ignored</t>
  </si>
  <si>
    <t>https://pbs.twimg.com/media/EOdpy_IX0AA5Ws0.jpg</t>
  </si>
  <si>
    <t>Africa's largest Federation Official tweets,the home of the toiling classes across the world,with more than 2million membership...Amandla!</t>
  </si>
  <si>
    <t>http://www.cosatu.org.za</t>
  </si>
  <si>
    <t>MK Abina</t>
  </si>
  <si>
    <t>I hate how in business, everything is a learning curve and you need to keep tweaking till you find a good enough system. #stress</t>
  </si>
  <si>
    <t>Lagos, Nigeria</t>
  </si>
  <si>
    <t>💁🏾‍♀️ Owner of @hairbyreni 👱🏾‍♀️and @rendolllagos👗</t>
  </si>
  <si>
    <t>http://www.konbini.com/ng/lifestyle/rendoll-millennial-womenswear-brand-closet-needs/</t>
  </si>
  <si>
    <t>Joanne Dominico</t>
  </si>
  <si>
    <t>If not now, Then when? Get in touch to know more:  #studentproblems #student #highschool #studying #study #studentlife #stress #StudyWithJoanne #Education #EducationalSpeaker #AcademicAssistance #StudentLifeProblems #Canada #Toronto</t>
  </si>
  <si>
    <t>http://bit.ly/2n2DSuk</t>
  </si>
  <si>
    <t>https://pbs.twimg.com/media/EOdnMU5U8AA8oFr.jpg</t>
  </si>
  <si>
    <t>I am a Learning Strategist, Academic Success Coach and self proclaimed Study Skills Ninja! I help students learn how to learn more efficiently and effectively.</t>
  </si>
  <si>
    <t>http://bit.ly/2nbF26J</t>
  </si>
  <si>
    <t>Maria Baias</t>
  </si>
  <si>
    <t>We become #scientists because of our curiosity and our love for #science, but it turns out that #academia is not the ideal world we imagined. Without the #stress and bullying we could focus so much more on #research and we would be a lot more productive.</t>
  </si>
  <si>
    <t>https://www.nature.com/articles/d41586-020-00101-9</t>
  </si>
  <si>
    <t>Abu Dhabi</t>
  </si>
  <si>
    <t>Assistant Professor of Chemistry @NYUAbuDhabi, #NMR Spectroscopist, Heritage Scientist. Certified #BodyLanguage trainer. Writer.</t>
  </si>
  <si>
    <t>http://mariabaias.com</t>
  </si>
  <si>
    <t>Mick's-Tr🔚ds foR yOu</t>
  </si>
  <si>
    <t>Five thousand disabled people who were underpaid #benefits #died before they could be reimbursed @DWP. The #government has indirectly killed these #claimants. #stress #mind @dwppressoffice</t>
  </si>
  <si>
    <t>https://www.independent.co.uk/news/uk/home-news/disabled-benefits-underpaid-dwp-esa-died-payment-a9287371.html</t>
  </si>
  <si>
    <t>London @micklondon</t>
  </si>
  <si>
    <t>"TR🔚S" are so 'important' atm but in reality they're fleeting. Just like #brexit &amp; #KylieJ . #Trends curated by ME.</t>
  </si>
  <si>
    <t>Hoxbe UK</t>
  </si>
  <si>
    <t>Dealing with stress in the workplace According to the #HSE (Health and Safety Executive), over 480,000 people in the #UK reported that work-related #stress was making them ill. This amounts to nearly 40% of all work-related illness. #hospitality #workplace</t>
  </si>
  <si>
    <t>https://pbs.twimg.com/media/EOdkBAYXkAAf2dl.jpg</t>
  </si>
  <si>
    <t>🇬🇧 * Hotel Inspector &amp; Restaurant Evaluator * Hospitality Management * England, Wales &amp; Scotland * Betty Jankowska owner of Hoxbe UK *</t>
  </si>
  <si>
    <t>http://www.hoxbe.co.uk</t>
  </si>
  <si>
    <t>LenmedHealth</t>
  </si>
  <si>
    <t>When children are struggling with stress, parents can work with their children to introduce family relaxing time &amp; help them develop lifelong habits for coping. . Visit  #stress #anxiety #stressmanagement #backtoschool #LenmedHasHeart</t>
  </si>
  <si>
    <t>https://bit.ly/35PTLWm
http://www.drelamanga.com/info@lenmed.co.za</t>
  </si>
  <si>
    <t>https://pbs.twimg.com/media/EOdiVDSXsAA9_Yx.jpg</t>
  </si>
  <si>
    <t>Private Healthcare in South Africa, Botswana and Mozambique</t>
  </si>
  <si>
    <t>http://www.lenmedhealth.co.za</t>
  </si>
  <si>
    <t>Nydia Liu</t>
  </si>
  <si>
    <t>Pathological significance of tRNA-derived small RNAs in neurological disorders #tRNAderivedsmallRNAs #neurologicaldisorder #epigenetics #molecularbiology #sequencing #stress</t>
  </si>
  <si>
    <t>http://www.nrronline.org/text.asp?2020/15/2/212/265560</t>
  </si>
  <si>
    <t>https://pbs.twimg.com/media/EOdiTfOVUAAyY9I.jpg</t>
  </si>
  <si>
    <t>Liaoning Province, China</t>
  </si>
  <si>
    <t>Editor of Neural Regeneration Research (NRR). NRR aims to report basic and clinical researches in the international field of neuroregeneration.</t>
  </si>
  <si>
    <t>http://www.nrronline.org</t>
  </si>
  <si>
    <t>EHHC</t>
  </si>
  <si>
    <t>https://pbs.twimg.com/media/EOdiT_zX4AAFB-M.jpg</t>
  </si>
  <si>
    <t>Durban</t>
  </si>
  <si>
    <t>We do our utmost to ensure that every patient receives the very highest standard of care.</t>
  </si>
  <si>
    <t>http://www.ehhc.co.za</t>
  </si>
  <si>
    <t>Lets Join:  Corrigendum: Violent Behavior During Psychiatric Inpatient Treatment in a German Prison Hospital #Mentalhealth #Psychiatry #Bipolardisorder #Addiction #MentalIllness #ClinicalNeuropsychology #Childabuse #Stress #Autism</t>
  </si>
  <si>
    <t>https://pbs.twimg.com/media/EOdiS9QUEAIZTrJ.jpg</t>
  </si>
  <si>
    <t>Crawford Coaching</t>
  </si>
  <si>
    <t>🌟 Blog Post 🌟 Check it out! #Stress and excitement share the same physiological sensations. Your perception of these symptoms determines if it's positive or negative.</t>
  </si>
  <si>
    <t>http://crawfordcoaching.ca/2019/06/03/stress-101/</t>
  </si>
  <si>
    <t>https://pbs.twimg.com/media/EOdfQ6RW4AA6U8S.jpg</t>
  </si>
  <si>
    <t>Montréal, Québec</t>
  </si>
  <si>
    <t>Sami G 🍁 Certified Montreal based Health &amp; Wellness Coach. I help people incorporate healthier habits into their lives to improve long-term health. #prevention</t>
  </si>
  <si>
    <t>http://www.crawfordcoaching.ca</t>
  </si>
  <si>
    <t>The Planet Health TV</t>
  </si>
  <si>
    <t>The amount of time teenagers spend on social Medias has risen 62.5% continues to grow. Critics have claimed that more screen time is increasing depression and anxiety in teenagers. #ThePlanetHealthTv #PlanetHealthCares #Depression #Stress #Health #SocialMedia</t>
  </si>
  <si>
    <t>The Planet Health TV is a group devoted to fostering emotional wellness &amp; growth via:1. Interactive media 2. Counselling 3. rating doctors/lawyers 4. e-commerce</t>
  </si>
  <si>
    <t>http://www.ThePlanetHealthTV.com</t>
  </si>
  <si>
    <t>The Importance and the Benefits Derived by Cycling See:  @isrgrajan #FridayMotivation #IsrgRajan #Abs #biceps #bicycle #bike #club #Cycle #excercise #fitness #men #ride #six_packs #Society #Stress #tall #Technology</t>
  </si>
  <si>
    <t>https://isrg.me/Vbda0B</t>
  </si>
  <si>
    <t>https://pbs.twimg.com/media/EOdbbDOWkAE9XZn.jpg</t>
  </si>
  <si>
    <t>H.M</t>
  </si>
  <si>
    <t>https://kingsumo.com/g/9agctd/giveaway-january-2020/198ddex</t>
  </si>
  <si>
    <t>Royeen Rahnosh</t>
  </si>
  <si>
    <t>In Turkey, #Sufi #music is used to #decrease patient #stress</t>
  </si>
  <si>
    <t>https://www.pri.org/stories/2012-04-27/turkey-sufi-music-used-decrease-patient-stress</t>
  </si>
  <si>
    <t>Afghanistan</t>
  </si>
  <si>
    <t>Journalist at BBC World Service/ Afghanistan. poet and writer: Two poetry collection published.</t>
  </si>
  <si>
    <t>https://www.bbc.com/persian</t>
  </si>
  <si>
    <t>Does modern life have you moving too fast? "There is power in the pause" says Dr. Sheila Walker in this #podcast interview that will help you to manage toxic #stress.</t>
  </si>
  <si>
    <t>http://www.makeeverythingfun.com/radio/mantras-managing-toxic-stress-dr-sheila-walker/</t>
  </si>
  <si>
    <t>https://pbs.twimg.com/media/EOdVUTsXUAE13oc.jpg</t>
  </si>
  <si>
    <t>Nicky Cullen</t>
  </si>
  <si>
    <t>Sometimes shit just doesn't work out. And sometimes you need to quit that shit. #stress #anxiety #mentalhealth</t>
  </si>
  <si>
    <t>https://www.nickycullen.com/articles/when-is-it-time-to-quit</t>
  </si>
  <si>
    <t>The World</t>
  </si>
  <si>
    <t>No Bullshit anxiety writings, support, challenges and more. Basically, I write about life. Visit http://www.nickycullen.com for more</t>
  </si>
  <si>
    <t>http://www.nickycullen.com</t>
  </si>
  <si>
    <t>Tech Junkie</t>
  </si>
  <si>
    <t>Scientists Reveal How to Control Your #Dreams and Lower #Stress and #Anxiety  #TechJunkieNews</t>
  </si>
  <si>
    <t>http://bit.ly/2Tgh4oD</t>
  </si>
  <si>
    <t>https://pbs.twimg.com/media/EOdSSwQWoAAmwXs.jpg</t>
  </si>
  <si>
    <t>http://techjunkieblog.com , promoter of coding. Coding should be fun. How you think is just as important as what you think. News,games,Movies,TV, invest junkie</t>
  </si>
  <si>
    <t>http://www.techjunkieblog.com</t>
  </si>
  <si>
    <t>5 Ways to Reduce #Stress at Your Desk - FM100.3 - Better Music Better Work Day</t>
  </si>
  <si>
    <t>Author SoniaWilliams</t>
  </si>
  <si>
    <t>How can one avoid life overload? #lifelessons #stress</t>
  </si>
  <si>
    <t>https://www.quora.com/How-can-one-avoid-life-overload?ch=2&amp;share=b7d9ffa6&amp;srid=5T2Vf</t>
  </si>
  <si>
    <t>Non stop ?’s and legit answers</t>
  </si>
  <si>
    <t>Author of Mastering the Mind by Mixing it Up &amp; Maintaining My Mind and Moving Forward. http://www.soniaoliviawilliams.com or http://fb.com/soniaoliviawilliams</t>
  </si>
  <si>
    <t>http://soniaoliviawilliams.com/order-page/</t>
  </si>
  <si>
    <t>Sesderma India</t>
  </si>
  <si>
    <t>Benefits of drinking ginger tea. Drinking ginger tea may help stimulate appetite, relieve stress and protect against Alzheimer’s disease. #SesdermaIndia #GingerTea #Tea #Ginger #appetite #stress #Alzheimer</t>
  </si>
  <si>
    <t>https://pbs.twimg.com/media/EOdNt8IWoAA_f-2.jpg</t>
  </si>
  <si>
    <t>You can find me at http://twiends.com/sesdermaind</t>
  </si>
  <si>
    <t>http://www.sesderma.co.in/</t>
  </si>
  <si>
    <t>Best 5 Essential Oils For Depression, Stress, and Anxiety  #depression #stress #anxiety #essentialoilsforstress #stressmanagement #essentialoilsforanxiety #essentialoilsfordepression</t>
  </si>
  <si>
    <t>Ahana Hospitals</t>
  </si>
  <si>
    <t>The worst part about #stresseating is that it causes your #problems to multiply. We won't let you deal with this #struggle alone, visit us to get rid of this! #AhanaHospitals #MentalHealthMatters #MentalHealth #Stress #EmotionalEating #StressEater #EatingDisorder</t>
  </si>
  <si>
    <t>https://pbs.twimg.com/media/EOZNFk1U4AAMCCb.png</t>
  </si>
  <si>
    <t>Madurai, India</t>
  </si>
  <si>
    <t>The state-of-the-art neuropsychiatric and de-addiction hospital in India. HelpLine: 1800 3000 2233</t>
  </si>
  <si>
    <t>http://www.ahanahospitals.in</t>
  </si>
  <si>
    <t>Whether it's fate or not, trust in the process. As hard as it may be, there is a process. Just keep going.  #happy #mentalhealth #stress #anxiety #motivationalspeaker #tla #tlamindset #CBT #sportspsychology #psychologyfacts #mindsetcoaching #mentalhealth</t>
  </si>
  <si>
    <t>pic.twitter.com/6SQysTHUPR</t>
  </si>
  <si>
    <t>Chronic #stress and the body, #chronicillness #chronicpain  via @nikki_albert</t>
  </si>
  <si>
    <t>Ren Mon</t>
  </si>
  <si>
    <t>One of my toxic traits (that a counselor pointed out in college) is heauxing around when I’m stressed 🙃🙃🙃 #stress</t>
  </si>
  <si>
    <t>my mind goes from math to anime to multidimensions to “mo” life to having a good time :) join me on this adventure :) bet!</t>
  </si>
  <si>
    <t>Do your #children struggle with #stress? Self-regulation is the key!</t>
  </si>
  <si>
    <t>http://amzn.to/2ka1pEb</t>
  </si>
  <si>
    <t>https://pbs.twimg.com/media/EOdHIQBWsAAGECl.jpg</t>
  </si>
  <si>
    <t>brewathought</t>
  </si>
  <si>
    <t>It was a pleasure for #Brewathought to meet @ltcdrbijaynair. He says whilst mental health &amp; #stress at #workplace needs to be dealt with, a physical activity of your choice helps “combat” the pressures at work. Catch him at the upcoming @TataMumMarathon this Sunday as a pacer!</t>
  </si>
  <si>
    <t>https://pbs.twimg.com/media/EOdHCWpVAAMrn7a.jpg</t>
  </si>
  <si>
    <t>An HR services firm specialising in Talent Acquisition, Performance &amp; Life coaching, Psychometric assessments &amp; Training, Events and Offbeat Workshops</t>
  </si>
  <si>
    <t>http://www.brewathought.com</t>
  </si>
  <si>
    <t>Is money a constant cause of anxiety and a source of stress? ➤  | By Frank Sonnenberg | #Anxiety #Stress</t>
  </si>
  <si>
    <t>https://buff.ly/2xbjNpY</t>
  </si>
  <si>
    <t>Laughter is a powerful antidote to stress, pain, and conflict. Laugh all the way, friends! 😃😄😁😆 #Laughter #Antidote #Stress #Pain #Health #Wellness #Naturopathy #NaturalHealth #Melbourne</t>
  </si>
  <si>
    <t>https://pbs.twimg.com/media/EOdDD_bWkAAb0ax.jpg</t>
  </si>
  <si>
    <t>On the Line</t>
  </si>
  <si>
    <t>We've identified some common #mentalhealth concerns and how to access support any time:  #MentalHealth #MentalHealthMatters #loneliness #stress #depression #anxiety</t>
  </si>
  <si>
    <t>https://buff.ly/2RecZPg</t>
  </si>
  <si>
    <t>https://pbs.twimg.com/media/EOdCRjWU4AACWUB.jpg</t>
  </si>
  <si>
    <t>We are Australia's leading provider of professional remote counselling services. This account is monitored Mon-Fri 9-5. For 24/7 support, call 1300 659 467.</t>
  </si>
  <si>
    <t>http://ontheline.org.au</t>
  </si>
  <si>
    <t>theKidJ-Fox</t>
  </si>
  <si>
    <t>AAAAAAAAAAAAAAAAA !!!!! Cmon boys!!! @utahjazz #STRESS</t>
  </si>
  <si>
    <t>Music. Sports. Foodie. Smartass. Centrist. Utes. Jazz. Niners. And other stuff. I follow back.</t>
  </si>
  <si>
    <t>“Having problems with anger? Eliminate it with this simple exercise”  #anger #love #stress peace</t>
  </si>
  <si>
    <t>https://mindfulnessmeditationinstitute.org/the-mindfulness-meditation-practice/writing-meditation/</t>
  </si>
  <si>
    <t>Dr. Joseph Santoro</t>
  </si>
  <si>
    <t>Participating in an eight-week #mindfulness #meditation program appears to make measurable changes in brain regions associated with memory, sense of self, #empathy, and #stress!  #Neuroscience #EQ #SelfImprovement #SelfHelp #Sucess #HealthData #Wellness</t>
  </si>
  <si>
    <t>https://news.harvard.edu/gazette/story/2011/01/eight-weeks-to-a-better-brain/</t>
  </si>
  <si>
    <t>Washington, DC 20009</t>
  </si>
  <si>
    <t>Neuro PhD, #Innovator, #Technologist, #Startup Angel, Fmr White House/OFA Honcho | #Politics #Data #Adventure | StartingBloc &amp; Fulbright | @DMVstartup @Forbes</t>
  </si>
  <si>
    <t>http://linkedin.com/in/josephsantoro</t>
  </si>
  <si>
    <t>The great Indian dream, the one you are forced to see while you are wide awake. #Motorism #Life #Quote #Philosophy #Quotes #Wise #Wisdom #Motivation #Inspiration #victory #triumph #Frustration #Stress #MentalHealth #Anxiety #Blunder #destiny #Spirituality #success #successquotes</t>
  </si>
  <si>
    <t>https://pbs.twimg.com/media/EOc7NZAUUAMcld2.jpg</t>
  </si>
  <si>
    <t>NO RISK NO STRESS Visit:  #AffiliateMarketing #Risk #Stress</t>
  </si>
  <si>
    <t>Wiser World Health +</t>
  </si>
  <si>
    <t>4 Ways to Relieve #Stress and #Anxiety - #health #mentalhealth #yoga</t>
  </si>
  <si>
    <t>https://ift.tt/2svF3Fp</t>
  </si>
  <si>
    <t>https://pbs.twimg.com/media/EOc5ozKXkAEoxAW.jpg</t>
  </si>
  <si>
    <t>Read articles about health, nutrition, fitness, home remedies, DIY, and more worldly wisdom...</t>
  </si>
  <si>
    <t>http://hubpages.com/@wiserworld</t>
  </si>
  <si>
    <t>Vern Sanders</t>
  </si>
  <si>
    <t>Do you have systems for managing priorities, controlling #stress, and setting standards for managing yourself in a #leadership role? Here are 4 Tips for Managing the Stress and Multiple Priorities of Ministry</t>
  </si>
  <si>
    <t>http://cmag.ws/o1</t>
  </si>
  <si>
    <t>https://pbs.twimg.com/media/EOc5ZbFWsAE74QM.png</t>
  </si>
  <si>
    <t>Black Lake Village, California</t>
  </si>
  <si>
    <t>pro #musician has #expertise in #music #ministry #worship #leadership #consultant especially 4 church musicians &amp; worship leaders; also #wine; erstwhile blogger</t>
  </si>
  <si>
    <t>http://creatormagazine.com</t>
  </si>
  <si>
    <t>Beating EDs</t>
  </si>
  <si>
    <t>The #newyear is under way...don't give in to #dietculture. It just adds more #stress, and we all have enough of that already! #anxiety #depression #edrecovery</t>
  </si>
  <si>
    <t>https://pbs.twimg.com/media/EOc5IvHXkAAjoeZ.jpg</t>
  </si>
  <si>
    <t>Official twitter of the Beating Eating Disorders team! Spreading awareness, hope, and support for eating disorders recovery.</t>
  </si>
  <si>
    <t>https://www.facebook.com/beatingeds</t>
  </si>
  <si>
    <t>Today's new piece if you missed it. I hope it's helpful: How to Help Manage Your Everyday Fears | Psychology Today  #stress #fear #anxiety #health</t>
  </si>
  <si>
    <t>Cat Lau</t>
  </si>
  <si>
    <t>Sad to hear about the passing of #BruceMcEwen - I read so many of his publications during graduate school when I was conducting research on effects of stress in the #hippocampus. Such an influential scientist who helped us better understand mechanisms of #stress in the #brain. RT @jfcryan: Really sad news that Bruce McEwen has passed away- truely one of the most generous &amp; gifted scientists I’ve known. His legacy in stress research is tremendous...</t>
  </si>
  <si>
    <t>https://twitter.com/jfcryan/status/1213035911144988673
https://twitter.com/jfcryan/status/1212849121473781760</t>
  </si>
  <si>
    <t>Exploring #scicomm x #sciart x #community | KT/Comms Coordinator @access_om #youthmentalhealth | Program Eval @artthescience @InfoConvergence |♥️🏞️🚴‍♀️🐈</t>
  </si>
  <si>
    <t>MindShift</t>
  </si>
  <si>
    <t>It's tough to be a teenager. Hormones kick in, peer pressures escalate and academic expectations loom large. The whole mix of changes can increase #stress, #anxiety and the risk of #depression among all #teens</t>
  </si>
  <si>
    <t>MindShift explores the future of learning, covering cultural and tech trends and innovations in education. Find the MindShift Podcast at http://apple.co/2hBl8zx</t>
  </si>
  <si>
    <t>http://mindshift.kqed.org</t>
  </si>
  <si>
    <t>#StressMonsters the Internet is not free, so could you help a new Launch? And Retweet what you see on these #Hashtags? #selfhelp #lifetips #stress #tips #AdultColoring #personalgrowth THANK YOU!!!</t>
  </si>
  <si>
    <t>https://pbs.twimg.com/media/EOcpVwCWkAALdSC.jpg</t>
  </si>
  <si>
    <t>Dr. Yatin J Patel</t>
  </si>
  <si>
    <t>If you are dreaming of #retirement, here, is the latest research and my experience. #stress #overwork #semiretirement</t>
  </si>
  <si>
    <t>https://youtu.be/m8q8EDeVYhM</t>
  </si>
  <si>
    <t>Goshen, IN</t>
  </si>
  <si>
    <t>Author ★ Sleep Physician &amp; Speaker ★ Sleep Soundly. Live Fully. ★ http://SnoozeClinic.com</t>
  </si>
  <si>
    <t>https://yatinjpatel.com</t>
  </si>
  <si>
    <t>T R E N T R E K E R</t>
  </si>
  <si>
    <t>when new meditators ask "why can't i stop my #thoughts?" i tell them "why are you trying to stop thinking?' acknowledge thoughts. don't follow them. breathe. move on. thoughts during #meditation are not obstacles. when you don't keep them, they're a sign of #stress release. 🙏🏻</t>
  </si>
  <si>
    <t>nola</t>
  </si>
  <si>
    <t>#nondual awareness manufacturer | #creative director | world domination consultant | #zen #prison #meditation #teacher | laughing lightning bolt rider</t>
  </si>
  <si>
    <t>https://trentreker.com</t>
  </si>
  <si>
    <t>EnTrance</t>
  </si>
  <si>
    <t>172 #FREE #Guided #Meditations to promote #Mindfulness #Wellness #meditation #wellbeing #bienetre #relaxation #stress  EnTrance is an audio library which promotes self-healing and personal growth. A gym for your mind. Available from our website and YouTube.</t>
  </si>
  <si>
    <t>http://bit.ly/2y0ZoRl</t>
  </si>
  <si>
    <t>London, England 07739 019967</t>
  </si>
  <si>
    <t>http://bit.ly/2qbxSj1 A self-help audio therapy library which promotes self-healing and personal growth. 1000+ hours of try-before-you-buy guided sessions.</t>
  </si>
  <si>
    <t>https://linktr.ee/entrancehypno</t>
  </si>
  <si>
    <t>Jared Sutterson</t>
  </si>
  <si>
    <t>Admit you don't know how to relieve #stress - &amp; relax. Try something new: fun, ez &amp;amp; good article @  #anxiety</t>
  </si>
  <si>
    <t>http://bit.ly/ChngMd</t>
  </si>
  <si>
    <t>Portland, Oregon</t>
  </si>
  <si>
    <t>Treasure Map, Vision Board, Dream Map- What U see = destination. What U feel = results- or not. Law of Attraction + New mind science &amp; Live UR Dream destiny</t>
  </si>
  <si>
    <t>#Anger? Frustration? UR body &amp; emotions reveal UR self-denial. #Stress ruins success. Exact steps to fix it @  #loa</t>
  </si>
  <si>
    <t>http://bit.ly/InsGF</t>
  </si>
  <si>
    <t>Quick-Good-Fortune - daily tip &amp; insights to living Healthy, Wealthy &amp; Wise!</t>
  </si>
  <si>
    <t>Bobbi Dunn</t>
  </si>
  <si>
    <t>Don't #Stress! Consume more #Healthy greens. DYK that leafy greens can aid #Relaxation?</t>
  </si>
  <si>
    <t>http://hlty.us/7Lpo</t>
  </si>
  <si>
    <t>https://pbs.twimg.com/media/EOcorGaXkAU1joX.jpg</t>
  </si>
  <si>
    <t>Recovery SI</t>
  </si>
  <si>
    <t>We're all vulnerable to #stress, but in early #recovery, it's tough to deal with. The Stress Toolbox has some ideas:</t>
  </si>
  <si>
    <t>http://ow.ly/agkT30q70aj</t>
  </si>
  <si>
    <t>https://pbs.twimg.com/media/EOcn-ErX4AMTU-T.jpg</t>
  </si>
  <si>
    <t>Santa Fe, New Mexico</t>
  </si>
  <si>
    <t>Bridging the gap between treatment &amp; recovery. We help treatment work better! http://facebook.com/RecoverySI</t>
  </si>
  <si>
    <t>http://recoverysi.com</t>
  </si>
  <si>
    <t>4Hoodsmen</t>
  </si>
  <si>
    <t>Good Evening all!! It's time for another session of #StressfulThursday Today we'll join Green and @ChodoNotChomo at they traverse through Dark Souls 3!!! If you know the Souls games, then you already know whats going down #gaming #darksouls #stress</t>
  </si>
  <si>
    <t>http://twitch.tv/4hoodsmen</t>
  </si>
  <si>
    <t>pic.twitter.com/9miduxZNct</t>
  </si>
  <si>
    <t>Just some Black-ass gaming. Twitch Affiliates</t>
  </si>
  <si>
    <t>http://www.twitch.tv/4hoodsmen</t>
  </si>
  <si>
    <t>Paulette4real</t>
  </si>
  <si>
    <t>My current mode!! 💃🏽 💃🏽 “so long bye bye 👋🏼 #goodbye to my #sorrow #pain #trouble #doubts #stress #goodbye2019👋 #fair you ain’t welcome here... #2020focus 💃🏽💃🏽💃🏽💃🏽💃🏽💃🏽#negativeenergy #blockanddelete…</t>
  </si>
  <si>
    <t>https://www.instagram.com/p/B7ZxPnEpxmS/?igshid=804swgx4al6y</t>
  </si>
  <si>
    <t>Hawaii, USA</t>
  </si>
  <si>
    <t>Living the dream. "With God all things are possible" I love ❤️ Jesus!The big break 2018, #fitness #lifestyle #naturalhair #4cnaturalhair #health #positivevibes</t>
  </si>
  <si>
    <t>http://www.paulettehogan.biz</t>
  </si>
  <si>
    <t>Amanda Dufries</t>
  </si>
  <si>
    <t>When you delegate tasks, you have time for yourself. Productivity isnt just amount of work done, but also time you take to recharge--you'll be recharged to return to work. #Stress is a hindrance to productivity. #virtualassistant #amandasvirtuallyefficient #wahm #livefreemama</t>
  </si>
  <si>
    <t>https://pbs.twimg.com/media/EOcmHsHWsAAB8PV.jpg</t>
  </si>
  <si>
    <t>It’s my mission to help you eliminate stress &amp; tasks by offering professional admin assistance from my 30 yrs of experience, 12 yrs virtual.</t>
  </si>
  <si>
    <t>About my Brain</t>
  </si>
  <si>
    <t>#Stress creates in us the least helpful biological conditions for us to think, problem-solve, #communicate &amp; lead. #MakeMeALeader #Documentary</t>
  </si>
  <si>
    <t>http://bit.ly/2hYJcvO</t>
  </si>
  <si>
    <t>We develop brain-friendly leaders, teams &amp; cultures through practical leadership training. Watch our Movie Trailer #MakeMeALeader • http://www.makemealeadermovie.com</t>
  </si>
  <si>
    <t>http://www.aboutmybrain.com/i4methodology</t>
  </si>
  <si>
    <t>[New Blog] If you think you may be experiencing burnout or compassion fatigue, there are some things you can do right now to ease stress and reconnect to meaning and purpose in your vocation… #Compassion #Stress #WorkLifeBalance</t>
  </si>
  <si>
    <t>https://crediblemind.com/blogs/compassion-fatigue-and-burnout</t>
  </si>
  <si>
    <t>Freedom Debt Relief</t>
  </si>
  <si>
    <t>Struggling with financial stress? These tips could help you cope with your money worries and get the tools you need to deal with your situation. #financialwellness #stress</t>
  </si>
  <si>
    <t>https://www.freedomdebtrelief.com/blog/financial-stress/</t>
  </si>
  <si>
    <t>San Mateo, CA</t>
  </si>
  <si>
    <t>Freedom Debt Relief is the leader in the debt relief industry. Our program helps people reduce what they owe and get out of debt faster.</t>
  </si>
  <si>
    <t>http://www.freedomdebtrelief.com/</t>
  </si>
  <si>
    <t>Meditation Room Supplies</t>
  </si>
  <si>
    <t>Take the time to relax at work. Life is too short, learn how to let go of stress.  #workplace #relax #meditation #stress</t>
  </si>
  <si>
    <t>https://meditationroomsupplies.com/</t>
  </si>
  <si>
    <t>https://pbs.twimg.com/media/EOchiwJUUAAs8dV.jpg</t>
  </si>
  <si>
    <t>We are passionate about #meditation. Get inspiration, learn to meditate and create your meditation space. May you all be happy 😀 and have ❤️ in your hearts.</t>
  </si>
  <si>
    <t>Healthy Crew</t>
  </si>
  <si>
    <t>Feel the fear, do it anyway! Doe eens iets buiten je comfortzone. #HealthyCrewNL #burnout #burnoutpreventie #stress #burnoutherstel #vitaliteit #coaching #burnoutcoach #uitjecomfortzone #feelthefear #nieuweavonturen</t>
  </si>
  <si>
    <t>pic.twitter.com/uHCt0iDqrU</t>
  </si>
  <si>
    <t>Leiden, Nederland</t>
  </si>
  <si>
    <t>Stress preventie, Burn-out behandeling &amp; Leefstijl verbetering</t>
  </si>
  <si>
    <t>http://www.healthycrew.nl</t>
  </si>
  <si>
    <t>Fresia Lauletta</t>
  </si>
  <si>
    <t>Having fun being creative at work #stress relief @ciscocxc @cisco @WeAreCisco #LoveWhereYouWork #WeAreCisco</t>
  </si>
  <si>
    <t>https://pbs.twimg.com/media/EOceWAbUYAEJM6g.jpg</t>
  </si>
  <si>
    <t>San Jose, CA</t>
  </si>
  <si>
    <t>Do you find yourself needing a glass of wine to take the edge off from the long &amp; stressful workday? (No judgment) You may have a #busybrain. #brainSHIFT #DrRomie #stressedout #stress #anxiety</t>
  </si>
  <si>
    <t>https://pbs.twimg.com/media/EOceH0AWkAE7ews.jpg</t>
  </si>
  <si>
    <t>Full Leaf Tea</t>
  </si>
  <si>
    <t>Hang in there! It's almost the weekend! Relieve Stress Tea will help you make it through!💜☕️ #fullleafteaco #organic #tea #stress #relief #teatime</t>
  </si>
  <si>
    <t>https://pbs.twimg.com/media/EOcdyKeX0AAI3Lc.jpg</t>
  </si>
  <si>
    <t>Full Leaf has selected and curated the finest teas from around the world. Our teas and tea blends are individually crafted and hand packaged.</t>
  </si>
  <si>
    <t>http://FullLeafTeaCompany.com</t>
  </si>
  <si>
    <t>Heather Elliott</t>
  </si>
  <si>
    <t>Blog - It Pays to Remain Calm. If you're dealing with stressful situations, it can be hard to keep emotions in check - but when you do, good things happen.  #mindfulness #MindfulChange #mindset #stress #calm</t>
  </si>
  <si>
    <t>http://ow.ly/eReQ30q9e5x</t>
  </si>
  <si>
    <t>Ottawa, ON</t>
  </si>
  <si>
    <t>#Mindset expert, coach &amp; author helps women, couples &amp; entrepreneurs change limiting beliefs to create happier lives &amp; business success.</t>
  </si>
  <si>
    <t>http://www.mindfulchange.com</t>
  </si>
  <si>
    <t>Inspiring kindness #psychic #medium #TarotReader</t>
  </si>
  <si>
    <t>I want to wish YOU LUCK AND LOVE. Yes YOU, whoever you are reading this now 🙏#luck #goodluck #wishes #wish #wellbeing #love #goodfortune #fortune #blessing #spirit #anxiety #depression #relax #panic #anxious #stress #health #mentalhealth #bestwishes #heart #kindness #mind #me</t>
  </si>
  <si>
    <t>https://pbs.twimg.com/media/EOcZXf8X0AUGXM9.jpg</t>
  </si>
  <si>
    <t>Hi I am Marcus, and I am new to twitter! I am here to share my talents and visions with like minded people. I have created a brand new YouTube - Say hi! :)</t>
  </si>
  <si>
    <t>https://youtu.be/0Tab2oODgDw</t>
  </si>
  <si>
    <t>Bingo Traders</t>
  </si>
  <si>
    <t>#Stress is what we feel when we cannot cope with #pressure . It can cause damage to your #health and your #relationships both at #work and at #home . Having controlled pressure, in contrast, helps to raise #adrenalinelevels, gets your brain working and gives you energy.</t>
  </si>
  <si>
    <t>https://pbs.twimg.com/media/EOcZWsUU0AA_iFA.jpg</t>
  </si>
  <si>
    <t>Kuala Lumpur City</t>
  </si>
  <si>
    <t>Latest news on famous leaders,secretaries,managers,Hrs,assistants,PAs,EAs,admins&amp; all D'hardwork ppl all around D'world.Visit&amp;talk http://linkedin.com/company/bingot…</t>
  </si>
  <si>
    <t>http://bingotraders.events</t>
  </si>
  <si>
    <t>#Fibromyalgia and #Stress ..."And the stresses that it seems that most "regular" people's bodies absorb without any obvious ill effects…well, ours get affected by them…big time!"  … #WhatIKnowIsReal</t>
  </si>
  <si>
    <t>https://www.soisfibromyalgiareal.com/i-have-fibromyalgiai-work-on-stressthe-fibromyalgia-and-stress-connection/</t>
  </si>
  <si>
    <t>bloop bloop</t>
  </si>
  <si>
    <t>So much has happened and it’s just like wow . . . #drama #school #stress #tea?? #needmydog</t>
  </si>
  <si>
    <t>https://pbs.twimg.com/media/EOcXyAdXsAgQQmR.jpg</t>
  </si>
  <si>
    <t>imma just spam my feelings out 😭💗💗👍🏻</t>
  </si>
  <si>
    <t>Michael Greer</t>
  </si>
  <si>
    <t>How best can we reduce our stress? #StressManagement #selfcare #BeingBetter #stress</t>
  </si>
  <si>
    <t>http://bit.ly/2q4cz3Q</t>
  </si>
  <si>
    <t>https://pbs.twimg.com/media/EOcW0RpVAAAGCRE.jpg</t>
  </si>
  <si>
    <t>Richmond, VA</t>
  </si>
  <si>
    <t>My passion is around answering a simple question. How can we live out a life of lasting impact &amp; fewer regrets? #leadership #discipline #intentionality #serve</t>
  </si>
  <si>
    <t>http://www.linkedin.com/in/michaelagreer</t>
  </si>
  <si>
    <t>PartnerComm, Inc.</t>
  </si>
  <si>
    <t>Research confirms connection between bad sleep and anxiety: “Without sleep, it’s almost as if the brain is too heavy on the emotional accelerator pedal, without enough brake.”  #sleep #mentalhealth #anxiety #stress #wellness</t>
  </si>
  <si>
    <t>https://www.theladders.com/career-advice/research-shows-bad-sleep-may-lead-to-this-rampant-mental-health-issue</t>
  </si>
  <si>
    <t>Dallas and Arlington, TX</t>
  </si>
  <si>
    <t>PartnerComm is one of the country’s largest employee communication agencies, with people across the United States, from California to New York.</t>
  </si>
  <si>
    <t>http://www.partnercomm.net</t>
  </si>
  <si>
    <t>Ramesh</t>
  </si>
  <si>
    <t>I'm 26 years old and I have a lot of stress. There are so many obstacles and negative people around me, but I will never give up. I'm going to make my protein shake and figure something out. #muchneeded #longday #stress #remedy</t>
  </si>
  <si>
    <t>pic.twitter.com/2NJYziiIMO</t>
  </si>
  <si>
    <t>let's see if honesty is the best policy.</t>
  </si>
  <si>
    <t>Danielle McGovern</t>
  </si>
  <si>
    <t>Finally finished the worst essay in the history of essays. Watching AEW cause its currently my happy place 😍 #Uni #stress #Rasslin</t>
  </si>
  <si>
    <t>Glasgow</t>
  </si>
  <si>
    <t>Jamesy Forrest CSC</t>
  </si>
  <si>
    <t>LegalHerbalShop.com</t>
  </si>
  <si>
    <t>💥New Product Alert! Sweet Dreamz #CBDBud #HempBud #LegalBud Feeling: #Stress #Anxiety #Pain #Insomnia #Depression According to reports, this #Organic #AllNatural flower may be what you have been looking for! Get it HERE:</t>
  </si>
  <si>
    <t>https://www.legalherbalshop.com/product/cbd-hemp-legal-bud-sweet-dreamz/</t>
  </si>
  <si>
    <t>https://pbs.twimg.com/media/EOcRB5gXsAIEGpf.jpg</t>
  </si>
  <si>
    <t>U S of A</t>
  </si>
  <si>
    <t>Your #1 TRUSTED Source for All Natural Medicinal Herbs Since 2007 - Kratom, Vivazen, OPMS, MIT45. CBD Oils, CBD Buds, CBD Edibles. Legal Bud, Kava, Kanna &amp; More</t>
  </si>
  <si>
    <t>https://www.legalherbalshop.com</t>
  </si>
  <si>
    <t>“Is stress inflicted on you — or created by you?” ~ Frank Sonnenberg ➤  #Stress</t>
  </si>
  <si>
    <t>http://bit.ly/2Osu9JE</t>
  </si>
  <si>
    <t>https://pbs.twimg.com/media/EOcQrtsX0AYOeQY.jpg</t>
  </si>
  <si>
    <t>HappyCBDstore</t>
  </si>
  <si>
    <t>Meet the newest addition to our entertainment center! Keep your pets happy with CBD!  #cbd #cbdoil #cbd #cbdoil #cbdforcats #cat #kitty #dog #petsofinstagram #petlove #stress #anxiety #painrelief #hempoil #healthyliving #cbdforpets #cbdfordogs #sleepaid</t>
  </si>
  <si>
    <t>https://happycbdstore.com/product-category/cbd-for-pets/</t>
  </si>
  <si>
    <t>https://pbs.twimg.com/media/EOcQJupU4AE-kkh.jpg</t>
  </si>
  <si>
    <t>Hemp to save the planet! Online store for premium hemp CBD products shipped to 50 states. Non-GMO. Lab Tested. #cbd #cbdoil #hemp</t>
  </si>
  <si>
    <t>https://happycbdstore.com</t>
  </si>
  <si>
    <t>“Meditation for the Busy Woman”  meditation #stress #mindfulness</t>
  </si>
  <si>
    <t>https://mindfulnessmeditationinstitute.org/2012/04/18/meditation-and-the-busy-woman/</t>
  </si>
  <si>
    <t>What is really interesting about a smile, is that you can hear it even when you don't see it. Read more 👉  #Mindset #Communication #Stress #Smile #Smiling #StressManagement</t>
  </si>
  <si>
    <t>https://lttr.ai/MPPl</t>
  </si>
  <si>
    <t>https://pbs.twimg.com/media/EOcNkm0WAAAraBB.jpg</t>
  </si>
  <si>
    <t>RobKellerMD</t>
  </si>
  <si>
    <t>Even if it's a little cold outside, there are some noticeable health benefits we all gain when we get outdoors, and enjoy fresh air. Did you know that nature scents (trees, leaves, soil and water) are also natural #stress relievers? #RKMD</t>
  </si>
  <si>
    <t>https://bit.ly/2NwzMVs</t>
  </si>
  <si>
    <t>#RKMD provides high-quality #nutritional #supplements made in #America. Our patented #OriginalGlutathioneFormula helps accelerate #NRF2 and #antioxidants.</t>
  </si>
  <si>
    <t>http://robkellermd.com</t>
  </si>
  <si>
    <t>😍 Today's featured #fidget 😍 Plush Squishies Use code SOCIAL10 for 10% off! ➡️  #Sensory #SPD #Stim #Autism #Aspergers #ASD #ADHD #Anxiety #Stress #HappyHandsToys</t>
  </si>
  <si>
    <t>http://bit.ly/33oOXoC</t>
  </si>
  <si>
    <t>Heidi Gray</t>
  </si>
  <si>
    <t>Many imbalances in our bodies can be a result of stress, according to #Ayurveda. #stress #destress</t>
  </si>
  <si>
    <t>https://www.lifewithheidi.com/ayurveda-stress-reduction-and-more/</t>
  </si>
  <si>
    <t>Missouri</t>
  </si>
  <si>
    <t>Money-saving Mom/Nan (Grandma) of 1, who loves to travel, cook, and of course spend time with family. #fun | #travel | #recipes | #diy heidi@lifewithheidi.com</t>
  </si>
  <si>
    <t>https://www.lifewithheidi.com</t>
  </si>
  <si>
    <t>Umayr Sufi</t>
  </si>
  <si>
    <t>Going through procedures and hospital visits is physically and mentally taxing. I seriously #pray for all of those who have to endure unimaginable kinds of pain, worry, stress, and inconvenience in their battles. I my self just came out of one and feel the #anxiety and #stress.</t>
  </si>
  <si>
    <t xml:space="preserve">Silicon Valley </t>
  </si>
  <si>
    <t>I’m a seeker of justice, student of knowledge, and a Drum Major super hero. Proud @UCDavis Alum. Dev Specialist @Microsoft - All views are my own!</t>
  </si>
  <si>
    <t>http://www.umayrsufi.com</t>
  </si>
  <si>
    <t>https://pbs.twimg.com/media/EOcHdUWWoAA2Kun.jpg</t>
  </si>
  <si>
    <t>Jae Hermann | #RealTalk</t>
  </si>
  <si>
    <t>There's something to be said for being able to #smile from your soul. It's easy to forget how when #stress, #illness &amp; #depression snatch #joy out of reach. I hope whatever your battling you find your way to the other side of it.</t>
  </si>
  <si>
    <t>https://www.instagram.com/p/B7W8Zu2hbmM/?igshid=uixdjtfz1sl</t>
  </si>
  <si>
    <t>Sarasota, FL</t>
  </si>
  <si>
    <t>Creative OCD INFJ Brand Gal → Badassery Advocate → Storyteller →Read my #RealTalk stories: http://jaehermannsblog.substack.com</t>
  </si>
  <si>
    <t>http://jaehermann.com</t>
  </si>
  <si>
    <t>Sεяεnα</t>
  </si>
  <si>
    <t>If my head could just stop running at 384839392 mph and let me chill and relax.. that would be super great👌🏼 #Stress</t>
  </si>
  <si>
    <t>‘Comfort is the enemy of progress...’💁🏼‍♀️</t>
  </si>
  <si>
    <t>Queen Bee Crystals | Jewelry | Gemstones</t>
  </si>
  <si>
    <t>My “Stress” Was Actually High-Functioning Anxiety  #stress #anxiety #anxious #health #wellness</t>
  </si>
  <si>
    <t>https://buff.ly/2QWGNAX</t>
  </si>
  <si>
    <t>https://pbs.twimg.com/media/EOcDyZtWoAAXJ3p.png</t>
  </si>
  <si>
    <t>Jerome, AZ</t>
  </si>
  <si>
    <t>👑🐝💎 #Jewelry #Newage #Metaphysical #Chakra #Energy #Meditation #Mindfulness #Healing #LOA #SaveTheBees #Reiki #Tarot #Kindness #Minerals #Yoga</t>
  </si>
  <si>
    <t>http://www.queenbeecrystals.com</t>
  </si>
  <si>
    <t>Kena Murphy</t>
  </si>
  <si>
    <t>Follow this advice and you'll be able to adapt to and handle #stress more effectively. #selfimprovement</t>
  </si>
  <si>
    <t>http://cpix.me/a/89956663</t>
  </si>
  <si>
    <t>https://pbs.twimg.com/media/EOcDLvIX0AEu6fE.jpg</t>
  </si>
  <si>
    <t>Powder Springs, GA</t>
  </si>
  <si>
    <t>REALTOR AT ATLANTA COMMUNITIES</t>
  </si>
  <si>
    <t>http://www.kenamurphy.com</t>
  </si>
  <si>
    <t>🌻Elizabeth Brooks🌻</t>
  </si>
  <si>
    <t>https://kingsumo.com/g/9agctd/giveaway-january-2020/1rq0er2</t>
  </si>
  <si>
    <t>Kansas, USA</t>
  </si>
  <si>
    <t>❣️Mother of✌️Precious Girls ❣️Jesus + ☕️ Keep Me Going ❣️Visit My Blog #catsinthecradleblog ⤵️</t>
  </si>
  <si>
    <t>https://linktr.ee/lizard_brooks</t>
  </si>
  <si>
    <t>The SMB Guide</t>
  </si>
  <si>
    <t>As a small business owner, you should be setting the tone when it comes to your employee's work-life balance. Burnout is real.  #leadership #stress #burnoutisreal #psychologyatwork #smallbusiness</t>
  </si>
  <si>
    <t>https://edition.cnn.com/2019/09/09/success/workplace-burnout-signs/index.html</t>
  </si>
  <si>
    <t>https://pbs.twimg.com/media/EOcCSYNXUAA6wub.jpg</t>
  </si>
  <si>
    <t>We provide software reviews, free resources, and guides for small businesses.</t>
  </si>
  <si>
    <t>https://www.thesmbguide.com/</t>
  </si>
  <si>
    <t>David Key</t>
  </si>
  <si>
    <t>"Spending more time outdoors, more often, helps us feel better and be more satisfied with life."  #wellbeing #MentalHealth #burnout #stress via @Natural__Change</t>
  </si>
  <si>
    <t>http://bit.ly/2Cl2GSs</t>
  </si>
  <si>
    <t>Whangarei District</t>
  </si>
  <si>
    <t>Courses, coaching &amp; consultancy for transformational change.</t>
  </si>
  <si>
    <t>http://www.ecoself.net</t>
  </si>
  <si>
    <t>Francine Mundt</t>
  </si>
  <si>
    <t>Everyone has a breaking point..this was mine, via @TODAYshow #ParentingTeam  #autism #parenting #stress</t>
  </si>
  <si>
    <t>http://community.today.com/parentingteam/post/everyone-has-a-breaking-pointthis-was-mine</t>
  </si>
  <si>
    <t>Huntington Beach, CA</t>
  </si>
  <si>
    <t>#Autism #Speaker #nurse #homeschooler. #blogger https://autisminsocal.com 🤙❤️🖖💙CEO of http://www.FRAAT.org FINDING REAL AUTISM ACCESSIBILITY TRAINING</t>
  </si>
  <si>
    <t>https://autisminsocal.com</t>
  </si>
  <si>
    <t>Jean</t>
  </si>
  <si>
    <t>My 2 #bffs travel in their jobs. I think of (and worry about) them often. 🙏 One is in Afghanistan for 3+ months (2nd time) &amp; the other is in the Caribbean for a month. #stress is no stranger to them. Both cope…</t>
  </si>
  <si>
    <t>https://www.instagram.com/p/B7ZeVBFh7gc/?igshid=1kwf3rgdkyuzm</t>
  </si>
  <si>
    <t>Coach, mentor, @uoftscs #networking instructor connecting the seemingly unconnected. @torontolibrary Entrepreneur-in-Residence 2013 InstaGram: Entrepreneurgal</t>
  </si>
  <si>
    <t>http://msbizwiz.com</t>
  </si>
  <si>
    <t>PHI Air Medical</t>
  </si>
  <si>
    <t>#Fitness guru, Jillian Michaels reveals her secrets about managing #stress. RT @JillianMichaels: Check out how i personally manage stress!</t>
  </si>
  <si>
    <t>https://twitter.com/JillianMichaels/status/1182415146364235777
https://thriveglobal.com/stories/mental-health-jillian-michaels-signs-stressors-steps/</t>
  </si>
  <si>
    <t>National</t>
  </si>
  <si>
    <t>America's premier full-service air ambulance provider with 70 bases nationally. We go beyond the call for the highest standards in safety and medical care.</t>
  </si>
  <si>
    <t>http://phiairmedical.com</t>
  </si>
  <si>
    <t>Mark Weisenburger</t>
  </si>
  <si>
    <t>I was fighting with number 3 earlier this week. Which one(s) are holding you back in your #salescareer. #mentalwellness #mentalhealth #stress</t>
  </si>
  <si>
    <t>https://I9ndpM4HkiKjUErC9b47Q.now7.site</t>
  </si>
  <si>
    <t>Author | Speaker | Helping Sales Professionals Experience More Sales &amp; Career Satisfaction With Improved Mental Wellness</t>
  </si>
  <si>
    <t>http://www.TodaysMentalWellness.com</t>
  </si>
  <si>
    <t>Elizabeth H Callison</t>
  </si>
  <si>
    <t>"It provides a sense of assurance to yourself and leads you to a more positive future."  #Confidence #Stress #Selfconfidence</t>
  </si>
  <si>
    <t>https://lttr.ai/MPMt</t>
  </si>
  <si>
    <t>https://pbs.twimg.com/media/EOb86CDX4AErrUz.jpg</t>
  </si>
  <si>
    <t>Decatur, IL</t>
  </si>
  <si>
    <t>You'll learn the importance of taking time to celebrate and care for yourself..... To be mindful of your well-being, your finances, and achieve peace within....</t>
  </si>
  <si>
    <t>https://itsmothersturn.com/</t>
  </si>
  <si>
    <t>Dale Beermann</t>
  </si>
  <si>
    <t>A very cool little #mentalhealth flipbook we built at @sanvellohealth:  #anxiety #depression #stress</t>
  </si>
  <si>
    <t>https://www.flipsnack.com/sanvello/sanvello-guide-to-feeling-better.html</t>
  </si>
  <si>
    <t>CTO @sanvellohealth. Previously co-founder, CEO @thinkpacifica. Creating access to phenomenal mental healthcare, anytime, anywhere.</t>
  </si>
  <si>
    <t>http://www.sanvello.com</t>
  </si>
  <si>
    <t>https://pbs.twimg.com/media/EOb7U8XWsAcaPwn.jpg</t>
  </si>
  <si>
    <t>dSTERLINGb</t>
  </si>
  <si>
    <t>“The concern is our emotional health...It has an impact on black people’s mental health, our emotional health. Racism is a mental health issue.”🧠 #BLM #mentalhealth #MentalHealthAwareness #MentalHealthMatters #PTSD #RacialBattleFatigue #Stress #Racism #Anxiety A must read👇🏾 RT @DrFarahKC: This. This. This.</t>
  </si>
  <si>
    <t>https://twitter.com/DrFarahKC/status/1217909748500033536
https://twitter.com/afuahirsch/status/1217746254047973376</t>
  </si>
  <si>
    <t>NY/CT</t>
  </si>
  <si>
    <t>Assistant Professor of English at Binghamton University, SUNY CreativeCriticalThinkerScholarActivistShakespearIan *he*him*his*</t>
  </si>
  <si>
    <t>http://radicalteacher.library.pitt.edu/ojs/index.php/radicalteacher/article/download/255/190</t>
  </si>
  <si>
    <t>M U T Y A 🍀</t>
  </si>
  <si>
    <t>7 exams in 5 hours 😪 #stress</t>
  </si>
  <si>
    <t>Norala, Soccsksargen</t>
  </si>
  <si>
    <t>Eliver is my daddy 💕</t>
  </si>
  <si>
    <t>Tricovel</t>
  </si>
  <si>
    <t>Hair loss due to stress? Check out these 7 tactics for de-stressing and improving hair health.  #HairLoss #HairGrowth #Stress #HairCare101</t>
  </si>
  <si>
    <t>http://www.tricovel.ca/blog/hair-loss-due-to-stress-7-ways-to-start-de-stressing-today/</t>
  </si>
  <si>
    <t>#Release all that isn't serving you. #stress</t>
  </si>
  <si>
    <t>https://pbs.twimg.com/media/EOb5TuUWoAAgMuI.jpg</t>
  </si>
  <si>
    <t>Author Joanne Troppello</t>
  </si>
  <si>
    <t>Healthy Living: Chronic Stress Can Become a Health Problem  #ChronicStress #Stress</t>
  </si>
  <si>
    <t>https://www.mustardseedsentinel.com/post/lifestyle-chronic-stress-can-become-a-health-problem</t>
  </si>
  <si>
    <t>Small Town, USA</t>
  </si>
  <si>
    <t>Mustard Seed Sentinel @MSSentinel #MSSConnect ✝Christian⚜️#Author #CCOTOnFire🔥 @John_Troppello💍IFB: MAGA/KAG/CCOT/QAnon/QAngel WWG1WGA Trolls🚫 No lists/🚂</t>
  </si>
  <si>
    <t>http://www.mustardseedsentinel.com</t>
  </si>
  <si>
    <t>Here's today's new piece. Help with managing fear...How to Help Manage Your Everyday Fears | Psychology Today  #chronicpain #chronicillness #fear #anxiety #stress</t>
  </si>
  <si>
    <t>Beth Kazakewich</t>
  </si>
  <si>
    <t>https://kingsumo.com/g/9agctd/giveaway-january-2020/m869okv</t>
  </si>
  <si>
    <t>FLY-PersonalTraining</t>
  </si>
  <si>
    <t>Which Practices Are Best For Weight Loss? #Stress #HeartRate #Yoga</t>
  </si>
  <si>
    <t>https://www.popsugar.com/fitness/Can-Yoga-Help-Weight-Loss-46129002</t>
  </si>
  <si>
    <t>Anywhere There Is A Gym, Texas</t>
  </si>
  <si>
    <t>The other half of @ballerstexas. Sponsored Athlete*Life Coach*Personal Trainer*Author*Weight Loss Specialist. #fitlife #gymlife #mentalhealth #mom #blogger</t>
  </si>
  <si>
    <t>https://www.amazon.com/shop/flytrainer01</t>
  </si>
  <si>
    <t>FLY-Personal Training</t>
  </si>
  <si>
    <t>Any Where There is A Gym Texas</t>
  </si>
  <si>
    <t>Cassandra</t>
  </si>
  <si>
    <t>Cassandra Daily: Modern youth are feeling burnt out across all aspects of their lives. However, video trends like #ASMR are cutting through the noise, providing a way to zone out and de-stress. Learn more  #videos #stress @HRBlock @SodaStreamUSA @JetBlue</t>
  </si>
  <si>
    <t>https://engngrp.com/2ua0BI0</t>
  </si>
  <si>
    <t>New York, New York</t>
  </si>
  <si>
    <t>Cassandra is the leading ongoing study of emerging trends, generational insights &amp; youth behavior for two decades https://cassandra.co/</t>
  </si>
  <si>
    <t>http://cassandra.co</t>
  </si>
  <si>
    <t>Mind shop Bearwood</t>
  </si>
  <si>
    <t>Lovely to see a young children's book about 'mental well-being and mindfulness', couldn't resist to share . It's got all the information about #MentalHealthAwareness well being #mindmatters #mentalhealthproblems #stress&amp;anxiety #dealingwithchange and much more @mymindshop</t>
  </si>
  <si>
    <t>https://pbs.twimg.com/media/EOb11BwXkAEhq3Y.jpg</t>
  </si>
  <si>
    <t>Wellness Orbit</t>
  </si>
  <si>
    <t>Learn how to: 👉Deal with #stress; 👉Notice the different phases of #burnout. Try out the #ProactiveMentalWellness e-training that can benefit your team:  👉All test results and feedback is personal and not visible for others!</t>
  </si>
  <si>
    <t>https://www.wellnessorbit.com/trainings/free-mini-training-focus-stress-reduction</t>
  </si>
  <si>
    <t>https://pbs.twimg.com/media/EOb1SYqW4AAnuAj.jpg</t>
  </si>
  <si>
    <t>World’s first fully digital #MentalWellnessGym for teams. Fostering initiative, productivity &amp; mental wellness at work through #intrapersonalskills.</t>
  </si>
  <si>
    <t>http://www.wellnessorbit.com</t>
  </si>
  <si>
    <t>[DMWR] Studies have shown that over stimulation can lead to depression and anxiety, attention and memory issues, and trouble concentrating, which can ultimately lead to stress. But how can we relieve these feelings? #stress |</t>
  </si>
  <si>
    <t>https://youtu.be/yxtoosoedY0</t>
  </si>
  <si>
    <t>Exhausted and #overworked? There are a variety of #homeopathic medicines that can help get you back on track!  #fatigue #stress</t>
  </si>
  <si>
    <t>https://bit.ly/2QH4mLb</t>
  </si>
  <si>
    <t>Bella Oasis Day Spa</t>
  </si>
  <si>
    <t>Tips to De-Stress Your Life #Destress #Stress #Tip #Breathe</t>
  </si>
  <si>
    <t>https://pbs.twimg.com/media/EObxCDmXsAAsWfH.jpg</t>
  </si>
  <si>
    <t>Kingston, Jamaica</t>
  </si>
  <si>
    <t>Located in the heart of Kingston, Jamaica Bella Oasis Day Spa is a serene retreat that is designed to be “your relaxation destination”.</t>
  </si>
  <si>
    <t>http://www.bellaoasisdayspa.com</t>
  </si>
  <si>
    <t>Hundreds of starlings found dead were 'avoiding bird of prey' If you thought that was odd check out the rants on  #trafficjam #android #ios #free #m25 #m6 #m4 #m62 #m5 #m61 #m65 #stress #roadrage #app #rant</t>
  </si>
  <si>
    <t>https://pbs.twimg.com/media/EObveHkWsAIHLCs.jpg</t>
  </si>
  <si>
    <t>Childproof Parenting</t>
  </si>
  <si>
    <t>How Much Homework Is Too Much? Advocating for your child when homework wreaks havoc ▸  #kids #stress #anxiety</t>
  </si>
  <si>
    <t>https://lttr.ai/MPHe</t>
  </si>
  <si>
    <t>https://pbs.twimg.com/media/EObvWYfWsAAOczS.jpg</t>
  </si>
  <si>
    <t>An e-course for parents of preschoolers that want to better understand their child, get support &amp; feel confident in their parenting choices.</t>
  </si>
  <si>
    <t>http://www.childproofparenting.com</t>
  </si>
  <si>
    <t>Germany to UK</t>
  </si>
  <si>
    <t>Stressed out? calm down with #pranichealing #mcks #stress, have #stressfree #stressrelief</t>
  </si>
  <si>
    <t>https://pbs.twimg.com/media/EObsQUGWsAALRYP.jpg</t>
  </si>
  <si>
    <t>German Culture, Food, Clothes, Fashion, Music, Art, Books, Business, Success, Entertainment, Work-life, Retirement or anything else you would like to share.</t>
  </si>
  <si>
    <t>STLCC Continuing Ed</t>
  </si>
  <si>
    <t>Have you run a personal inventory on your life only to discover that your "joy meter" could use some additional spark? If you've been struggling with #stress, #burnout or #anxiety, discover a proven way to awaken your #balance.</t>
  </si>
  <si>
    <t>http://bit.ly/38bk9L0</t>
  </si>
  <si>
    <t>https://pbs.twimg.com/media/EObrpebU4AABV7K.jpg</t>
  </si>
  <si>
    <t>St. Louis, MO</t>
  </si>
  <si>
    <t>Community classes for all ages &amp; stages of life. To register, call us at 314-984-7777 or visit http://stlcc.edu/CE.</t>
  </si>
  <si>
    <t>http://STLCC.edu/CE</t>
  </si>
  <si>
    <t>https://pbs.twimg.com/media/EObrUnbXsAAzf2v.jpg</t>
  </si>
  <si>
    <t>“Stress Management Through Mindfulness Meditation”  #peace #stress #mindfulness meditation</t>
  </si>
  <si>
    <t>https://wp.me/pataLM-7a</t>
  </si>
  <si>
    <t>POWERLibrary</t>
  </si>
  <si>
    <t>Stress is defined as an organism’s total response to environmental demands or pressures. Learn all about stress in Health &amp; Wellness Resource Center.  #stress #health #wellness #medical #information #reference #powerlibrary</t>
  </si>
  <si>
    <t>https://e-resources.powerlibrary.org/ext/validateglobal.php?cid=ECONTENT&amp;lid=PL7321&amp;dataid=1375</t>
  </si>
  <si>
    <t>https://pbs.twimg.com/media/EOaBmYEWAAEKCFu.png</t>
  </si>
  <si>
    <t>Pennsylvania</t>
  </si>
  <si>
    <t>POWER Library provides library and information products and services for all residents of Pennsylvania. Visit http://POWERLibrary.org.</t>
  </si>
  <si>
    <t>http://www.powerlibrary.org/</t>
  </si>
  <si>
    <t>Ed Benjamin, Writer</t>
  </si>
  <si>
    <t>LIVE HEALTHIER AND LONGER! Stress is harmful to your Health. This new #Kindle eBook by E. B. Warren of @BulverdeB will help you dramatically reduce the #stress in your life, learn to #relax, and help you live longer and healthier. #longevity</t>
  </si>
  <si>
    <t>https://www.amazon.com/gp/product/B07W19RR5L/ref=as_li_tl?ie=UTF8&amp;tag=flowatpre-20&amp;camp=1789&amp;creative=9325&amp;linkCode=as2&amp;creativeASIN=B07W19RR5L&amp;linkId=0909071c7f9cfbff112a33c3e814305e</t>
  </si>
  <si>
    <t>Ed writes proposals, books on getting govt business, spine-tingling air combat stories , (Harry's War) &amp; unusual short stories (alternative history.)</t>
  </si>
  <si>
    <t>http://EdBenjaminBooks.com/</t>
  </si>
  <si>
    <t>STRESSED? #Stress is harmful to your #Health. This new Kindle eBook by E. B. Warren @BulverdeB will help you dramatically reduce the stress in your life…FREE on #KU</t>
  </si>
  <si>
    <t>Michael Levitt</t>
  </si>
  <si>
    <t>Four Workplace Factors Behind Employee #Burnout  #Boundaries #Stress #BreakfastLeadership</t>
  </si>
  <si>
    <t>https://buff.ly/2ReLIME</t>
  </si>
  <si>
    <t>https://pbs.twimg.com/media/EObpAsVWoAIBVrC.jpg</t>
  </si>
  <si>
    <t>The 6ix &amp; SoCal</t>
  </si>
  <si>
    <t>Michael Panar</t>
  </si>
  <si>
    <t>One of the best ways to take away stress in your life is to tell your brain to accept positive thoughts and feelings, and only that can begin to reduce the stressors in your life. #stress #positivethinking</t>
  </si>
  <si>
    <t>Sociologist/psychotherapist, M.A. in sociology and Doctorate, Holistic Healing; Certified Cognitive Therapist and Author: Create a Healthy Lifestyle</t>
  </si>
  <si>
    <t>http://www.michaelpanar.com</t>
  </si>
  <si>
    <t>The C-Suite Network</t>
  </si>
  <si>
    <t>#Stress is a silent killer, costing millions in lost productivity, employee absenteeism, &amp; draining #WorkplaceCulture. Join us for an Executive Briefing with @hduckworth to learn how #MindfulLeadership can benefit productivity &amp;amp; business growth.</t>
  </si>
  <si>
    <t>http://bit.ly/EB-12120</t>
  </si>
  <si>
    <t>A powerful alliance and peer network exclusively reserved for #CSuite members, executives &amp; small/mid-sized #business owners.</t>
  </si>
  <si>
    <t>https://c-suitenetwork.com/</t>
  </si>
  <si>
    <t>The Landing</t>
  </si>
  <si>
    <t>The Landing. A safe place for students in 6-12th grade to talk about life. Tuesdays at 7 pm #nhclanding #thelanding #teenissues #comefindhope #teenhelp #stress #selfharm #depression #anxiety #anger #bullying #loneliness #bodyissues #selfesteem</t>
  </si>
  <si>
    <t>https://pbs.twimg.com/media/EObn6OQWsAEviMl.jpg</t>
  </si>
  <si>
    <t>A safe place for middle and high school students to be real.</t>
  </si>
  <si>
    <t>http://thingscansuck.com</t>
  </si>
  <si>
    <t>Judy Croon</t>
  </si>
  <si>
    <t>Creativity is the new currency.' ~Onyi Anyado Ottawa, looking forward to sharing ideas and 'Relieving Work-related #Stress with #Humour' at #CapitalBAday2020 @IIBAOO April 24. Early bird pricing ends Feb 29.</t>
  </si>
  <si>
    <t>https://www.capital-ba-day.ca</t>
  </si>
  <si>
    <t>https://pbs.twimg.com/media/EObneOFXkAAm51_.png</t>
  </si>
  <si>
    <t>Judy Croon is Canada's Keynote Humorist | Motivational Speaker | Comedian| author and stand-up coach at Second City</t>
  </si>
  <si>
    <t>http://www.JudyCroon.com</t>
  </si>
  <si>
    <t>HempStaff</t>
  </si>
  <si>
    <t>"The more stressful the situation a person finds themselves in, the more firmly these two areas of the brain connect, quickly elevating #anxiety." #Stress #Cannabis #MMJ #Marijuana</t>
  </si>
  <si>
    <t>https://www.thegrowthop.com/cannabis-health/cannabis-can-disrupt-anxiety-superhighway-in-the-brain-of-mice-researchers-find</t>
  </si>
  <si>
    <t>Cannabis/Hemp Recruiting &amp; Dispensary Training</t>
  </si>
  <si>
    <t>http://www.hempstaff.com</t>
  </si>
  <si>
    <t>Redway HR</t>
  </si>
  <si>
    <t>Some super coaching packages from the management development arm of Redway HR. #training #coaching #leadership #careercoaching #stress #resilience</t>
  </si>
  <si>
    <t>http://www.peppermint.works</t>
  </si>
  <si>
    <t>https://pbs.twimg.com/media/EObnB8bWsAM56oq.png</t>
  </si>
  <si>
    <t>Operational &amp; strategic Human Resource support, CV &amp; interview support for job seekers; we believe you will keep coming back to Redway HR.</t>
  </si>
  <si>
    <t>http://www.redway-hr.co.uk</t>
  </si>
  <si>
    <t>Amy Nowak</t>
  </si>
  <si>
    <t>8 Ways For #Caregivers In The #SandwichGeneration To Reduce #Stress. Read This:</t>
  </si>
  <si>
    <t>http://ow.ly/15OU50xWdu5</t>
  </si>
  <si>
    <t>https://pbs.twimg.com/media/EObm9soXUAE4j8r.jpg</t>
  </si>
  <si>
    <t>I possess an innate understanding of the complex dynamic required to simultaneously cater to multiple generations.</t>
  </si>
  <si>
    <t>https://sangensanity.com/</t>
  </si>
  <si>
    <t>Josephine Ferraro</t>
  </si>
  <si>
    <t>#NYC #Psychotherapy Blog: #Coping With #Workplace #Stress: 5 Things You Can Do to Reduce Your Stress at #Work</t>
  </si>
  <si>
    <t>https://buff.ly/2LAEAe6</t>
  </si>
  <si>
    <t>https://pbs.twimg.com/media/EObm6c7WAAYPgZH.jpg</t>
  </si>
  <si>
    <t>NYC</t>
  </si>
  <si>
    <t>NYC Psychotherapist, Hypnotherapist, EMDR, AEDP, Somatic Experiencing Therapist and Emotionally Focused Therapy (EFT): Individual Adults and Couples</t>
  </si>
  <si>
    <t>http://www.psychotherapist-nyc.blogspot.com</t>
  </si>
  <si>
    <t>Blog- It Pays to Remain Calm. If you're dealing with stressful situations, it can be hard to keep emotions in check - but when you do, good things happen.  #mindfulness #MindfulChange #mindset #stress #calm</t>
  </si>
  <si>
    <t>Terra Health Essentials</t>
  </si>
  <si>
    <t>Feeling generally #rundown? Watch out for these key indicators of #stress overload! - you get agitated easily - you're often #overwhelmed - your skin is flaring up - you're always tired - you can't #sleep - your appetite is all over the place #fatigue #insomnia #anxiety #acne</t>
  </si>
  <si>
    <t>https://pbs.twimg.com/media/EObm3vOWsAU8Tmi.jpg</t>
  </si>
  <si>
    <t>Our mission is to promote optimal gut health using 100% natural remedies that provide proven results.</t>
  </si>
  <si>
    <t>http://www.terrahealthessentials.com</t>
  </si>
  <si>
    <t>Kerry Quigley</t>
  </si>
  <si>
    <t>Traumatic events can occur in any work environment and anyone can suffer from a post-traumatic stress reaction #PTSD #Stress #Counselling</t>
  </si>
  <si>
    <t>http://ow.ly/x4FZ30q6hCu</t>
  </si>
  <si>
    <t>https://pbs.twimg.com/media/EObllz0WsAkjIZ9.jpg</t>
  </si>
  <si>
    <t>England</t>
  </si>
  <si>
    <t>Glister Counselling provides a global professional service aimed at promoting the emotional and mental health of individuals and businesses. #NEFollowers #Skype</t>
  </si>
  <si>
    <t>http://www.glister.uk.com</t>
  </si>
  <si>
    <t>Zenful Kids Therapy</t>
  </si>
  <si>
    <t>Enhance your skills or learn new skills for FREE! Click link below...  #autism #asd #specialneeds #asd #autismawareness #aba #behavior #parenting #sensory #stress #beauty</t>
  </si>
  <si>
    <t>http://a.impactradius-go.com/gen-ad-code/2054992/476278/4650/</t>
  </si>
  <si>
    <t>https://pbs.twimg.com/media/EOblV5OXsAEI64r.jpg</t>
  </si>
  <si>
    <t>Orlando, Florida</t>
  </si>
  <si>
    <t>Providers of Applied behavior therapy to children on the spectrum and training to their parents.</t>
  </si>
  <si>
    <t>http://www.zenfulkidstherapy.com</t>
  </si>
  <si>
    <t>KarUK (Ph.D, MBA)</t>
  </si>
  <si>
    <t>This is for those who are always #comfortable and keep #complaining. This is not even #Hope. It is #Resilience, to develop the capacity to withstand #stress and #catastrophe. Keep working through the #emotions, #stress, and #pain.  via @YouTube</t>
  </si>
  <si>
    <t>https://youtu.be/6g9rsD-zts4</t>
  </si>
  <si>
    <t>Asst Prof. @Upitt #Entrepreneur #Philanthropy</t>
  </si>
  <si>
    <t>http://pharmcollege.uams.edu/about/contact-us/directory/faculty-member-upendra-kar/</t>
  </si>
  <si>
    <t>How to relax</t>
  </si>
  <si>
    <t>If you have Netflix, watching Moving Art should do wonders to relax you. #stress #relaxation #stressrelief</t>
  </si>
  <si>
    <t>Daily tips on how to take it down a notch. More than just aphorisms. 🙂 I'm not a healthcare provider; I generally focus on what's worked well for me.</t>
  </si>
  <si>
    <t>Sandra G</t>
  </si>
  <si>
    <t>Don't #Stress! Eat more greens. DYK that leafy greens can aid #Relaxation?</t>
  </si>
  <si>
    <t>http://hlty.us/7L2o</t>
  </si>
  <si>
    <t>https://pbs.twimg.com/media/EObkIxLWsAktn1e.jpg</t>
  </si>
  <si>
    <t>http://www.espritJP.com</t>
  </si>
  <si>
    <t>Andy Tallent</t>
  </si>
  <si>
    <t>Did You Know: #Music may reduce the #stress, #anxiety, and depression that many #pregnant women experience. Listen to Peaceful #Maternity on #Spotify. A soothing #piano playlist for any mother to be! Listen to Peaceful Maternity on Pandora:</t>
  </si>
  <si>
    <t>http://ow.ly/WcJ950xXv9k</t>
  </si>
  <si>
    <t>Chattanooga</t>
  </si>
  <si>
    <t>Believer. Husband. Father. Musician. #piano #coffee #family</t>
  </si>
  <si>
    <t>http://www.linktr.ee/andytallentmusic</t>
  </si>
  <si>
    <t>ClaireCraftAtLittleGestures</t>
  </si>
  <si>
    <t>Poem/keyring for the times when you have an anxiety/panic attack. £4 #anxiety #breathe #anxious #panic #panicattack #senses #fears #afraid #yougotthis #youcandothis #emotions #selfhelp #stressmanagement #stress #mentalhealth #MentalHealthAwareness</t>
  </si>
  <si>
    <t>https://pbs.twimg.com/media/EObh0kqWsAoPIJd.jpg</t>
  </si>
  <si>
    <t>...because a little gesture can make a huge impact.</t>
  </si>
  <si>
    <t>Charles G. Hanna</t>
  </si>
  <si>
    <t>Measure the stress level in your workplace with a new smartphone app - via @CCOHS - quiz takes about 6 minutes #stress #MentalHealth</t>
  </si>
  <si>
    <t>http://bit.ly/2S6quDh?utm_campaign=coschedule&amp;utm_source=twitter&amp;utm_medium=hanna_higher</t>
  </si>
  <si>
    <t>CEO, philanthropist. Author, HIGHER: AWAKEN TO A MORE FULFILLING LIFE - audiobook feat. Emmy winner Joan Cusack. #Mindfulness #Meditation #Addiction #Recovery</t>
  </si>
  <si>
    <t>http://www.charleshannahigher.com</t>
  </si>
  <si>
    <t>Oakwood Training</t>
  </si>
  <si>
    <t>Top Tips to reduce workplace #stress from @HRNewsdesk  #ThursdayThoughts #work</t>
  </si>
  <si>
    <t>http://hrnews.co.uk/8-ways-to-eliminate-workplace-stress/</t>
  </si>
  <si>
    <t>Helping you create happy and productive working environments. Experts in workplace mental health and personal safety. Follow us for top tips+practical advice.</t>
  </si>
  <si>
    <t>http://oakwoodtraining.co.uk/</t>
  </si>
  <si>
    <t>Matt Browne</t>
  </si>
  <si>
    <t>My “Stress” Was Actually High-Functioning #Anxiety  from @tinybuddha #stress</t>
  </si>
  <si>
    <t>http://bit.ly/3akFljN</t>
  </si>
  <si>
    <t>Paso Robles, CA.</t>
  </si>
  <si>
    <t>Paso Robles wine, beer, food, social media marketing, blogger/ writer, husband to Annie, dad to Sammy, Liberty is my middle name.</t>
  </si>
  <si>
    <t>http://www.ThreeAdventure.com</t>
  </si>
  <si>
    <t>[Podcast] “Mindfulness Meditation Made Easy” on RadioMD:  #listen mindfulness #stress meditation</t>
  </si>
  <si>
    <t>Matthew Maksimovic</t>
  </si>
  <si>
    <t>The plan: Take the rest of today, slowly. Starting with 6’s... #Stress #Spaced</t>
  </si>
  <si>
    <t>Church Village, Wales</t>
  </si>
  <si>
    <t>A Daddy, Boyfriend &amp; Footballer. Work with YP’s, Ex-Offenders, PD &amp; Mental Health. Love Football, Boxing, Rugby &amp; Moaning 😉 Also known as ‘Mr Man v Fat’ 😛</t>
  </si>
  <si>
    <t>https://ygemfootball.com/2019/01/11/y-gem-insider-matthew-maksimovic-caerphilly-athletic/</t>
  </si>
  <si>
    <t>What are your experiences in implementing #personal #changes? #mentaldisorder #disorder #slimming #stopsmoking #stress #depression #dysthymia #mania #maniac #bipolar #anxiety #fear #phobia #agoraphobia #socialphobia #panic #attack #posttraumatic #trauma #Marbella #Malaga</t>
  </si>
  <si>
    <t>https://pbs.twimg.com/media/EOba1M1WkAE8jmU.jpg</t>
  </si>
  <si>
    <t>Aki Zhang - https://GleeYoga.com</t>
  </si>
  <si>
    <t>Our classes at GleeYoga (for beginners, intermediate, and advanced) can help to calm your #mind, and rejuvenate your body by lowering the level of your #stress, #anxiety and #depression:  #naturalhealth #naturalhealing #ayurvedicliving #yoga</t>
  </si>
  <si>
    <t>https://gleeyoga.com/gleeyoga-anti-aging.php</t>
  </si>
  <si>
    <t>https://pbs.twimg.com/media/EOba0-qUEAAuQvn.png</t>
  </si>
  <si>
    <t>#Yoga is a great #exercise that can transform mind, body and the spirit - it can increase flexibly, strengthen muscle tones, improve metabolism, weight loss, +</t>
  </si>
  <si>
    <t>https://gleeyoga.com</t>
  </si>
  <si>
    <t>Your body can’t tell the difference between good and bad #stress. #Busyness usually occurs when you have too much good stress. But it does bad things to your body. #getunbusy</t>
  </si>
  <si>
    <t>https://youtu.be/M8uC8bbXBZs</t>
  </si>
  <si>
    <t>Psychological Health Center of Excellence</t>
  </si>
  <si>
    <t>ICYMI: Imagine in a #combat situation, a service member is so overwhelmed by #stress that they freeze. In a @WRAIR peer-based intervention called iCOVER, service members are trained to help — in under a minute. Read more in this #CliniciansCorner blog:</t>
  </si>
  <si>
    <t>https://www.pdhealth.mil/news/blog/helping-military-teams-manage-acute-stress-when-it-matters-most</t>
  </si>
  <si>
    <t>https://pbs.twimg.com/media/EObajGbWAAAtkFW.jpg</t>
  </si>
  <si>
    <t>Washington, D.C., metro area</t>
  </si>
  <si>
    <t>Official @MilitaryHealth account focused on excellence in military mental health care. Following, RTs, likes, links ≠ endorsement; http://health.mil/socialmedia.</t>
  </si>
  <si>
    <t>http://www.PDhealth.mil</t>
  </si>
  <si>
    <t>SGI</t>
  </si>
  <si>
    <t>Can you pray for some of our Sew For Hope graduates who have job interviews this week? It can be super stressful but we know they have great skills! THANKS! #jobinterview #stress #pray #newjobs #sewingskills #servantgroupinternational #sewforhope</t>
  </si>
  <si>
    <t>https://pbs.twimg.com/media/EObZI8rX4AIfAqQ.jpg</t>
  </si>
  <si>
    <t>SGI is a non-profit Christian organization focused on serving Muslims in need, both in the U.S. and around the world. #nonprofit #refugees</t>
  </si>
  <si>
    <t>http://www.servantgroup.org</t>
  </si>
  <si>
    <t>Mindspace Mayo</t>
  </si>
  <si>
    <t>A healthy #lifestyle is not just about diet+exercise, it’s also about cultivating high quality connections with people, reducing #stress with #mindfulness, deep breathing+ #meditation, getting restful #sleep, and expressing #gratitude. These things fuel your body, #mind+ spirit.</t>
  </si>
  <si>
    <t>https://pbs.twimg.com/media/EObZR78W4A8M28b.jpg</t>
  </si>
  <si>
    <t xml:space="preserve">Market Sq, Castlebar, Co Mayo </t>
  </si>
  <si>
    <t>We are a FREE &amp; CONFIDENTIAL Youth #MentalHealth support service for young people aged 15-25yrs based in Mayo Ireland. RTs = info, not necessarily endorsements!</t>
  </si>
  <si>
    <t>http://www.mindspacemayo.ie</t>
  </si>
  <si>
    <t>Rochester Therapeutic Massage</t>
  </si>
  <si>
    <t>Say goodbye to your stress. Schedule your massage today. #goodbyestress #selfcare #mentalhealth #wellness #mindfulness #healing #positivevibes #healthylifestyle #relax #happiness #wellbeing #massage #massagetherapy #stress #stressrelief #stressmanagement #healthy #mindset</t>
  </si>
  <si>
    <t>https://pbs.twimg.com/media/EObZLI-XUAAqon8.jpg</t>
  </si>
  <si>
    <t>Penfield, NY</t>
  </si>
  <si>
    <t>A massage practice established to provide holistic, client centered care. Blog: https://www.rochestertherapeuticmassage.com/blog-1</t>
  </si>
  <si>
    <t>http://www.rocmassage.com</t>
  </si>
  <si>
    <t>WHAT IS ACUTE INSOMNIA? #Acute #insomnia is common and often is brought on by situations such as #stress at work, #family pressures or a #traumatic event. Most of us have experienced this type of brief... more at</t>
  </si>
  <si>
    <t>http://shoplocal.ly/45XiP</t>
  </si>
  <si>
    <t>https://pbs.twimg.com/media/EObZKXKWAAATX7Q.jpg</t>
  </si>
  <si>
    <t>Kathi &amp; Katherine</t>
  </si>
  <si>
    <t>How to Find the Right Career Calling and Reduce Stress @Entrepreneur #career #careeradvice #careercalling #business #stress #health #wellness #advice #article #entrepreneur :</t>
  </si>
  <si>
    <t>https://buff.ly/2tzGSS7</t>
  </si>
  <si>
    <t>https://pbs.twimg.com/media/EObZDZ9WsAITdKl.jpg</t>
  </si>
  <si>
    <t>Executive Coach &amp; Career and Life Coach. Authors of NYT Bestseller Working With You Is Killing Me. Hosts of weekly work advice podcast, My Crazy Office.</t>
  </si>
  <si>
    <t>http://ksquaredenterprises.com</t>
  </si>
  <si>
    <t>If you did know what to do - you'd do it. Follow a proven path to #happiness. Don’t fail to try @  #stress #anxiety</t>
  </si>
  <si>
    <t>Laura Evans</t>
  </si>
  <si>
    <t>Kiss goodbye to #stress - our top tips for dealing with stress from NLP expert Laura Evans</t>
  </si>
  <si>
    <t>https://buff.ly/2ThAn0O</t>
  </si>
  <si>
    <t>Cardiff, Wales (UK)</t>
  </si>
  <si>
    <t>Helping Leaders, Professionals &amp; Coaches achieve results &amp; success through NLP Courses | NLP Trainer | Mindset | Neuro Linguistic Programming</t>
  </si>
  <si>
    <t>https://linktr.ee/lauraevans_nlp</t>
  </si>
  <si>
    <t>El Paso Health Insurance</t>
  </si>
  <si>
    <t>https://buff.ly/30dbFA4</t>
  </si>
  <si>
    <t>https://pbs.twimg.com/media/EObWsv7XsAAWYva.jpg</t>
  </si>
  <si>
    <t>1200 Golden Key Cir #327 ELP</t>
  </si>
  <si>
    <t>El Paso Health Insurance Agency providing Private and Public Obamacare Health Care Reform Insurance in Texas</t>
  </si>
  <si>
    <t>http://www.bygahealthcareinsurance.com</t>
  </si>
  <si>
    <t>Modern Therapy</t>
  </si>
  <si>
    <t>In a 2003 #study, published in the Journal of Behavioral Medicine, couples who held hands for 10 minutes then hugged for 20 seconds were shown to have healthier reactions to subsequent #stress tests, compared to those who hadn't had any physical contact.</t>
  </si>
  <si>
    <t>We provide a modern approach to talk therapy by offering sessions in person &amp; online. Get started today!</t>
  </si>
  <si>
    <t>http://www.moderntherapy.online</t>
  </si>
  <si>
    <t>Nature Reviews Endocrinology</t>
  </si>
  <si>
    <t>#YearInReview: Integrated pathways that control #stress and #energy #homeostasis by Herbert Herzog summarizes 2019's advances in this important area of #neuroendocrinology (£)</t>
  </si>
  <si>
    <t>https://go.nature.com/2LimSJG</t>
  </si>
  <si>
    <t>https://pbs.twimg.com/media/EObUbV9XsAgdy3-.jpg</t>
  </si>
  <si>
    <t>The latest advances in diabetes, obesity, nutrition, thyroid and more from the editors of Nature Reviews Endocrinology, a clinical review journal.</t>
  </si>
  <si>
    <t>http://www.nature.com/nrendo</t>
  </si>
  <si>
    <t>Kim Mullan Real Estate</t>
  </si>
  <si>
    <t>REAL ESTATE MATTERS. Multiple offer scenarios can be very emotional experiences depending what side you land on! #realestate #stress</t>
  </si>
  <si>
    <t>http://kimcan.ca</t>
  </si>
  <si>
    <t>https://pbs.twimg.com/media/EObUN3AXkAA15BQ.jpg</t>
  </si>
  <si>
    <t>London Ontario Canada</t>
  </si>
  <si>
    <t>Kim Mullan #Broker - Sutton Group Select Realty brokerage. The #1 Top Producer for sales volume from 2012-2018. #RealEstate Agent - London Ontario #Realtor®</t>
  </si>
  <si>
    <t>http://www.kimcan.ca</t>
  </si>
  <si>
    <t>Melissa Benaroya</t>
  </si>
  <si>
    <t>How Much Homework Is Too Much? Advocating for your child when homework wreaks havoc ▸  #anxiety #stress #kids</t>
  </si>
  <si>
    <t>https://lttr.ai/MO0m</t>
  </si>
  <si>
    <t>https://pbs.twimg.com/media/EObT2eDWAAEZH2Y.jpg</t>
  </si>
  <si>
    <t>Parenting Coach, Speaker &amp; Author</t>
  </si>
  <si>
    <t>http://www.MelissaBenaroya.com</t>
  </si>
  <si>
    <t>ARK Crystal, LLC</t>
  </si>
  <si>
    <t>There are better ways to keep stress at arm's length. 5 easy ways to beat stress  #stress #holisticliving</t>
  </si>
  <si>
    <t>http://ow.ly/p9z050xxytq</t>
  </si>
  <si>
    <t>https://pbs.twimg.com/media/EObTRyOX4AEEe-I.jpg</t>
  </si>
  <si>
    <t>Redefining Energy. Technology as wearable art. 🌟 Beautiful &amp; scientific approach to well-being 💎 #whereistheARK Official account for ARK® crystals.</t>
  </si>
  <si>
    <t>https://arkcrystals.com/</t>
  </si>
  <si>
    <t>ReCalm</t>
  </si>
  <si>
    <t>8 Ways to Prevent the Winter Blues. #winter #winterblues #stress #anxiety #depression #anistress</t>
  </si>
  <si>
    <t>https://buff.ly/35Pz247</t>
  </si>
  <si>
    <t>https://pbs.twimg.com/media/EObTCG4WAAEhKGq.jpg</t>
  </si>
  <si>
    <t>ReCalm helps to improve mood &amp; well-being by reducing feelings associated with stress.</t>
  </si>
  <si>
    <t>Jacqueline Hawk</t>
  </si>
  <si>
    <t>Stressed? A quote from ⁦#JNJ⁩ Human Performance Institute reminded me that the impact of #stress depends on how I deal with it and #recover ... #hpi #avoidburnout</t>
  </si>
  <si>
    <t>https://www.linkedin.com/posts/jacquelinehawk_highperformance-recovery-soaring-activity-6623656075747045378-hWtb</t>
  </si>
  <si>
    <t>Explorer, foodie, skier, and optimist | Coaching high-performing leaders &amp; companies through powerful questions and experiences that ignite the extraordinary</t>
  </si>
  <si>
    <t>http://www.soarcc.com</t>
  </si>
  <si>
    <t>CoStartup &amp; Go</t>
  </si>
  <si>
    <t>5 Ways Entrepreneurs Can Overcome Anxiety and Stress  #lifebalance #stress #entrrpreneur</t>
  </si>
  <si>
    <t>https://www.influencive.com/5-ways-entrepreneurs-can-overcome-anxiety-and-stress/?utm_campaign=coschedule&amp;utm_source=twitter&amp;utm_medium=Influencive&amp;utm_content=5%20Ways%20Entrepreneurs%20Can%20Overcome%20Anxiety%20and%20Stress</t>
  </si>
  <si>
    <t>A Unique &amp; Dynamic Startup Support Company Invested in making Your Business A Success #Startups #startupsupport #yourstartupteam</t>
  </si>
  <si>
    <t>http://www.costartupandgo.com</t>
  </si>
  <si>
    <t>Dino Eliadis</t>
  </si>
  <si>
    <t>Want less #financial #stress on your #tax obligations? Then get a better handle on your #bookkeeping. Click to save up to 50% on #bookkeeping #cleanup!</t>
  </si>
  <si>
    <t>http://bit.ly/37FqQou</t>
  </si>
  <si>
    <t>https://pbs.twimg.com/media/EObSMC7WkAEQQio.jpg</t>
  </si>
  <si>
    <t>Tarpon Springs, FL</t>
  </si>
  <si>
    <t>Assisting small business owners in growing self-sustaining businesses.</t>
  </si>
  <si>
    <t>http://www.dinoeliadis.com</t>
  </si>
  <si>
    <t>The OFFICE Massage Co</t>
  </si>
  <si>
    <t>These Are the 10 Highest Paying, Least Stressful Jobs - Can you add any to it? What's your experience? Has the level of stress in your job increased as you have increased your salary?  #stress #wellbeing #worklifebalance</t>
  </si>
  <si>
    <t>http://bit.ly/2ImhnZf</t>
  </si>
  <si>
    <t>https://pbs.twimg.com/media/EObSJPFU8AA3G3g.jpg</t>
  </si>
  <si>
    <t>East Midlands, England</t>
  </si>
  <si>
    <t>On-site office massage, corporate events, #officemassage #corporatemassage #wellbeingintheworkplace #wellbeing</t>
  </si>
  <si>
    <t>http://www.office-massage.co.uk</t>
  </si>
  <si>
    <t>Gareth Murphy</t>
  </si>
  <si>
    <t>Over 80 staff from across the banks today met to discuss working culture including the need to foster a safe working environment free from stress where people can safely speak up #culture #stress #speakup RT @IBCB_ie: IBCB delighted to host this important bank staff event today. #bankingculure #ibcb</t>
  </si>
  <si>
    <t>https://twitter.com/ibcb_ie/status/1217858340438577152
https://www.linkedin.com/posts/irish-banking-culture-board_bankculture-ibcb-activity-6623593983098650624-FZEX</t>
  </si>
  <si>
    <t>Head of Industrial Relations @fsuireland Mentor @naomholaf PhD student @qubmanagement views expressed are my own and RT not endorsement</t>
  </si>
  <si>
    <t>http://www.fsunion.org</t>
  </si>
  <si>
    <t>MomentSQ [iOS link 👇] #Aggretsuko ep4 out NOW</t>
  </si>
  <si>
    <t>This video of Retsuko and Haida is so cute, can’t help but post it😊😺. Credit:  . . . . #aggretsuko aggretsukofan #aggretsukoart #aggretsukofanart #Netflix #sanrio RAGE #VIBE #stress…</t>
  </si>
  <si>
    <t>https://youtu.be/jT4X_TKz88Y
https://www.instagram.com/p/B7ZDcY2FLho/?igshid=ew9n1nsmn8cb</t>
  </si>
  <si>
    <t>#MomentSQ #MSQuad</t>
  </si>
  <si>
    <t>#MomentSQ is episodic choice-based chat story platform with stories from #drama Emma approved, #Netflix feat. #Sanrio #Aggretsuko, superheroes for #otaku &amp; fans</t>
  </si>
  <si>
    <t>https://apple.co/2NteYki</t>
  </si>
  <si>
    <t>SynergyNeurofeedback</t>
  </si>
  <si>
    <t>Neurofeedback- A Cutting Edge ADHD Treatment  . . . . #neurofeedback #biofeedback #braintraining #neuroplasticity #brainmap #brainscan #EEG #mentalhealth #brain #PTSD #depression #ADD #ADHD #stress #mindfulness #healthymind</t>
  </si>
  <si>
    <t>http://ow.ly/HbQu50xWFUT</t>
  </si>
  <si>
    <t>https://pbs.twimg.com/media/EObMaQIW4AIMaVr.jpg</t>
  </si>
  <si>
    <t>Synergy Neurofeedback offers Neurofeedback and EEG Biofeedback. During sessions, our Naturopaths help patients train and improve their brain functioning.</t>
  </si>
  <si>
    <t>http://www.synergyneurofeedback.com</t>
  </si>
  <si>
    <t>TeenTipsLtd</t>
  </si>
  <si>
    <t>A great afternoon with the charming upper 6th @ArdinglyCollege talking about coping with the stresses of life. #stress #teenagers</t>
  </si>
  <si>
    <t>Practical support for parents and schools founded by accredited therapist and pastoral care consultant, Alicia Drummond.</t>
  </si>
  <si>
    <t>http://www.teentips.co.uk</t>
  </si>
  <si>
    <t>In case you needed to hear it, you are never a burden! #mentalhealth #anxiety #stress #depression #ptsd #psychology #lcsw #therapy #selfcare</t>
  </si>
  <si>
    <t>https://pbs.twimg.com/media/EObL9fTXUAEylhJ.jpg</t>
  </si>
  <si>
    <t>Breathworks</t>
  </si>
  <si>
    <t>Last chance to book your place on the 8-week #Mindfulness for #Stress Course in Manchester starting Jan 26th! It’s a dramatically effective course that has changed the lives of thousands of people - don’t miss out! Book your place now:</t>
  </si>
  <si>
    <t>http://bit.ly/2NOfMNw</t>
  </si>
  <si>
    <t>https://pbs.twimg.com/media/EObLwvoWAAIlHxg.jpg</t>
  </si>
  <si>
    <t>Manchester &amp; London, UK</t>
  </si>
  <si>
    <t>Mindfulness Courses and Teacher Training for Pain, Illness and Stress.</t>
  </si>
  <si>
    <t>http://www.breathworks-mindfulness.org.uk/</t>
  </si>
  <si>
    <t>Guy Stuff Counseling</t>
  </si>
  <si>
    <t>#Stress can happen at any point in year. But the time before, during, and following the holidays can be particularly difficult. Check out this article I wrote on #FamilyToday for a #survival guide on handling the stress.</t>
  </si>
  <si>
    <t>https://hubs.ly/H0mCCLg0</t>
  </si>
  <si>
    <t>Roseville, California</t>
  </si>
  <si>
    <t>Counseling and Coaching - Designed for men and the women who love them! Couples, relationship &amp; marriage counseling, divorce, anger management classes and more.</t>
  </si>
  <si>
    <t>https://www.guystuffcounseling.com</t>
  </si>
  <si>
    <t>Tuning Element</t>
  </si>
  <si>
    <t>Try our B.E. Well Patches to help you think clearly 🤔 and regain focus in order to get stuff done 💪 Get 2 Sample B.E. Well Patches for $9.95:  What do YOU do to de-stress? #Stress #TuningElement #Relax #Work #Focus #GetStuffDone #Patches</t>
  </si>
  <si>
    <t>https://tuningelement.com/product/b-e-well-patch-2-patches-sample-patches/</t>
  </si>
  <si>
    <t>https://pbs.twimg.com/media/EObLZGlWkAEOCiW.jpg</t>
  </si>
  <si>
    <t>We change lives through health, mobility and performance technology by helping to support LIFE!</t>
  </si>
  <si>
    <t>http://www.tuningelement.com</t>
  </si>
  <si>
    <t>Amchara</t>
  </si>
  <si>
    <t>How #stress affects your #guthealth</t>
  </si>
  <si>
    <t>http://ow.ly/RBGT50xXh3G</t>
  </si>
  <si>
    <t>https://pbs.twimg.com/media/EObLVWUX0AIIH5z.jpg</t>
  </si>
  <si>
    <t>#Changeforgood with Amchara. Health Retreats in both the UK and Malta. Health Consultations &amp; Testing. Experts in Personalised Health.</t>
  </si>
  <si>
    <t>http://www.amchara.com</t>
  </si>
  <si>
    <t>Tyson Multimedia Inc.</t>
  </si>
  <si>
    <t>Words mean nothing without actions to follow. #stress #relaxation #wellnesswednesday #laughter #tysonmedia #dreams #awareness ⬇️⬇️⬇️</t>
  </si>
  <si>
    <t>https://lnkd.in/epsu5Wg</t>
  </si>
  <si>
    <t>pic.twitter.com/75P3EXe9V0</t>
  </si>
  <si>
    <t>Accu Weight-Loss</t>
  </si>
  <si>
    <t>Remember to practice your #ChiGong #Breathing today? It will help you refocus, reduce #stress, increase blood flow and help you with food cravings! Visit  to start your journey to a healthier lifestyle. #accuweight #diet #detox #meditation #healthylife</t>
  </si>
  <si>
    <t>http://www.accuweight.com</t>
  </si>
  <si>
    <t>https://pbs.twimg.com/media/EObH2XzWkAA59is.jpg</t>
  </si>
  <si>
    <t>AKA The Bead Diet offers fast, healthy weight loss with NO HUNGER, no diet pills and no exercise. Lose 15 lbs in 30 days. Every month. Only fat.</t>
  </si>
  <si>
    <t>FENS</t>
  </si>
  <si>
    <t>Did you miss last December's webinar on “Early Life Stress: Impact on Brain and Psychopathology?" It is now available online:  #stress #brain #neuroscience</t>
  </si>
  <si>
    <t>https://bit.ly/35Ycsq5</t>
  </si>
  <si>
    <t>https://pbs.twimg.com/media/EObHuWZXUAIuVJ6.jpg</t>
  </si>
  <si>
    <t>Brussels, Belgium</t>
  </si>
  <si>
    <t>The Federation of European Neuroscience Societies is the voice of European #neuroscience: 44 member societies across 33 countries with 20,000 neuroscientists.</t>
  </si>
  <si>
    <t>http://www.fens.org/</t>
  </si>
  <si>
    <t>Sport Care Access S.C.A.</t>
  </si>
  <si>
    <t>#Sport #Care Access #homeless project #support nine individuals in East London,Eastern Cape,South #Africa.The group play 'fun' beach softball #cricket each Sunday morning in order to help #cope with #stress/#anxiety caused by extreme difficulties they face daily TRADETOAID™- SCA</t>
  </si>
  <si>
    <t>https://pbs.twimg.com/media/EObHRzvWAAYh24s.jpg</t>
  </si>
  <si>
    <t>Cricket-Mental Health-Fairtrade-Disability-Human Rights-Refugees-Social Care-Youth-Children-Aid- Volunteer-Homeless-TRADETOAID™ @TTATradetoAid Global initiative</t>
  </si>
  <si>
    <t>http://www.sportcareaccess.org</t>
  </si>
  <si>
    <t>https://pbs.twimg.com/media/EObGruNXsAAPk6h.jpg</t>
  </si>
  <si>
    <t>#mentalhealth #stress #depression #anxiety RESCUE PASTILLES, Homeopathic Stress Relief, Natural Cranberry Flavor - 35 Pastilles -</t>
  </si>
  <si>
    <t>http://pachaworld.org/mentalhealth-stress-depression-anxiety-rescue-pastilles-homeopathic-stress-relief-natural-cranberry-flavor-35-pastilles</t>
  </si>
  <si>
    <t>https://pbs.twimg.com/media/EObFynSXkAArg-8.jpg</t>
  </si>
  <si>
    <t>Phil Mac</t>
  </si>
  <si>
    <t>Anxiety ___ #art #artist #draw #drawing #doodle #digitalart #digital #illustration #instaart #anxiety #anxious #worry #stress #oc #originalcharacter</t>
  </si>
  <si>
    <t>https://www.instagram.com/p/B7Y9B0jjDvZ/</t>
  </si>
  <si>
    <t>https://pbs.twimg.com/media/EObFi_9W4AEWaX4.jpg</t>
  </si>
  <si>
    <t>I have no idea what I'm doing... // Australia 🇦🇺 // 📸 Instagram: philburmac</t>
  </si>
  <si>
    <t>https://www.instagram.com/philburmac</t>
  </si>
  <si>
    <t>Cynthia Bond Hopson</t>
  </si>
  <si>
    <t>Experts say a better organized desk offers better #productivity, #efficiency, a brighter #attitude, and lessens #stress. How do you plan to clean up your desk and your #community?</t>
  </si>
  <si>
    <t>http://bit.ly/2R0uuUl</t>
  </si>
  <si>
    <t>https://pbs.twimg.com/media/EObFineXkAIbMah.jpg</t>
  </si>
  <si>
    <t>Lebanon, Tenn.</t>
  </si>
  <si>
    <t>Author, motivational speaker, HBCU fund director. Here's what I know: if you can't find happiness along the way, you won't find it at the end of the road.</t>
  </si>
  <si>
    <t>http://drbondhopson.com/</t>
  </si>
  <si>
    <t>Save NOW! For a limited time get 10% OFF plus Flat Rate shipping in US &amp; Canada.  #FreeShipping #Herbal #Natural #Teas #Health #Remedies #Free #Stress #Vitamins #MensHealth #WomensHealth #wealth</t>
  </si>
  <si>
    <t>http://www.theherbalgardens.com
https://shr.link/0fcxo</t>
  </si>
  <si>
    <t>Neptune78</t>
  </si>
  <si>
    <t>Free Iowa Concern Hotline available to help deal with stress of life  #Iowa #Stress #Health</t>
  </si>
  <si>
    <t>https://www.radioiowa.com/2020/01/16/free-iowa-concern-hotline-available-to-help-deal-with-stress-of-life/</t>
  </si>
  <si>
    <t>Iowa, USA</t>
  </si>
  <si>
    <t>I don't trust the Conservative media!</t>
  </si>
  <si>
    <t>https://neptune33usa.blogspot.com/2017/05/neptune-33.html</t>
  </si>
  <si>
    <t>Mad In America</t>
  </si>
  <si>
    <t>Stalked by #Stress, Abandoned to Predation: The Appeal of #Suicide in a Modern World by Sarah Knutson #suicideawareness #suicideprevention #mentalhealth</t>
  </si>
  <si>
    <t>https://www.madinamerica.com/2020/01/stress-abandoned-predation-suicide-modern-world/</t>
  </si>
  <si>
    <t>Cambridge, MA</t>
  </si>
  <si>
    <t>Rethinking Psychiatry Advocacy, Blogs, News, Podcasts and Resources</t>
  </si>
  <si>
    <t>http://madinamerica.com</t>
  </si>
  <si>
    <t>Sharon Stiles</t>
  </si>
  <si>
    <t>Today's tips for a happy new year relate to reducing #stress. You can hear them and last week's tips for reducing #anxiety at  The quality of the recording isn't the best but I think the advice is top quality! #selfhelp #wellbeing #stressreduction</t>
  </si>
  <si>
    <t>http://www.sharonstiles.co.uk/happy-new-year</t>
  </si>
  <si>
    <t>https://pbs.twimg.com/media/EObDMh8WAAENYPQ.jpg</t>
  </si>
  <si>
    <t>Bristol, UK</t>
  </si>
  <si>
    <t>Hypnotherapy, CBT, Hypnosis for Fun, video editor, model aircraft, Battle of Britain Model Squadron, 30% scale Baby Wingwalkers, Bristol</t>
  </si>
  <si>
    <t>https://www.sharonstiles.co.uk</t>
  </si>
  <si>
    <t>While there are many causes ranging from excessive workloads to conflicts in the office, there are several things you can do to reduce your #stress while on the job. Here are five things that will help reduce your stress at work.  #stressrelief</t>
  </si>
  <si>
    <t>https://bit.ly/2PzBsPp</t>
  </si>
  <si>
    <t>https://pbs.twimg.com/media/EObBaTBXsAIPHhH.jpg</t>
  </si>
  <si>
    <t>Patty Bechtold LPCC</t>
  </si>
  <si>
    <t>Happy New Year! I'm a little late but here's a new blog post for the new year:  #mentalhealth #stress</t>
  </si>
  <si>
    <t>https://wiselifetherapy.com/advise-overload-3-ways-to-cope/</t>
  </si>
  <si>
    <t>Santa Rosa &amp; Sonoma County</t>
  </si>
  <si>
    <t>Counselor, Therapist, Board Certified Coach (BCC). Writer &amp; Guide for Women's Groups &amp; Retreats. I help women come home to their deepest wisdom.</t>
  </si>
  <si>
    <t>http://wiselifetherapy.com</t>
  </si>
  <si>
    <t>https://pbs.twimg.com/media/EOa_Wg5X0AA01sU.jpg</t>
  </si>
  <si>
    <t>Gᴇʀᴀʀᴅ Bᴀʀʀʏ</t>
  </si>
  <si>
    <t>I'm alone with my thoughts when I ride, but I'm also in touch with the temperature, topography and people around me. The #bicycle bookends of my #work day are respites from most other cares  #cycling #commute #commuting #mobility #zen #mindfulness #stress</t>
  </si>
  <si>
    <t>https://www.cnn.com/2018/07/30/health/biking-wisdom-project/index.html</t>
  </si>
  <si>
    <t>In alphabetical order: Technology, Marketing, wine, archery, travel and cycling - oh my! https://www.linkedin.com/in/gerardbarry/</t>
  </si>
  <si>
    <t>Freedom Health PMI</t>
  </si>
  <si>
    <t>Half a million people in the UK suffer from work-related #stress with many of us feeling like we’re running on empty and end our week #exhausted 😫😓. Here’s how to notice you’re on the verge of a wipe-out . #workstress</t>
  </si>
  <si>
    <t>http://ow.ly/8wXX30q3i4e</t>
  </si>
  <si>
    <t>https://pbs.twimg.com/media/EOa9wRDXsAIQgtQ.jpg</t>
  </si>
  <si>
    <t>Poole, UK</t>
  </si>
  <si>
    <t>Freedom Health Insurance offers innovative private health insurance to individuals and companies, with competitive premiums and a high level of service.</t>
  </si>
  <si>
    <t>http://www.freedomhealthinsurance.co.uk</t>
  </si>
  <si>
    <t>The Finance Team</t>
  </si>
  <si>
    <t>For years we’ve been told how unhealthy stress can be &amp; how important it is to manage our stress. Turns out, everything we thought we knew about stress might actually be wrong. Read the blog to see how stress can be good for you:  #Stress #Blog</t>
  </si>
  <si>
    <t>http://www.thefinanceteam.co.za/why-stress-can-actually-be-good-for-you/</t>
  </si>
  <si>
    <t>https://pbs.twimg.com/media/EOa9pNhXUAMBrsY.jpg</t>
  </si>
  <si>
    <t>South Africa's leading provider of part-time/interim financial managers and CFO’s</t>
  </si>
  <si>
    <t>http://www.thefinanceteam.co.za</t>
  </si>
  <si>
    <t>Look for opportunities &amp; you will find them. #Anxiety stops creative process. See how to start today @  #stress</t>
  </si>
  <si>
    <t>Oncali</t>
  </si>
  <si>
    <t>Just one more day left in the week after today - the weekend is in sight! #work #week #stress</t>
  </si>
  <si>
    <t>https://pbs.twimg.com/media/EOa8aKVUcAAayP9.jpg</t>
  </si>
  <si>
    <t>Pure CBD Gummies</t>
  </si>
  <si>
    <t>https://www.oncali.com</t>
  </si>
  <si>
    <t>NO RISK NO STRESS Visit:  #MarketingIdeas #Risk # #Stress # # # #</t>
  </si>
  <si>
    <t>Gina Caughey</t>
  </si>
  <si>
    <t>Messy homes and workspaces leave us feeling anxious, helpless and overwhelmed. Yet, rarely is clutter recognized as a significant source of stress in our lives. -Sherrie Bourg Carter #GOMonth #NAPO #Clutter #Stress #ACalltoOrder</t>
  </si>
  <si>
    <t>https://pbs.twimg.com/media/EOa6oMsVUAAf3hq.png</t>
  </si>
  <si>
    <t>ParentSecure</t>
  </si>
  <si>
    <t>At the Consumer Electronics Show, the only solution for technology-induced stress is more technology, says Amanda Mull for the Atlantic.#stress #technology #whosincharge #doubleedgedsword #data #privacy #parentsecure</t>
  </si>
  <si>
    <t>Norwich, England</t>
  </si>
  <si>
    <t>For parents who care about their children's data and privacy in the digital world.</t>
  </si>
  <si>
    <t>http://www.parentsecure.co.uk</t>
  </si>
  <si>
    <t>Randy Moser</t>
  </si>
  <si>
    <t>Many of life’s stressors reside in unrealized expectations. Take a close look, if some are unrealistic, discard and reduce related stressors. #livingmybestlife #qualityoflife #lifebalance #mylife #stress #wellbeing #anxiety #wellness</t>
  </si>
  <si>
    <t>http://www.lifezone4.com</t>
  </si>
  <si>
    <t>Sarah J Collins</t>
  </si>
  <si>
    <t>Calm your anxiety in 10 mins with this simple breath meditation  #yoga #anxiety #AnxietyFeelsLike #stress #stressmanagement #stressrelief #meditation #MentalHealthMatters #yogateacher #yogalove #breathe #BreatheLife #CALM #peaceofmind #help #LifeHack #me</t>
  </si>
  <si>
    <t>https://youtu.be/0nkG_gIzpNQ</t>
  </si>
  <si>
    <t>FREE online YIN YOGA and MEDITATION classes for all levels to help with anything from anxiety and stress to an overactive mind or a bad back #yinyoga</t>
  </si>
  <si>
    <t>https://sarahjc.com</t>
  </si>
  <si>
    <t>Andy McDonnell</t>
  </si>
  <si>
    <t>Looking forward to visiting Dubai services in February and delivering the LASER programme #traumainformed #calm #resilence #behaviouralchange #restraintreduction #childwelfare #mentalhealtheducation #stress #studio3 #stressmanagement #lowarousal</t>
  </si>
  <si>
    <t>https://lnkd.in/gY4-mJT</t>
  </si>
  <si>
    <t>Professor of Autism Studies, BCU UK Director of Studio3: Psychologist and founder of the low arousal approach</t>
  </si>
  <si>
    <t>http://www.studio3.org</t>
  </si>
  <si>
    <t>Nebraska Youth Suicide Prevention</t>
  </si>
  <si>
    <t>Feeling stressed? Explore management strategies here:  #SuicidePrevention #SuicideAwareness #YouMatter #NUPPC #Stress</t>
  </si>
  <si>
    <t>https://psychcentral.com/stress/</t>
  </si>
  <si>
    <t>Nebraska</t>
  </si>
  <si>
    <t>Nebraska Youth Suicide Prevention works to decrease the suicide rate among young people. For immediate help please contact The Lifeline at 1-800-273-8255.</t>
  </si>
  <si>
    <t>http://youthsuicideprevention.nebraska.edu/</t>
  </si>
  <si>
    <t>Yoga for #Stress - best poses to open the heart and relieve the long day grind. via @elitedaily  #relief #stress yoga</t>
  </si>
  <si>
    <t>https://pbs.twimg.com/media/EOa4gGhWoAESOzw.jpg</t>
  </si>
  <si>
    <t>Kay Heald</t>
  </si>
  <si>
    <t>Recent discussions regarding #stress and #resilience at work prompted this article:</t>
  </si>
  <si>
    <t>https://www.kayhealdhr.co.uk/hr-articles/resilience-at-work/</t>
  </si>
  <si>
    <t>https://pbs.twimg.com/media/EOamOBJWAAAS3AF.jpg</t>
  </si>
  <si>
    <t>Shropshire</t>
  </si>
  <si>
    <t>I help small and family businesses in and around Shropshire with all their HR, personnel and employment needs - hand holding included! A big film fan too.</t>
  </si>
  <si>
    <t>http://www.kayhealdhr.co.uk/</t>
  </si>
  <si>
    <t>Denise Callaghan</t>
  </si>
  <si>
    <t>Stress - The modern curse! Stress can lead to serious long term physical and mental health conditions. So, it’s very important to try to eliminate triggers and seek treatment. Patients with stress have found that acupuncture can help  #Stress</t>
  </si>
  <si>
    <t>http://ow.ly/6DS750xOPVI</t>
  </si>
  <si>
    <t>https://pbs.twimg.com/media/EOa3zuTXUAIj8JK.jpg</t>
  </si>
  <si>
    <t>Bromley, Orpington London</t>
  </si>
  <si>
    <t>Osteopath &amp; Acupuncturist for a variety of conditions:- sports injuries, back &amp; neck pain, stress, menopause &amp; fertility. Contact 0208 313 0510</t>
  </si>
  <si>
    <t>http://denisecallaghan.co.uk/</t>
  </si>
  <si>
    <t>Macaroni Kid NE Cincinnati</t>
  </si>
  <si>
    <t>Haha who can relate? #parenting #whofeelsold #stress</t>
  </si>
  <si>
    <t>https://pbs.twimg.com/media/EOa3rVOWAAEEzCK.jpg</t>
  </si>
  <si>
    <t>NE Cincinnati, OH</t>
  </si>
  <si>
    <t>A FREE weekly e-newsletter and website for families in the NE Cincinnati area. You can reach me at chaninm@macaronikid.com with event info or questions!</t>
  </si>
  <si>
    <t>https://necincinnati.macaronikid.com/</t>
  </si>
  <si>
    <t>Phys.org Biology</t>
  </si>
  <si>
    <t>#Cells protect themselves against #stress by keeping together @CellReports</t>
  </si>
  <si>
    <t>https://phys.org/news/2020-01-cells-stress.html</t>
  </si>
  <si>
    <t>http://Phys.org: Biology News Stories</t>
  </si>
  <si>
    <t>http://phys.org/science-news/biology/</t>
  </si>
  <si>
    <t>NAMI Massachusetts</t>
  </si>
  <si>
    <t>Everyone experiences #stress, sadness, and #anxiety from time to time. If you're feeling overwhelmed, depressed, or unable to do the things you once enjoyed, take a few minutes to complete an anonymous self-assessment</t>
  </si>
  <si>
    <t>http://ow.ly/xOjO30q9c5O</t>
  </si>
  <si>
    <t>https://pbs.twimg.com/media/EOa2vewX0AIFKVA.png</t>
  </si>
  <si>
    <t>Boston, Massachusetts</t>
  </si>
  <si>
    <t>A vital state resource to individuals and families facing the challenges of mental illness, providing free family-based education and family and peer support.</t>
  </si>
  <si>
    <t>http://www.namimass.org</t>
  </si>
  <si>
    <t>Maple Leaf Clinic</t>
  </si>
  <si>
    <t>#acupuncture offer at the clinic! #offer #chinesemedicine #health #wellbeing #stress #rebalancing #chronicpain #complimentarymedicine</t>
  </si>
  <si>
    <t>https://pbs.twimg.com/media/EOa2N8bX0AMiYMq.jpg</t>
  </si>
  <si>
    <t>Twickenham, London</t>
  </si>
  <si>
    <t>Maple Leaf Clinic &amp; Wellbeing Centre - Looking after you since 1965 http://www.mapleleafclinic.co.uk</t>
  </si>
  <si>
    <t>http://www.mapleleafclinic.co.uk</t>
  </si>
  <si>
    <t>CAL coachingandlife</t>
  </si>
  <si>
    <t>Forum with Professionals #Train yourself Don't waste your time! #Hurt and pain? Habits your autopilot, your#money #Health #success #relationship #communication #business #love #partnership #money #family #trust #career #stress #burnout #depression #anger #fear</t>
  </si>
  <si>
    <t>pic.twitter.com/0tcQlRaUlj</t>
  </si>
  <si>
    <t>Dunedin, FL</t>
  </si>
  <si>
    <t>Coaching to do better</t>
  </si>
  <si>
    <t>http://www.coachingandlife.com</t>
  </si>
  <si>
    <t>Environmental Health Project</t>
  </si>
  <si>
    <t>If you live or work in a community with #fracking, you may experience environmental #stressors related to the industry. Visit our website for tips on how to deal with fracking-related #stress:</t>
  </si>
  <si>
    <t>http://ow.ly/8SGv50xWtVi</t>
  </si>
  <si>
    <t>https://pbs.twimg.com/media/EOa1hQpXsAAk-uF.jpg</t>
  </si>
  <si>
    <t>McMurray, PA</t>
  </si>
  <si>
    <t>Public health organization dedicated to helping those impacted by shale gas development (fracking).</t>
  </si>
  <si>
    <t>http://www.environmentalhealthproject.org</t>
  </si>
  <si>
    <t>EP 481 Find a mentor. Be a mentor. Who can you reach out to for that boost and who around you could use that lift? Click for Today’s Hot Tips For Celebrating National Mentoring Month #stress #resiliency #mentalhealth #mentor #socialconnectedness #support</t>
  </si>
  <si>
    <t>https://www.podbean.com/eu/pb-esv4x-cc5812#.XiCa7s6ZqK4.twitter</t>
  </si>
  <si>
    <t>Mike Kawula 🐨</t>
  </si>
  <si>
    <t>#ThankfulThursday Stress.... it does the body good! Next time your feeling "stressed" flip that switch to see the friend it really is:  via @kellymcgonigal Great perspective on #stress</t>
  </si>
  <si>
    <t>https://www.ted.com/talks/kelly_mcgonigal_how_to_make_stress_your_friend</t>
  </si>
  <si>
    <t>Startup Advisor 🎯 Inc. 500 Entrepreneur 💼 Author 📖 Husband ❤️ Father 😊</t>
  </si>
  <si>
    <t>https://linktr.ee/mikekawula</t>
  </si>
  <si>
    <t>iDoser</t>
  </si>
  <si>
    <t>#FEAR BASED #MEDITATION? Do You Get #Anxiety or #Stress During #Mindfulness #Meditation? #Learn #HowTo Leverage Being #Scared for #Positive #Change During Your #Mindful Moments. Click Here:</t>
  </si>
  <si>
    <t>http://binauralblog.com/fear-based-meditation</t>
  </si>
  <si>
    <t>https://pbs.twimg.com/media/EOazP2vX4AMKMcZ.jpg</t>
  </si>
  <si>
    <t>#iDoser Leads Mindfulness Music Industry 15+ Years with 10 Million Users. Top Producer of ASMR, Hypnosis, Binaural, Subliminal Music. http://iDoser.com</t>
  </si>
  <si>
    <t>http://www.i-doser.com</t>
  </si>
  <si>
    <t>Jenny Brundin</t>
  </si>
  <si>
    <t>When Even A Student Who Loves School Starts Missing Day After Day, How Do You Bring Them Back?  #edcolo #teendepression #dropout #stress</t>
  </si>
  <si>
    <t>https://www.cpr.org/2020/01/16/when-even-a-student-who-loves-school-starts-missing-day-after-day-how-you-bring-them-back/</t>
  </si>
  <si>
    <t>Education Reporter, Colorado Public Radio. Admirer of deep thought, youth, eccentrics.</t>
  </si>
  <si>
    <t>http://www.cpr.org</t>
  </si>
  <si>
    <t>Making the right choices to reduce #stress however much your heartstrings are pulled can often be the right thing to do. We’ll miss you @sanditoksvig RT @sanditoksvig:</t>
  </si>
  <si>
    <t>https://twitter.com/sanditoksvig/status/1217763787329110017
https://www.channel4.com/press/news/sandi-toksvig-announces-she-leave-bake-tent</t>
  </si>
  <si>
    <t>https://pbs.twimg.com/media/EOZdtVEWAAAKdSR.jpg</t>
  </si>
  <si>
    <t>Sporty King, Uncle, CSME, CHP, Inspirational</t>
  </si>
  <si>
    <t>THURSDAY THEOLOGY!!! Loving the “lot” on my platter (plate was too small)!!! #meaning #stress #mindset #success #motivational #fun #military #positivity #spiritual #selfesteem #leadership #entrepreneur ✍🏿</t>
  </si>
  <si>
    <t>https://www.instagram.com/p/B7Y3L3NpURi/?igshid=91cfpwxbl84p</t>
  </si>
  <si>
    <t>#KeynoteSpeaker Helps you become a better listener, improving communication skills... master stress, improving relationships with people you communicate with.</t>
  </si>
  <si>
    <t>http://www.sportyking.com/inspirational-fun-letter.html</t>
  </si>
  <si>
    <t>Wellness Woman 40</t>
  </si>
  <si>
    <t>Am I Stressed Or Anxious, Or BOTH? What's the difference and how can it be treated ?  #stress</t>
  </si>
  <si>
    <t>https://buff.ly/35FW0eB</t>
  </si>
  <si>
    <t>https://pbs.twimg.com/media/EOayFJIWkAEY9PU.jpg</t>
  </si>
  <si>
    <t>#holisticliving for #women over 40 #wellnesswoman40 books, emag, radio shows, events &amp; classes.</t>
  </si>
  <si>
    <t>http://www.praiseworks.biz</t>
  </si>
  <si>
    <t>Bupa UK</t>
  </si>
  <si>
    <t>Ever experienced #stress, #anxiety or #loneliness and wondered #IsitNormal ? You’re not alone, 1/2 Brits aren't sure what's normal for them. If you're worried about your mental health, access help and guidance on when and how to seek help here:</t>
  </si>
  <si>
    <t>http://bupa.co.uk/mental-health</t>
  </si>
  <si>
    <t>https://pbs.twimg.com/media/EOaxc7OWoAE56yC.jpg</t>
  </si>
  <si>
    <t>Welcome to Bupa's UK Twitter channel. For customer service, please use @AskBupaUK. We welcome all comments and queries (monitored 9am-5pm weekdays).</t>
  </si>
  <si>
    <t>http://www.bupa.co.uk</t>
  </si>
  <si>
    <t>GleeYoga offers different yoga classes for beginners, intermediate and advanced yogis who want to improve their health, mental and physical well-being:  #nature #yoga #yogalife #yogaeverywhere #yogainspiration #depression #anxiety #stress</t>
  </si>
  <si>
    <t>https://gleeyoga.com/gleeyoga-depression-anxiety.php</t>
  </si>
  <si>
    <t>https://pbs.twimg.com/media/EOaxZFOUEAEmU-1.png</t>
  </si>
  <si>
    <t>Canna Consulting</t>
  </si>
  <si>
    <t>Want to put #stressmanagement on your #workplace agenda. This is a fantastic, fun, informative seminar packed full of ideas and best practice to bust #stress. Get in touch with us hello@canna-consulting.co.uk</t>
  </si>
  <si>
    <t>https://pbs.twimg.com/media/EOaw7c3W4AAQm32.png</t>
  </si>
  <si>
    <t>Cardiff, UK</t>
  </si>
  <si>
    <t>Tackling workplace #wellbeing, #mentalhealth &amp; #stigma. Making a difference to people and their wellbeing. Mental breakdown and workaholic survivor.</t>
  </si>
  <si>
    <t>http://www.cannaconsulting.co.uk</t>
  </si>
  <si>
    <t>Badger Maps</t>
  </si>
  <si>
    <t>This Genius Process for Prioritizing Reduces #Stress and Increases #Productivity</t>
  </si>
  <si>
    <t>https://buff.ly/37wRFuN</t>
  </si>
  <si>
    <t>Sales routing app that helps Field Salespeople optimize their routes, manage customer data more efficiently, generate new leads and sell more! IG:@badgermaps</t>
  </si>
  <si>
    <t>http://badgermapping.com</t>
  </si>
  <si>
    <t>Here's my new piece for Psychology Today. I hope it's helpful: How to Help Manage Your Everyday Fears | Psychology Today  #psychtoday #fear #anxiety #stress #health</t>
  </si>
  <si>
    <t>AfterDeployment</t>
  </si>
  <si>
    <t>The @DeptVetAffairs' free Moving Forward app teaches problem-solving skills that can help you deal with #stress:</t>
  </si>
  <si>
    <t>http://ow.ly/aeZh50xMHO2</t>
  </si>
  <si>
    <t>https://pbs.twimg.com/media/EOawZCZXUAEeJEQ.jpg</t>
  </si>
  <si>
    <t>Joint Base Lewis-McChord, WA</t>
  </si>
  <si>
    <t>Providing health &amp; wellness tools addressing deployment related issues to military service members and families. Following, shares, likes &amp; links ≠ endorsement.</t>
  </si>
  <si>
    <t>https://health.mil/AfterDeployment</t>
  </si>
  <si>
    <t>recharj</t>
  </si>
  <si>
    <t>Do you agree or disagree with these #mindfulness trends for 2020? We'd love to read what you think! .  . . . #mentalhealth #meditation #stress #workplacewellbeing</t>
  </si>
  <si>
    <t>https://www.prnewswire.com/news-releases/top-6-mindfulness-trends-for-2020-300980644.html</t>
  </si>
  <si>
    <t>🙏 A modern meditation &amp; power nap studio 👔 Leader in Corporate Mindfulness Training 🦈 As seen on 'Shark Tank'📍 DC</t>
  </si>
  <si>
    <t>http://www.recharj.com/</t>
  </si>
  <si>
    <t>AS Walk-In Tubs</t>
  </si>
  <si>
    <t>#Stress is a healthy human emotion, but we need to make sure we're managing it properly in our daily lives. Be proactive with these #StressManagement strategies that can help you live happier and healthier.</t>
  </si>
  <si>
    <t>https://bit.ly/2ZIWqPa</t>
  </si>
  <si>
    <t>@AMStandard has been the leader of Bathroom Safety &amp; Innovation for 140+ years. Our revolutionary #WalkInTubs allow you to bathe in comfort &amp; safety.</t>
  </si>
  <si>
    <t>https://walkintubs.americanstandard-us.com/</t>
  </si>
  <si>
    <t>(Blog) It Pays to Remain Calm. If you're dealing with stressful situations, it can be hard to keep emotions in check - but when you do, good things happen.  #mindfulness #MindfulChange #mindset #stress #calm</t>
  </si>
  <si>
    <t>VotarEsNuestroDeber</t>
  </si>
  <si>
    <t>How to Eliminate #Work #Stress When You're Stressed to the #Max 👉👈 from @craigjtodd</t>
  </si>
  <si>
    <t>https://buff.ly/2IVrLFM</t>
  </si>
  <si>
    <t>https://pbs.twimg.com/media/EOawJJYWAAE_ABC.jpg</t>
  </si>
  <si>
    <t>Miami, FL</t>
  </si>
  <si>
    <t>It is our #Duty to #Vote! A través del #voto, we take control de nuestro #destino. #Vote2020</t>
  </si>
  <si>
    <t>http://www.votaresnuestrodeber.com</t>
  </si>
  <si>
    <t>Standing with Marco</t>
  </si>
  <si>
    <t>https://pbs.twimg.com/media/EOawHB1XUAAtASH.jpg</t>
  </si>
  <si>
    <t>Survey Sunday</t>
  </si>
  <si>
    <t>https://pbs.twimg.com/media/EOawGLiXsAAi1ML.jpg</t>
  </si>
  <si>
    <t>Miami</t>
  </si>
  <si>
    <t>The weekly #SurveySunday is an unscientific measure of the opinions &amp; attitudes of #Miami community leaders, by @LopezGovLaw via email, #Facebook, &amp; #Twitter.</t>
  </si>
  <si>
    <t>https://twitter.com/SurveySunday</t>
  </si>
  <si>
    <t>Miami Gives</t>
  </si>
  <si>
    <t>https://pbs.twimg.com/media/EOawFkIWsAA6RGP.jpg</t>
  </si>
  <si>
    <t>Inspiring #Philanthropy in #Miami -- #care | #give | #share | #volunteer | sponsored by Marile &amp; Jorge Luis Lopez, Esq. (@lopezgovlaw).</t>
  </si>
  <si>
    <t>https://www.facebook.com/MiamiGives</t>
  </si>
  <si>
    <t>DailyPsalms</t>
  </si>
  <si>
    <t>https://pbs.twimg.com/media/EOawDWNX0AA1r_9.jpg</t>
  </si>
  <si>
    <t>#Daily #Psalms and #InspirationalQuotes sponsored by @lopezgovlaw</t>
  </si>
  <si>
    <t>https://twitter.com/DailyPsalms365</t>
  </si>
  <si>
    <t>Jorge Luis Lopez Esq</t>
  </si>
  <si>
    <t>http://bit.ly/3an8R8u</t>
  </si>
  <si>
    <t>https://pbs.twimg.com/media/EOawC7rXUAIGWV4.jpg</t>
  </si>
  <si>
    <t>Miami, Florida</t>
  </si>
  <si>
    <t>Thanks for your patience ... 🤞 think fixed technical difficulties with our account.</t>
  </si>
  <si>
    <t>http://www.LopezGovLaw.com</t>
  </si>
  <si>
    <t>BE Well Patch</t>
  </si>
  <si>
    <t>https://pbs.twimg.com/media/EOawBliW4AAx8oW.jpg</t>
  </si>
  <si>
    <t>Missouri, USA</t>
  </si>
  <si>
    <t>The B.E. Well Patch benefits the body through NanoBioscience technology aimed at supporting behavioral wellness.</t>
  </si>
  <si>
    <t>ELK-Health</t>
  </si>
  <si>
    <t>How proper breathing can reduce stress: ➡️  #stress #breathe</t>
  </si>
  <si>
    <t>https://buff.ly/2Tsmb5m</t>
  </si>
  <si>
    <t>https://pbs.twimg.com/media/EOav--0W4AA8-B3.jpg</t>
  </si>
  <si>
    <t>ELK-Health is the name for clinics and programmes from the National Institutes for Stress, Anxiety and Depression, a non-profit that helps people change.</t>
  </si>
  <si>
    <t>http://www.nisad.org</t>
  </si>
  <si>
    <t>The Night Police</t>
  </si>
  <si>
    <t>Mental health services among Law Enforcement workers top priority #ProtectPolice #LawEnforcement #MentalHealth #PTSD #Stress</t>
  </si>
  <si>
    <t>http://ow.ly/aDgR30q9TsL</t>
  </si>
  <si>
    <t>https://pbs.twimg.com/media/EOav9T4XsAEbPCw.jpg</t>
  </si>
  <si>
    <t>A novel by Chris Berg and Paul James Smith. Coming March 24, 2020!</t>
  </si>
  <si>
    <t>NO RISK NO STRESS Go To:  #Buy #Sell #Trade #Risk #Stress</t>
  </si>
  <si>
    <t>The DeMinno CPA Firm</t>
  </si>
  <si>
    <t>Is there a link between money worries and stress? Attack the problem at its root. #debt #stress</t>
  </si>
  <si>
    <t>http://myf.mg/9tsM</t>
  </si>
  <si>
    <t>New City, NY</t>
  </si>
  <si>
    <t>Tax and Accounting Services. Business Advisory and Consulting Services Wealth Management A Different Kind of CPA Firm</t>
  </si>
  <si>
    <t>Amanda Goodwin</t>
  </si>
  <si>
    <t>8 Signs You Need a #HealthCoach Now!  #weightloss #SelfCare #Stress #Accountability #Support #HealthyDiet #KitchenMakeover #mealprep #MealPlanning #recipes #ChronicDisease #hashimoto #Crohns #Autoimmune #Thyroid #IBD #LeakyGut #Adrenals #FoodSensitivities</t>
  </si>
  <si>
    <t>https://buff.ly/2Psinzq</t>
  </si>
  <si>
    <t>https://pbs.twimg.com/media/EOavzMzWsAEJkpm.jpg</t>
  </si>
  <si>
    <t>As a #HealthCoach my passion is helping those with #chronic #illnesses, so they can thrive not just survive! #Autoimmunity #Hashimoto's #Crohn's</t>
  </si>
  <si>
    <t>http://amandagoodwin.biz/newsletter/</t>
  </si>
  <si>
    <t>Luis R. Miranda</t>
  </si>
  <si>
    <t>Is it a problem being a perfectionist?  #anxiety #stress #bulimia #anorexia #depression</t>
  </si>
  <si>
    <t>https://real-agenda.com/world-3/is-it-a-problem-to-be-a-perfectionist/</t>
  </si>
  <si>
    <t>https://pbs.twimg.com/media/EOavygmWkAIGZJ5.jpg</t>
  </si>
  <si>
    <t>Sao Paulo, Brazil</t>
  </si>
  <si>
    <t>Award-winning journalist. Instagram: @LuisRMiranda Facebook: @LuisRealAgenda</t>
  </si>
  <si>
    <t>http://www.real-agenda.com</t>
  </si>
  <si>
    <t>Take one step at a time and keep on breathing and everything is going to be okay no matter what the world has thrown at you. #work #quoteoftheday #counselling #hcsmSA #southafrica #stress #help #anxiety #mindfulness</t>
  </si>
  <si>
    <t>https://pbs.twimg.com/media/EOZa0wjX4AAaz7_.jpg</t>
  </si>
  <si>
    <t>Cenegenics North Carolina</t>
  </si>
  <si>
    <t>Great article about stress and how to deal with it.  #Cenegenics #Aging #stress</t>
  </si>
  <si>
    <t>https://www.cenegenics.com/blog/types-of-stress</t>
  </si>
  <si>
    <t>Fayetteville, NC</t>
  </si>
  <si>
    <t>Our unique understanding &amp; research into how the body ages has allowed us to design advanced programs for men and women who want to feel young &amp; healthy again!</t>
  </si>
  <si>
    <t>https://northcarolina.cenegenics.com/</t>
  </si>
  <si>
    <t>Dr. Tim Baghurst</t>
  </si>
  <si>
    <t>My colleague @DavidWEccles needs help with a study investigating #rest in #coaches as it relates to #stress and #burnout. Please reach out to him if you can help. Sharing is appreciated! #coaching #sportpsychology #coachhealth #coach #sportpsych #fsucoach</t>
  </si>
  <si>
    <t>Tallahassee, FL</t>
  </si>
  <si>
    <t>Director of FSU COACH | Owner of GOAT Sports Performance | Author of Coaching for Sports Performance | Racquetball and Squash 57 competitor | Views my own</t>
  </si>
  <si>
    <t>http://www.timbaghurst.com</t>
  </si>
  <si>
    <t>DanielaPaolone, LMFT</t>
  </si>
  <si>
    <t>"Body Scanning: Learning how to reduce anxiety and improve resiliency - There are so many obligations and distractions that keep you moving from place to place without a moment to catch your breath."  #pain #anxiety #stress #bodyscanning</t>
  </si>
  <si>
    <t>https://lttr.ai/MOct</t>
  </si>
  <si>
    <t>https://pbs.twimg.com/media/EOauxsTW4AI9Rjl.png</t>
  </si>
  <si>
    <t>#Online #Counseling for #ChronicPain, #ChronicIllness, #InvisibleIllness &amp; #CaregiverSupport. Medical Illness advocate/founder Westlake Village Counseling</t>
  </si>
  <si>
    <t>Jack Snyder</t>
  </si>
  <si>
    <t>Stress is not beneficial for your health. It can lead to irritability, fatigue, anxiety, and headaches. Vitamins and supplements can actually play a role in reducing your stress. Here are 7 things try next time you’re feeling stressed. #vitamins #stress</t>
  </si>
  <si>
    <t>http://bit.ly/2Qg6evK</t>
  </si>
  <si>
    <t>https://pbs.twimg.com/media/EOauqwkX4AAegVu.jpg</t>
  </si>
  <si>
    <t>Lake Tahoe, NV</t>
  </si>
  <si>
    <t>Entrepreneur, Health &amp; Wealth business owner. Giving people hope for &amp; a simple way to begin improving their FAITH, HEALTH, FINANCES &amp; OVERALL QUALITY OF LIFE!</t>
  </si>
  <si>
    <t>TWO sons TOO many</t>
  </si>
  <si>
    <t>#life? The big #questions The #stress the #tiredness Please pause for a moment and take a little time with a #newbook #LaymansHandbook is for you to unwind and gather up some #understandings</t>
  </si>
  <si>
    <t>https://allauthor.com/amazon/33694/</t>
  </si>
  <si>
    <t>https://pbs.twimg.com/media/EOaupZFXkAEvsBF.jpg</t>
  </si>
  <si>
    <t>the WORLD over 🇮🇪🇨🇷🇺🇸</t>
  </si>
  <si>
    <t>Author, Public Speaker. #memoir TWO sons TOO many. Page turning #truth, Happy to #RT &amp; #FB To LOVE, LIVE &amp; LOSE. twosons.toomany@yahoo.com Get #Inspired</t>
  </si>
  <si>
    <t>https://amcnallyauthor.wordpress.com</t>
  </si>
  <si>
    <t>PAR, Inc.</t>
  </si>
  <si>
    <t>PAR author Steven Feifer has released a new book on #stress, #trauma, and becoming a trauma-informed school. Learn more or preorder the book!  #traumainformed</t>
  </si>
  <si>
    <t>https://buff.ly/2Ri7Qpv</t>
  </si>
  <si>
    <t>https://pbs.twimg.com/media/EOaupTQX0AYE6Lk.jpg</t>
  </si>
  <si>
    <t>Lutz, Florida</t>
  </si>
  <si>
    <t>PAR is a leading publisher of psychological assessment instruments. PAR provides customers with innovative assessments and unparalleled customer service.</t>
  </si>
  <si>
    <t>http://parinc.com</t>
  </si>
  <si>
    <t>Cenegenics New York</t>
  </si>
  <si>
    <t>Great article about stress and how to deal with it.  #Cenegenics #Aging #Stress</t>
  </si>
  <si>
    <t>40 Wall Street, New York City</t>
  </si>
  <si>
    <t>Cenegenics New York is a Proven Age Management Medical System with Predictable Results for men and women. Set your youth attitude and let your body follow!</t>
  </si>
  <si>
    <t>http://www.cenegenicsnewyork.com</t>
  </si>
  <si>
    <t>BWRT®️ : psychological &amp; emotional back up. @DailyMailUK @VanessaChalmers @FatnosisHello #selfcare #healthcare #lifestyle #wellness #stress #confidence #motivation #BWRT RT @FatnosisHello: Soft soaping slimming groups &amp;amp; why they need to toughen up:</t>
  </si>
  <si>
    <t>https://twitter.com/fatnosishello/status/1217761033621774337
https://www.dailymail.co.uk/health/article-7764697/Slimming-clubs-tell-members-die-CANCER-encourage-weight-loss.html</t>
  </si>
  <si>
    <t>Cenegenics Puerto Rico</t>
  </si>
  <si>
    <t>Great article about stress and how to deal with it. … #Cenegenics #Aging #stress</t>
  </si>
  <si>
    <t>https://cenegenics.com/blog/types-of-stress</t>
  </si>
  <si>
    <t>San Juan, Puerto Rico</t>
  </si>
  <si>
    <t>Aging is inevitable, but how you age is not. Take control of your aging process today. Our passion is to see our patients living healthy, fulfilled lives.</t>
  </si>
  <si>
    <t>https://puertorico.cenegenics.com/</t>
  </si>
  <si>
    <t>Dr. Raymond Ishman</t>
  </si>
  <si>
    <t>Cenegenics Philadelphia is a regional center of Cenegenics Medical Institute, the global leader in age management medicine.</t>
  </si>
  <si>
    <t>http://www.cenegenics-philadelphia.com/</t>
  </si>
  <si>
    <t>https://pbs.twimg.com/media/EOarOxLWsAAwMu-.jpg</t>
  </si>
  <si>
    <t>Amy White</t>
  </si>
  <si>
    <t>#Acupuncture can help. Learn more -&gt;  -- #anxiety #panic #digestiveissues #insomnia #depression #panicattacks #eatingdisorders #anorexia #bulimia #bingeeating #overeating #stresseating #stress #mentalhealth #breathe #maitlandfl #orlandofl #winterparkfl</t>
  </si>
  <si>
    <t>http://www.thepointsofhealth.com</t>
  </si>
  <si>
    <t>https://pbs.twimg.com/media/EOaqTMYWoAEro_p.png</t>
  </si>
  <si>
    <t>M Rigby Counselling</t>
  </si>
  <si>
    <t>A survey of more than 4000 #scientists has revealed the extent of #stress and #anxiety they can experience during their #working lives.</t>
  </si>
  <si>
    <t>Preston,Ashton-in-Makerfield, Hindley, Leigh and Wigan</t>
  </si>
  <si>
    <t>Experienced, qualified and registered person-centred counsellor working in private practice. Please call me on 07399 051697 or email mrigbycounselling@gmail.com</t>
  </si>
  <si>
    <t>http://www.mrcounselling.co.uk</t>
  </si>
  <si>
    <t>Bryony Rowntree</t>
  </si>
  <si>
    <t>This could prove interesting for schools &amp; organisations with high levels of stress amongst staff: Prosecution for work-related stress "just matter of time", law event hears | British Safety Council  #teaching #stress #workplacewellbeing #mentalhealth</t>
  </si>
  <si>
    <t>https://www.britsafe.org/publications/safety-management-magazine/safety-management-magazine/2019/prosecution-for-work-related-stress-just-matter-of-time-law-event-hears/#.XiCPdu1_yI0.twitter</t>
  </si>
  <si>
    <t>Leeds, England</t>
  </si>
  <si>
    <t>Coach &amp; Workshop Leader: working with individuals &amp; teams in education to help you come back to yourself &amp; reclaim your anchor, space &amp; energy in life &amp; work</t>
  </si>
  <si>
    <t>http://www.bryonyrowntree.com</t>
  </si>
  <si>
    <t>HSRefuge</t>
  </si>
  <si>
    <t>If you get stressed when other people are stressed, you might be a highly sensitive person. #hsp #sensitive #stress</t>
  </si>
  <si>
    <t>https://highlysensitiverefuge.com/highly-sensitive-people-absorb-emotions/</t>
  </si>
  <si>
    <t>The world could use a little more of what highly sensitive people have to give. #HSP #highlysensitiveperson #highlysensitive</t>
  </si>
  <si>
    <t>http://highlysensitiverefuge.com</t>
  </si>
  <si>
    <t>Harry Stark, Ph.D.</t>
  </si>
  <si>
    <t>Mom's #Stress Tied to #Brain Development in Fetuses With CHD</t>
  </si>
  <si>
    <t>https://www.medpagetoday.com/obgyn/pregnancy/84344</t>
  </si>
  <si>
    <t>Woodland Hills, California</t>
  </si>
  <si>
    <t>Clinical psychologist in private practice and part-time faculty at California State University, Northridge.</t>
  </si>
  <si>
    <t>DS Amanda Bleazard</t>
  </si>
  <si>
    <t>Today I have been at the #police treatment centre at Harrogate Thanks to @LancsPolice I have learnt about #stress #nutrition #relaxation - these will help myself and colleagues/friends in and out of work A very worthwhile day #recharge #Wellbeing #ItsOkNotToBeOk 👌🏻</t>
  </si>
  <si>
    <t>Detective Sergeant 🕵🏻‍♀️ @InspireWIP Lancashire Constabulary- East Division. Please do not report any crime/incident here - visit our website or ring 101/999</t>
  </si>
  <si>
    <t>Chronic #stress and the body. #chronicillness #chronicpain  via @nikki_albert</t>
  </si>
  <si>
    <t>VIKTRE Career</t>
  </si>
  <si>
    <t>Many think that #multitasking is a skill that makes you more marketable to employers... But that's not always the case. In fact, it may be what's causing your high levels of #stress in the workplace:</t>
  </si>
  <si>
    <t>https://buff.ly/2MWMdvf</t>
  </si>
  <si>
    <t>https://pbs.twimg.com/media/EOalh00WAAACfj4.png</t>
  </si>
  <si>
    <t>Cleveland/Toronto</t>
  </si>
  <si>
    <t>We are the career development, career services, career transition &amp; job board home for @VIKTRESocial, the world's largest athlete-exclusive social network.</t>
  </si>
  <si>
    <t>http://jobs.viktre.com</t>
  </si>
  <si>
    <t>Sally</t>
  </si>
  <si>
    <t>Being outdoors in green space can help reduce #stress what do you enjoy most when you are outside? RT @nicestwitch1: What do you get most out of being outside?</t>
  </si>
  <si>
    <t>https://twitter.com/nicestwitch1/status/1217378296977149952</t>
  </si>
  <si>
    <t>Probably outside!</t>
  </si>
  <si>
    <t>Love the outdoors &amp; connecting with nature-passionate about inspiring others. Love books, psychology, enjoy writing, and would like my own business one day.</t>
  </si>
  <si>
    <t>Tanveer</t>
  </si>
  <si>
    <t>Stress of work, environnement, social life leads to mental health illness, and lack of sincere sharing network forces à peroson to take their life. This study shows lifetime risk factors of suicide. #mentalhealth #stress #Depression #SuicideAwareness #LetsTalk RT @medical_xpress: Lifetime ##suiciderisk factors identified @UniofOxford @nejm</t>
  </si>
  <si>
    <t>https://twitter.com/medical_xpress/status/1217839684707082245
https://medicalxpress.com/news/2020-01-lifetime-suicide-factors.html</t>
  </si>
  <si>
    <t>France</t>
  </si>
  <si>
    <t>A veterinarian advocating #OneHealth (Human-Animal-EnvironHealth) working on #nosocomial #infections #AMR #Wood&amp;HospitalHygiene #BoisH2 #wildlife #boxing🥊</t>
  </si>
  <si>
    <t>CWPT IAPT</t>
  </si>
  <si>
    <t>#ThursdayThoughts Using perspective can help us to find balance at difficult times but remember your feelings and difficulties are no less important or valid than others. If you are struggling with #anxiety #stress #lowmood call 02476 671090 to see how we can support you.</t>
  </si>
  <si>
    <t>https://pbs.twimg.com/media/EOajOwAX4AAg3B2.jpg</t>
  </si>
  <si>
    <t>Coventry Warwickshire Solihull</t>
  </si>
  <si>
    <t>Improving Access to Psychological Therapies - offering NHS treatment for anxiety and depression. Call us on 02476 671 090. Phone lines open 9.00-4.30pm, Mon-Fri</t>
  </si>
  <si>
    <t>http://www.covwarkpt.nhs.uk/iapt</t>
  </si>
  <si>
    <t>CPIPR</t>
  </si>
  <si>
    <t>Children from households w #poverty, material deprivation, &amp; subjective financial #stress tended to have the highest level of behavioral problems, reflecting multidimensional nature of economic stressors on families  @NICHD_NIH @DukeSSRI @PopAssocAmerica</t>
  </si>
  <si>
    <t>https://www.ncbi.nlm.nih.gov/pubmed/31808103</t>
  </si>
  <si>
    <t>CPIPR explains and publicizes research at the #NICHD-funded Population Dynamics Research Centers. Managed by @PRBdata #poptwitter</t>
  </si>
  <si>
    <t>https://popresearchcenters.org/</t>
  </si>
  <si>
    <t>Paul Jerem</t>
  </si>
  <si>
    <t>Timing of maternal glucocorticoid elevation determines effect on offspring growth in American red squirrels, without affecting oxidative stress or telomeres: During Pregnancy = Faster Growth During Lactation = Slower Growth  #mammals #physiology #stress</t>
  </si>
  <si>
    <t>https://buff.ly/2QT28v9</t>
  </si>
  <si>
    <t>https://pbs.twimg.com/media/EOaivnqXkAQnnwk.jpg</t>
  </si>
  <si>
    <t>Early Career Researcher | How wild animals cope with changing environments | Thermal biology/imaging | Rescue Collie Owner | Nature Photography | Melted Cheese</t>
  </si>
  <si>
    <t>http://www.pauljerem.com</t>
  </si>
  <si>
    <t>The Kettle Society</t>
  </si>
  <si>
    <t>Looking for a simple way to reduce #stress &amp; #anxiety? Forest bathing is the latest #health trend. But what exactly is it, anyways? Learn more:</t>
  </si>
  <si>
    <t>http://ow.ly/iBek50xUERQ</t>
  </si>
  <si>
    <t>Vancouver, British Columbia</t>
  </si>
  <si>
    <t>Empowering community STRENGTH THROUGH MENTAL HEALTH with outreach, advocacy, mental + physical health services, employment and housing.</t>
  </si>
  <si>
    <t>http://www.thekettle.ca/donate</t>
  </si>
  <si>
    <t>Pat Salber, MD, MBA</t>
  </si>
  <si>
    <t>Increasingly, the medical community is recognizing that burnout isn’t just an individual’s way of dealing with workplace stress. #Humanbehavior #mentalhealth #emotions #wellness #prevention #stress</t>
  </si>
  <si>
    <t>http://ow.ly/PdoY50xUbYu</t>
  </si>
  <si>
    <t>https://pbs.twimg.com/media/EOaiY8lWkAA7llB.jpg</t>
  </si>
  <si>
    <t>Having fun creating and sharing stories about health and healthcare innovation on THE DOCTOR WEIGHS IN. #mhealth #digitalhealth</t>
  </si>
  <si>
    <t>http://www.thedoctorweighsin.com</t>
  </si>
  <si>
    <t>As mass protests have swept across Hong Kong in recent months, a mounting mental health toll will be tough to tackle, new research suggests. #anxiety #ptsd #stress #mindfulness #changingbrainhealth #mentalhealth #psychology #depression</t>
  </si>
  <si>
    <t>https://hubs.ly/H0myxSH0</t>
  </si>
  <si>
    <t>Remarkable Resilience</t>
  </si>
  <si>
    <t>4 great tips to manage workplace #stress RT @MShafaq_KPlusG: This year, I want to encourage everyone to look after their overall health and wellbeing with a new segment called #WellbeingWednesday In a world where our jobs take up the most of our time, I thought I would start with 4 ways to take care of your mental health at work. 👇</t>
  </si>
  <si>
    <t>https://twitter.com/MShafaq_KPlusG/status/1217386961691869184</t>
  </si>
  <si>
    <t>https://pbs.twimg.com/media/EOUG_RRWoAA59KL.jpg</t>
  </si>
  <si>
    <t>Northern England</t>
  </si>
  <si>
    <t>Welcome. Come for the resilience tips, stay for the blog. From the creator of the #WackyDai Mindset 🌵 "Ace" resilience and wellbeing trainer - allegedly</t>
  </si>
  <si>
    <t>http://www.remarkableresilience.blog</t>
  </si>
  <si>
    <t>Irene Fenswick</t>
  </si>
  <si>
    <t>Stress Management: You’re Doing It Wrong, and Here’s Why 👇 #edutwitter #stress #studytips</t>
  </si>
  <si>
    <t>https://ivypanda.com/blog/stress-management-youre-doing-it-wrong-and-heres-why/</t>
  </si>
  <si>
    <t>Bournemouth, England</t>
  </si>
  <si>
    <t>Freelance #Writer and #Blogger at @smartstudynow. Find out more about #academicwriting and #essaywriting here.</t>
  </si>
  <si>
    <t>http://about.me/irenefenswick</t>
  </si>
  <si>
    <t>Gary Janit</t>
  </si>
  <si>
    <t>“The answers you seek never come when the mind is busy, they come when the mind is still.” Leon Brown Have a great Thursday, wishing you calm thoughts 😌 #cbttherapy #northmanchester #manchester #stress #stressrelief #stressfree #stressed #stressreliever #stressedout</t>
  </si>
  <si>
    <t>https://pbs.twimg.com/media/EOaiFs7UYAQ_YnI.jpg</t>
  </si>
  <si>
    <t>I am a relationship therapist &amp; coach. My goal is to assist couples on the brink of separation to reconnect with one another &amp; overcome any barriers they have.</t>
  </si>
  <si>
    <t>https://cbttherapymanchester.co.uk/</t>
  </si>
  <si>
    <t>Does It Matter What We Eat for our Mental Health? #stress</t>
  </si>
  <si>
    <t>https://psychcentral.com/news/2020/01/15/does-it-matter-what-we-eat-for-our-mental-health/153072.html</t>
  </si>
  <si>
    <t>Our physical environment collects energy debris the same way it accumulates dust and dirt. Negative emotions, events, #stress, and #worry can build up and create stagnant energy. Here are a few Energetic Housekeeping tips. #HouseHealing #SpaceClearing #FengShui #Insomnia</t>
  </si>
  <si>
    <t>https://pbs.twimg.com/media/EOahmUKX0AEzUuQ.jpg</t>
  </si>
  <si>
    <t>Elizabeth Naumovski, CM</t>
  </si>
  <si>
    <t>Asking questions &amp; slowly learning about financial literacy will reduce your daily #stress &amp;amp; #anxiety. Canadians lose two hours daily to financial worries @WealthProCA #financialeducation #financialliteracy #FinLit #financeispersonal</t>
  </si>
  <si>
    <t>https://www.wealthprofessional.ca/news/industry-news/canadians-lose-two-hours-daily-to-financial-worries/324941#.XiCG_Pl1cgo.twitter</t>
  </si>
  <si>
    <t>Host, Finance is Personal, Canadian #FinancialLiteracy show featuring female guests. #FinLit for all. http://financeispersonal.ca http://www.youtube.com/c/FinanceisPersonal</t>
  </si>
  <si>
    <t>Paige Pozzi</t>
  </si>
  <si>
    <t>#OneSimpleChange: Eat lunch away from your desk. #Stress #HealthyLiving</t>
  </si>
  <si>
    <t>wellness revivalist out loud* mama of 3 * old school world school homeschooler* juice plus lover</t>
  </si>
  <si>
    <t>Preston Education</t>
  </si>
  <si>
    <t>We know #life can be #hectic and that getting your #students prepared for #testing can alleviate some of that #stress. Leave that stress to us - it's what we do best! Contact us today!</t>
  </si>
  <si>
    <t>http://prestoneducation.com</t>
  </si>
  <si>
    <t>washington state</t>
  </si>
  <si>
    <t>Preston Education is an online tutoring platform connecting #students and #tutors . #prestoneducation</t>
  </si>
  <si>
    <t>https://www.prestoneducation.com/</t>
  </si>
  <si>
    <t>Paul Smith</t>
  </si>
  <si>
    <t>Dealing with stress is never easy so loving this #PawsToRelax doggy initiative from @LondonMetUni to help #studebtz deal with revision/ exam #stress. More companies &amp; organisations should do the same #therapydogs #Wellbeing</t>
  </si>
  <si>
    <t>https://pbs.twimg.com/media/EOagZVsX4AA_Z6S.jpg</t>
  </si>
  <si>
    <t>publicising, talking, writing, charming my way through #movies, #culture #cultTV, #graphicnovels #wellbeing #LGBTQ issues. Mindfully polishing my chakras too</t>
  </si>
  <si>
    <t>Kevin</t>
  </si>
  <si>
    <t>It's not just what you eat that matters, but also why. #Stress</t>
  </si>
  <si>
    <t>https://buff.ly/2E6OIVe</t>
  </si>
  <si>
    <t>https://pbs.twimg.com/media/EOagOS9XsAUA-lo.jpg</t>
  </si>
  <si>
    <t>N 33°30' 0'' / W 118°7' 0''</t>
  </si>
  <si>
    <t>former psychotherapist, current life coach. Want to improve your health, earn extra income and feel successful? follow me.</t>
  </si>
  <si>
    <t>https://enhancedwellbeing.com</t>
  </si>
  <si>
    <t>英会話プロモーターKAORI</t>
  </si>
  <si>
    <t>I've been stressed out and also sick for a little while, but I'm back now!! #English #stress #英会話 #英語フレーズ #英会話コミュニティ #Restart #再始動</t>
  </si>
  <si>
    <t>Japan</t>
  </si>
  <si>
    <t>4年間の留学後、帰国して思った事。日本で英語でコミュニケーションを取る機会をもっと増やしたい‼️学校や英会話教室で学んでる人はたくさんいるのに実際に日常生活で英会話できる場所ってまだまだ少ないように感じています💦もっともっと英語を使おう😁‼️ English conversation promoter, KAORI</t>
  </si>
  <si>
    <t>HJA Housing Law</t>
  </si>
  <si>
    <t>New #research by @Shelter has shown that over half of private renters receiving housing benefit have experienced #stress and #anxiety as a direct result of housing concerns, like affording the rent, poor conditions and the threat of eviction. #UKHousing</t>
  </si>
  <si>
    <t>https://www.bigissue.com/latest/people-on-housing-benefit-are-sick-with-worry-an-extra-10-wont-help/#.XiCBYqnMTD4.twitter</t>
  </si>
  <si>
    <t>London 0808 278 9400</t>
  </si>
  <si>
    <t>Housing law feed by UK solicitors Hodge Jones &amp; Allen Solicitors. Team is recommended in Legal 500 &amp; Chambers UK.</t>
  </si>
  <si>
    <t>http://www.hja.net/legal-services/social-housing/</t>
  </si>
  <si>
    <t>Kitty Boitnott of Teachers in Transition</t>
  </si>
  <si>
    <t>Listening to "Teachers in Transition - Episode 42 - Stress and Some Startling Statistics" at  #stress #stressrelief #stressmanagement</t>
  </si>
  <si>
    <t>https://www.buzzsprout.com/277608/2493451-teachers-in-transition-episode-42-stress-and-some-startling-statistics</t>
  </si>
  <si>
    <t>Glen Allen, VA</t>
  </si>
  <si>
    <t>Heart-Centered Career Transition Coach | Helping burned out teachers reignite their passion &amp; redirect their skills &amp; experience into new, fulfilling careers.</t>
  </si>
  <si>
    <t>http://teachersintransition.com</t>
  </si>
  <si>
    <t>🥃🐲🎋Emersen “You can’t shut me up” Lee🎋🐲🥃</t>
  </si>
  <si>
    <t>Can I tell you guys...the ramped up meeting cycle to get this migration done is going to kill me. #Stress</t>
  </si>
  <si>
    <t>pic.twitter.com/0MPfI8gh0z</t>
  </si>
  <si>
    <t>Your average IT geek by day. Irish vodka swilling starving writer at night. Life is one big oxymoron....</t>
  </si>
  <si>
    <t>http://emersenlee.wordpress.com</t>
  </si>
  <si>
    <t>Mrs. Kaster</t>
  </si>
  <si>
    <t>Why EVERY student should be in choir! ⁦@MTPSpride⁩ ⁦@MHSSGuidance⁩ ⁦@MiddsouthNation⁩ ⁦@DrGeorge_MTPS⁩ ⁦@MTPSArts⁩ ⁦@RasmussenMHSS⁩ ⁦@AlbaneseMHSS ⁦@MHSSPrincipal⁩ #choir #schedule #stress #balance #well-rounded</t>
  </si>
  <si>
    <t>https://theatreandmusic.uic.edu/newsdetails/130/123</t>
  </si>
  <si>
    <t>NJ</t>
  </si>
  <si>
    <t>Happenings for Middletown High School South Choir</t>
  </si>
  <si>
    <t>http://www.mhsschoir.weebly.com</t>
  </si>
  <si>
    <t>Mark Longster</t>
  </si>
  <si>
    <t>Cardiorespiratory Fitness, Sleep, and Physiological Responses to Stress in Women  #CardiorespiratoryFitness #Cortisol #SalivaryCortisol #Stress #WomensMentalHealth</t>
  </si>
  <si>
    <t>https://www.ncbi.nlm.nih.gov/pubmed/31939334</t>
  </si>
  <si>
    <t>https://pbs.twimg.com/media/EOadEwNWAAAd3Da.png</t>
  </si>
  <si>
    <t>Sydney</t>
  </si>
  <si>
    <t>Experts in Salivary and Hair Biomarkers, Antibodies, Diagnostics, Life Science Tools for Sport, Psychology and Endocrinology: info@stratechscientific.com.au</t>
  </si>
  <si>
    <t>http://www.stratechscientific.com.au</t>
  </si>
  <si>
    <t>Sweet Virtues</t>
  </si>
  <si>
    <t>Make sure you do a #daily #checkin with yourself. Find time to give #selfcare whenever you can. #stress is hard to avoid but #selflove can ease some of it. * *  * amazon amazonfashion…</t>
  </si>
  <si>
    <t>http://www.sweetvirtues.com
https://www.instagram.com/p/B7YpyOMhMBq/?igshid=1qer4yk01souk</t>
  </si>
  <si>
    <t>Santa Monica, CA</t>
  </si>
  <si>
    <t>Sweet Virtues® are SIMPLE SEXY SMART fashions for that woman on the go…Wear your Virtues! Proudly Designed and Made in LA! (USA)</t>
  </si>
  <si>
    <t>http://www.sweetvirtues.com</t>
  </si>
  <si>
    <t>Friederike V</t>
  </si>
  <si>
    <t>Help! Is this where I am heading? @guardian #Happiness #stress #stressmanagement</t>
  </si>
  <si>
    <t>https://www.theguardian.com/lifeandstyle/shortcuts/2020/jan/14/are-you-really-at-your-most-miserable-at-47-years-old</t>
  </si>
  <si>
    <t>Marketing. Higher Education. Design, art, literature and Baroque opera lover. Munich and London are my cities. Views my own.</t>
  </si>
  <si>
    <t>STEAMhouse</t>
  </si>
  <si>
    <t>Feeling like there's a lot on your plate? Join Rosalie Schweiker and Ruth Claxton at: Busyness Planning for Artists &amp; Cultural Workers Monday 17 and Tuesday 18 February, 10am-5pm  #busyness #artists #planning #creative #workinglife #stress #organise</t>
  </si>
  <si>
    <t>http://ow.ly/3mTe50xXa77</t>
  </si>
  <si>
    <t>https://pbs.twimg.com/media/EOacRtgWAAAkBRw.png</t>
  </si>
  <si>
    <t>Birmingham, England</t>
  </si>
  <si>
    <t>Open for innovation in Digbeth! Follow for news &amp; to join our STEAMlabs. STEAMhouse is funded by European Regional Development Fund &amp; Arts Council England 🏭</t>
  </si>
  <si>
    <t>http://linktr.ee/steamhouseuk</t>
  </si>
  <si>
    <t>Reach Out Recovery</t>
  </si>
  <si>
    <t>Looking to manage your stress? Read below! #mentlahealthmatters #stress #patience</t>
  </si>
  <si>
    <t>https://reachoutrecovery.com/patience-stress-management-strategies/</t>
  </si>
  <si>
    <t>Reach Out Recovery is a non-biased online portal providing daily tips and the latest news for the 120 million people affected by addiction.</t>
  </si>
  <si>
    <t>https://reachoutrecovery.com/</t>
  </si>
  <si>
    <t>Meditate in Birmingham</t>
  </si>
  <si>
    <t>REDUCING OVERTHINKING AND WORRY' Saturday 25th January - 10am – 1pm £15 adv booking, £17 on the day Book your tickets here --&gt;  Suitable For Beginners &amp; Everyone Welcome ❤️ #brum #cube #mailbox #worry #overthinking #stress #peace #happiness #meditate</t>
  </si>
  <si>
    <t>https://meditateinbirmingham.org/events/reducing-overthinking-and-worry-3/</t>
  </si>
  <si>
    <t>https://pbs.twimg.com/media/EOaay3dW4AEdoC_.jpg</t>
  </si>
  <si>
    <t>Birmingham, UK</t>
  </si>
  <si>
    <t>Providing classes on #meditation and modern #Buddhism in and around #Birmingham including #Solihull and #SuttonColdfield. Everyone Welcome ❤️</t>
  </si>
  <si>
    <t>http://meditateinbirmingham.org</t>
  </si>
  <si>
    <t>Farming Selfie</t>
  </si>
  <si>
    <t>How to Cope up with Anxiety?  #Anxiety #Stress #Patients #Health #MentalHealth #HealthIssues #Blogger</t>
  </si>
  <si>
    <t>https://farmingselfie.com/cope-up-with-anxiety/</t>
  </si>
  <si>
    <t>https://pbs.twimg.com/media/EOaZPVfXsAYnzCg.jpg</t>
  </si>
  <si>
    <t>http://farmingselfie.com/</t>
  </si>
  <si>
    <t>Yogini</t>
  </si>
  <si>
    <t>How To Deal With #Anxiety When Meeting People? #InnerEngineering #SadhguruInAtlanta #SadhguruInSFO #Yoga #Meditation #ThursdayWisdom #Peace #Joy #Stress #Wellbeing</t>
  </si>
  <si>
    <t>https://isha.sadhguru.org/us/en/wisdom/article/overcoming-social-anxiety</t>
  </si>
  <si>
    <t>"Your JOY lies in your hands" 🌻 #Guide2Joy | Nature lover, trekking, love music. Yoga, Meditation | Spreading awareness to Save our only Planet 🌎🌊</t>
  </si>
  <si>
    <t>Unfortunately we are ALL guilty of letting these people get to us from time to time. I have got rid of many of them and found my stress levels have gone down considerably. No it wasn't easy but it had to be done. #SQUISHtheStigma #Stress #Depression #Anxiety</t>
  </si>
  <si>
    <t>https://pbs.twimg.com/media/EOaYCkYXsAE7klv.jpg</t>
  </si>
  <si>
    <t>reiy</t>
  </si>
  <si>
    <t>#burnout #stress at work makes you miserable 😩 and #unhealthy RT @KulikovUNIATF: People experiencing vital exhaustion, commonly referred to as #burnout syndrome that is typically caused by prolonged and profound #stress at work or home have 20% higher risk of developing atrial fibrillation.</t>
  </si>
  <si>
    <t>https://twitter.com/kulikovuniatf/status/1217398944466186241
https://www.escardio.org/The-ESC/Press-Office/Press-releases/Burnout-linked-with-irregular-heartbeat</t>
  </si>
  <si>
    <t>https://pbs.twimg.com/media/EOUR4qYXUAADaTv.jpg</t>
  </si>
  <si>
    <t>Dream big. Believe. Achieve Follow me &amp; will follow u</t>
  </si>
  <si>
    <t>Andrew Hannington</t>
  </si>
  <si>
    <t>Hey, @AcademicChatter 😊 I’m home sick today, and struggling to keep my mind away from #PhD #stress. I’ve napped, (badly) attempted violin for the first time in aaages, drank too much coffee, and watched TV. Meditation next Any more ways to switch off on a #SickDay? #PhDLife</t>
  </si>
  <si>
    <t>https://pbs.twimg.com/media/EOaXbdNXsAItGgM.jpg</t>
  </si>
  <si>
    <t>Cardiff, Wales</t>
  </si>
  <si>
    <t>PhD Student @cardiffPHYSX: #Galaxies #Simulation #DataScience #ML. MPhys @univofstandrews. Coffee, food, mindfulness and yarn. Pro-diversity 🏳️‍🌈He/him</t>
  </si>
  <si>
    <t>Patricia April D Hughes 🏳️‍🌈⚧</t>
  </si>
  <si>
    <t>Not really my thing, but Bubble Popping Delight to some..... alleviate #stress and have #funtimes</t>
  </si>
  <si>
    <t>https://pbs.twimg.com/media/EOaXOkTWAAUxHc-.jpg</t>
  </si>
  <si>
    <t>Newbridge, Wales</t>
  </si>
  <si>
    <t>Proudly serving the community no matter what is thrown my way 😲</t>
  </si>
  <si>
    <t>AAA</t>
  </si>
  <si>
    <t>Our weekly Well Being Group supports young people who are being bullied, feeling isolated, anxious or stressed. Contact us today for more details! #AAA #changinglives #wellbeingmatters #childmentalhealthmatters #bullying #stress #anxiety #youngpeople #children #mentalhealth</t>
  </si>
  <si>
    <t>https://pbs.twimg.com/media/EN7obE1XsAAQ16C.jpg</t>
  </si>
  <si>
    <t>Michelle Welsh</t>
  </si>
  <si>
    <t>Maybe our #stress is caused from listening to the wrong voice and not choosing our yeses with more thought. It's okay to say no  #YouMatter, so consider your #priorities with care.</t>
  </si>
  <si>
    <t>https://www.michellekaderlywelsh.com/its-okay-to-say-no/</t>
  </si>
  <si>
    <t>Freelance Writer, Home School Mom, Member ACFW, Writer of YA</t>
  </si>
  <si>
    <t>http://www.michellekaderlywelsh.com</t>
  </si>
  <si>
    <t>https://pbs.twimg.com/media/EOaVe_gWoAAKwx5.jpg</t>
  </si>
  <si>
    <t>Achieve Beyond</t>
  </si>
  <si>
    <t>So cute and so useful! Can't wait to make these soon!  . . . . . . #autism #autismawareness #DIY #crafts #inclusion #stress #easy #quick #stresscreatures #decorate #expression #love #familytime</t>
  </si>
  <si>
    <t>http://ow.ly/ZJID30q9ubF</t>
  </si>
  <si>
    <t>Achieve Beyond does English &amp; bilingual evaluations, #pediatric physical, speech, occupational #therapy &amp; #autism services for #children in #CA,#NY #VA #TX</t>
  </si>
  <si>
    <t>http://www.achievebeyondusa.com</t>
  </si>
  <si>
    <t>What are the five stages that your body goes through when you experience #stress?</t>
  </si>
  <si>
    <t>https://youtu.be/-blKmvE6OVw</t>
  </si>
  <si>
    <t>#mentalhealth #bipolar #BPD #depression #PTSD #anxiety #stress Guys, a massive #shoutout and #ThankYou for your kind words. I'm having daily #care until Tuesday, but so far, avoided admission. I'm sorry if I haven't got back to you, I promise I will. You are amazing 💚🙏💚</t>
  </si>
  <si>
    <t>pic.twitter.com/XJC340gw83</t>
  </si>
  <si>
    <t>Think Change Hypno</t>
  </si>
  <si>
    <t>Burnout Is Bad For Your Heart. Here’s How To Prevent It | HuffPost UK Life  #burnout #hypnocanhelp #stress #thinkchange</t>
  </si>
  <si>
    <t>http://ow.ly/MnFo30q9TBb</t>
  </si>
  <si>
    <t>https://pbs.twimg.com/media/EOaUoMmXsAEgGxn.jpg</t>
  </si>
  <si>
    <t>Torpoint, England</t>
  </si>
  <si>
    <t>Helping people Think Change using hypnosis and therapy. Health Science &amp; Technology</t>
  </si>
  <si>
    <t>Tempo Group</t>
  </si>
  <si>
    <t>#DidYouKnow? Exercising not only helps your physical well-being, but it also helps with #anxiety, #depression, #sleepdeprivation and #stress. . Read on to learn more:  . #mentalhealth #healthnut #behealthy #stayhealthy #justdoit #healthtips #TempoGroup</t>
  </si>
  <si>
    <t>http://ow.ly/XnVk50xVCut</t>
  </si>
  <si>
    <t>https://pbs.twimg.com/media/EOaUki9X4AANTG1.jpg</t>
  </si>
  <si>
    <t>Long Island, NY</t>
  </si>
  <si>
    <t>Tempo Group specializes in drug and alcohol abuse addiction programs for youths, teens, adults, and families. Located in Nassau County, Long Island.</t>
  </si>
  <si>
    <t>http://www.tempogroup.org</t>
  </si>
  <si>
    <t>Writing Doctors</t>
  </si>
  <si>
    <t>Lavender #EssentialOils is used to treat #stress #menopause #Alzheimers  #Aromatherapy #Aromatherapist</t>
  </si>
  <si>
    <t>http://dld.bz/h5uVb</t>
  </si>
  <si>
    <t>Freelance medical blogger for #dermatologists</t>
  </si>
  <si>
    <t>https://drmiriamkin.contently.com/</t>
  </si>
  <si>
    <t>Loving work can come with its ups and downs but as long as you take how much time you need to clear your mind work wont seem so hard. #work #quoteoftheday #counselling #hcsmSA #southafrica #stress #help #anxiety #mindfulness</t>
  </si>
  <si>
    <t>https://pbs.twimg.com/media/EOZadFEWAAAfvDH.jpg</t>
  </si>
  <si>
    <t>WeDidYouCan</t>
  </si>
  <si>
    <t>https://pbs.twimg.com/media/EOaTT-LWsAAqull.jpg</t>
  </si>
  <si>
    <t>Oklahoma City, Oklahoma</t>
  </si>
  <si>
    <t>Zurvita SEC Chris Smith and wife Sarah. We have three of the greatest boys in the world, that we are so blessed to get to spend a ton of time with.</t>
  </si>
  <si>
    <t>http://wedidyoucan.com</t>
  </si>
  <si>
    <t>Bill Moore</t>
  </si>
  <si>
    <t>https://pbs.twimg.com/media/EOaTPx7XkAI-bej.jpg</t>
  </si>
  <si>
    <t>The BioCode System®</t>
  </si>
  <si>
    <t>Think #stress isn’t affecting your #health? Think again. Stress is an epidemic. The #GoodNews: You can become #StrongerThanStress &amp; #TheBioCodeSystem can help. #BehavioralIntelligence #BehavioralHealth #wellness</t>
  </si>
  <si>
    <t>https://www.goodmorningamerica.com/wellness/video/study-burnout-lead-irregular-heartbeat-68294077</t>
  </si>
  <si>
    <t>#TheBioCodeSystem uses in-the-moment exercises to build #BehavioralIntelligence even in your most challenging moments. #DailyInnerWorkout #Empowered #Leadership</t>
  </si>
  <si>
    <t>http://www.empowerhousegroup.com</t>
  </si>
  <si>
    <t>InsightBusinessWorks</t>
  </si>
  <si>
    <t>[Burnout doesn't only happen to workaholics. Take notice in what is causing #burnout and how you are handling it. Then find ways to #counteract that #stress with meaningful #activities that give you a sense of #relief.]</t>
  </si>
  <si>
    <t>https://www.psychologytoday.com/us/basics/burnout</t>
  </si>
  <si>
    <t>https://pbs.twimg.com/media/EOBu82HWAAAN81_.jpg</t>
  </si>
  <si>
    <t>Syracuse, NY and Albany, NY</t>
  </si>
  <si>
    <t>As workplace psychologists, we help with Leadership Development | Executive Coaching | Team Building | Talent Selection. Find us on FB: http://bit.ly/2pU0EEj</t>
  </si>
  <si>
    <t>http://insightbusinessworks.com/</t>
  </si>
  <si>
    <t>Saleem</t>
  </si>
  <si>
    <t>What to eat and what not to eat for migraines? Read this and much more in our latest blog about migraines!  #migraine #headache #stress #anxiety #t23andme #ancestry #myheritage #rawdata #xcodelife</t>
  </si>
  <si>
    <t>http://bit.ly/2Y4EgWq</t>
  </si>
  <si>
    <t>Chennai, India</t>
  </si>
  <si>
    <t>Genomics, Entrepreneur, Dreamer, Learner, Evolving human, Founder https://www.xcode.life</t>
  </si>
  <si>
    <t>https://www.xcode.life</t>
  </si>
  <si>
    <t>Staywell OH</t>
  </si>
  <si>
    <t>Spotting the signs of #stress in an employee: 1 Taking more time off work 2 Arriving for work later 3 Being more twitchy or nervous 4 Mood swings 5 Being withdrawn 6 Loss of motivation, commitment and confidence 7 Being more tearful, sensitive or aggressive #MentalHealthAwareness</t>
  </si>
  <si>
    <t>https://pbs.twimg.com/media/EOaQ0swWoAEj40d.jpg</t>
  </si>
  <si>
    <t>Staywell is a family owned Occupational Health Provider, with a network of OH professionals across the UK. #occupationalhealth</t>
  </si>
  <si>
    <t>http://www.staywelloh.co.uk/</t>
  </si>
  <si>
    <t>The taunts hurt, but the silence hurt even more. #Motorism #Life #Quote #Philosophy #Quotes #Wise #Wisdom #Motivation #Inspiration #victory #triumph #Defeat #Frustration #Stress #MentalHealth #Anxiety #Fiasco #Debacle #Flop #Blunder #destiny #Spirituality #success #successquotes</t>
  </si>
  <si>
    <t>https://pbs.twimg.com/media/EOaQSmsVAAA615a.jpg</t>
  </si>
  <si>
    <t>Older Relative</t>
  </si>
  <si>
    <t>Interesting article in Psychology Today on how to manage the #stress as a #carer of #olderpeople … For more help:  #care #caregiving #socialcare #selfhelp #family #dementia #Alzheimers #arthritis #elderlycare</t>
  </si>
  <si>
    <t>http://psychologytoday.com/gb/blog/caring
http://amzn.to/2MLFtyV949</t>
  </si>
  <si>
    <t>https://pbs.twimg.com/media/EOaP2fKX4AAnfnL.jpg</t>
  </si>
  <si>
    <t>Help and advice for families caring for older relatives. https://www.maturethinking.co.uk/maturethinking-blog</t>
  </si>
  <si>
    <t>http://maturethinking.co.uk</t>
  </si>
  <si>
    <t>Naturments</t>
  </si>
  <si>
    <t>Let’s have a quick glimpse of all the reasons why Black Seed Oil is beneficial. But first, let’s see what Black Seed Oil is all about! ! 💃 🌺 ✨  #blackseedoil #healthylife #stress #nutrition #organic#immunity #natural #naturments</t>
  </si>
  <si>
    <t>https://www.naturments.com/blog/10-reasons-why-black-seed-oil-is-beneficial/</t>
  </si>
  <si>
    <t>https://pbs.twimg.com/media/EOaPFn3UcAALyi1.jpg</t>
  </si>
  <si>
    <t>At Naturments we have two passions: Extraordinary Wellness and Natural Supplements.We aim at providing Certified Organic and Non-GMO Natural Health Supplements.</t>
  </si>
  <si>
    <t>http://naturments.com/</t>
  </si>
  <si>
    <t>Mature Thinking</t>
  </si>
  <si>
    <t>Helpful article in Psychology Today on how to manage the #stress as a #carer of #olderpeople  For more help:  #care #caregiving #socialcare #selfhelp #family #dementia #Alzheimers #arthritis #elderlycare</t>
  </si>
  <si>
    <t>https://www.psychologytoday.com/gb/blog/caring-the-caregivers/202001/caring-the-caregivers#_=_
http://amzn.to/2MLFtyV949</t>
  </si>
  <si>
    <t>https://pbs.twimg.com/media/EOaPACeWkAEszZ9.jpg</t>
  </si>
  <si>
    <t>Expert strategists helping companies to target the older market successfully</t>
  </si>
  <si>
    <t>http://www.maturethinking.co.uk</t>
  </si>
  <si>
    <t>Deborah Stone</t>
  </si>
  <si>
    <t>Delighted to write for Psychology Today on how to manage the #stress as a #carer of #olderpeople  For more help:  #care #caregiving #socialcare #selfhelp #family #dementia #Alzheimers #arthritis #elderlycare</t>
  </si>
  <si>
    <t>https://pbs.twimg.com/media/EOaO1MzWkAAojtg.jpg</t>
  </si>
  <si>
    <t>Author of The Essential Family Guide to Caring for Older People and What's Left Unsaid. Strategic consultant to companies targeting the older market.</t>
  </si>
  <si>
    <t>https://www.amazon.co.uk/Essential-Family-Guide-Caring-People/dp/1472965434/ref=tmm_pap_swatch_0?_en</t>
  </si>
  <si>
    <t>Dr Ursula Paredes</t>
  </si>
  <si>
    <t>Many thanks to @QMUL for the #GlobalResearchInitiation #GRIs award to discuss our results of the work on #owlMonkeys #Stress #Epigenetics with #PeruvianScientists of @UNMSM_ @CERSEUFMV &amp; organise a workshop on #AnimalWelfare with @QMneuroscience' Jordi Lopez-Tremoleda</t>
  </si>
  <si>
    <t>City of London, London</t>
  </si>
  <si>
    <t>Lecturer on Neurobiology and Genetics. Based at Qmul #neuroecodevo</t>
  </si>
  <si>
    <t>When will we treat people rigth at work? #bullying #stress RT @timeshighered: Poll of 4,000 researchers reveals half have sought or wanted help for mental health problems, and four in 10 are victims of bullying or harassment</t>
  </si>
  <si>
    <t>https://twitter.com/timeshighered/status/1217813513051279366
https://bit.ly/2FQsacc</t>
  </si>
  <si>
    <t>https://pbs.twimg.com/media/EOaK73nW4AAepHk.jpg</t>
  </si>
  <si>
    <t>DC Talk Therapy</t>
  </si>
  <si>
    <t>"50% of the general population in middle/high income countries will suffer from at least one #mentaldisorder at some point in their lives." @Forbes #mentalhealth #mentaltherapy #mentalillness #workstress #anxiety #depression #stress #burnout #stigma</t>
  </si>
  <si>
    <t>https://www.forbes.com/sites/forbescoachescouncil/2019/12/02/eliminating-the-stigma-around-mental-health-in-the-workplace/?fbclid=IwAR3loNTws9h1Gu2JnUFxeSVZx7_gS69mCAFvnrbquFc9bfpBqaqtHII_qMk#38ab5a417bfc#mentalhealth</t>
  </si>
  <si>
    <t>DC Therapists Specializing in Young Adults (20s, 30s). Individual &amp; Group #Therapy. Marriage &amp; Couples #Counseling #Psychotherapy. Call 202-588-1288.</t>
  </si>
  <si>
    <t>http://www.dctalktherapy.com</t>
  </si>
  <si>
    <t>Heal Yourself Natural. Joint, Oral, Vision Health. Pain Management, Respiratory System and much more. Shop Online at  or call us for more information: 1-877-626-4112 #Herbal #Natural #Teas #Health #Remedies #Free #Stress #Vitamins</t>
  </si>
  <si>
    <t>http://www.TheHerbalGardens.com
https://shr.link/phda1</t>
  </si>
  <si>
    <t>Xcode Life</t>
  </si>
  <si>
    <t>Xcode Life was founded with the vision of empowering individuals globally with knowledge of their genes.</t>
  </si>
  <si>
    <t>http://www.xcode.life</t>
  </si>
  <si>
    <t>Formerly Inspired Stockport</t>
  </si>
  <si>
    <t>4 in10 people with #MentalHealth probs who fail #PIP #Assessment don't take their claim further bc of the #Stress involved. Spent 5hrs on family member's mandatory reconsideration. Today he's gone from 0 to11 points and benefit reinstated. Thanks @stockport_uff @benefitsandwork</t>
  </si>
  <si>
    <t>Stockport</t>
  </si>
  <si>
    <t>Our CIC is no more but we still work in/care about #Inclusion #Equality #Ageing #Disability #Wellbeing #Neurodiversity #DigitalInclusion #Stockport</t>
  </si>
  <si>
    <t>Lifestyle Lighthouse</t>
  </si>
  <si>
    <t>"I've struggled with stress-induced sleeping disorders for more than half my life."  #Anxiety #Sleep #Stress</t>
  </si>
  <si>
    <t>https://lttr.ai/MOGm</t>
  </si>
  <si>
    <t>https://pbs.twimg.com/media/EOaLwirWAAMwLvR.jpg</t>
  </si>
  <si>
    <t>Online</t>
  </si>
  <si>
    <t>Helping time-starved overachievers develop healthy, productive lifestyles through the Lifestyle Leverage Ladder</t>
  </si>
  <si>
    <t>https://www.lifestylelighthouse.com/</t>
  </si>
  <si>
    <t>W. Todd Maddox</t>
  </si>
  <si>
    <t>This is a nice review paper that examines the use of #VR in #mental #health. The results suggest that VR is effective for #anxiety and #pain, but more work is needed on #depression and #stress.</t>
  </si>
  <si>
    <t>https://bit.ly/2Tsg8Oc</t>
  </si>
  <si>
    <t>A</t>
  </si>
  <si>
    <t>Learning scientist, Research Fellow Amalgam Insights, Consultant and contributor to @techtrends_tech https://www.linkedin.com/in/w-todd-maddox-phd/</t>
  </si>
  <si>
    <t>Tawanna B Smith, MPP</t>
  </si>
  <si>
    <t>https://pbs.twimg.com/media/EOaLKiyWoAI8cim.jpg</t>
  </si>
  <si>
    <t>http://momsguidetotravel.com</t>
  </si>
  <si>
    <t>🎬Digital consultant, Life &amp; Business strategist w/ a focus on #selfcare and #travel. #Founder of MomsGuideToTravel; co-founder of #FlipBizChat</t>
  </si>
  <si>
    <t>http://TawannaBSmith.com</t>
  </si>
  <si>
    <t>McGill Media</t>
  </si>
  <si>
    <t>Move on from your past and be done with it. Your bitterness won’t change a thing. Stop stressing over it and let it go. @SimpleReminders @BryantMcGill @JenniMcGill_ #simplereminders #quotes #quoteoftheday #life #moveon #bitterness #change #stress #letgo #surrender #release</t>
  </si>
  <si>
    <t>https://pbs.twimg.com/media/EOaKtYrW4AABwBW.jpg</t>
  </si>
  <si>
    <t>Transform your life today! at McGill Media with @BryantMcGill &amp; @JenniMcGill_ of @SimpleReminders ✮ 12+ Million Followers ✆ (310) 486-9494</t>
  </si>
  <si>
    <t>http://GoMcGill.com</t>
  </si>
  <si>
    <t>Jonathan Chevreau</t>
  </si>
  <si>
    <t>On the Hub: 43% are very or moderately stressed by Debt and lending practices are deepening the burden, study finds #debt #stress</t>
  </si>
  <si>
    <t>https://lnkd.in/ecxxKG2</t>
  </si>
  <si>
    <t>North America</t>
  </si>
  <si>
    <t>CFO Financial Independence Hub; author Findependence Day, co-author Victory Lap Retirement. Writes for Motley Fool, FP, MoneySense.</t>
  </si>
  <si>
    <t>http://www.findependencehub.com/</t>
  </si>
  <si>
    <t>Epigenomics Journal</t>
  </si>
  <si>
    <t>Take a look at our ahead of print aritcle "Leukocyte and brain DDR1 hypermethylation is altered in psychosis and is correlated with stress and inflammatory markers"  #psychosis #stress #schizophrenia #epigenomics</t>
  </si>
  <si>
    <t>https://doi.org/10.2217/epi-2019-0191</t>
  </si>
  <si>
    <t>Epigenomics | MEDLINE-indexed journal on the description and deciphering of the genome-wide interactions | IF 4.404 (2018) | Published by Future Science Group</t>
  </si>
  <si>
    <t>http://www.futuremedicine.com/loi/epi</t>
  </si>
  <si>
    <t>One Powerful Strategy When Facing Life’s Problems | Psychology Today  #mentalhealth #wellness #selfhelp #therapy #selfcare #mindfulness #stress #anxiety #depression #worry</t>
  </si>
  <si>
    <t>https://www.psychologytoday.com/us/blog/flourish-and-thrive/201911/one-powerful-strategy-when-facing-life-s-problems</t>
  </si>
  <si>
    <t>“Teach Your Child Important Life Skills Through Family Meditation”  life #mindfulness meditation #stress #peace</t>
  </si>
  <si>
    <t>kenny caicedo</t>
  </si>
  <si>
    <t>http://cpix.me/a/90013007</t>
  </si>
  <si>
    <t>https://pbs.twimg.com/media/EOaJeJ5WAAIX4n8.jpg</t>
  </si>
  <si>
    <t xml:space="preserve">NY </t>
  </si>
  <si>
    <t>https://qoo.ly/33vhhf</t>
  </si>
  <si>
    <t>Ben 'Is that OK given the climate emergency?' aldo</t>
  </si>
  <si>
    <t>I'm thinking about organisation design and staff wellbeing. How is your organisation and its work designed to make work-related damage to its people’s physical and mental wellbeing as unlikely as possible? #mentalhealth #wellbeing #stress #orgdesign</t>
  </si>
  <si>
    <t>Inclusive Services Lead @GDSTeam, Cabinet Office. Now: transform Earth by making govt people-centred. Future: transform Earth by running a campsite. he/him</t>
  </si>
  <si>
    <t>03322497743 ❄️ Beat The Cool Breeze With Full Body Massage🥶😍 Location DHA Phase 5 Khada Market Karachi. Timing:12:00pmTo10:00pm #karachiMassageSalon #ThaiMassage #Spa #VictoriaMassageSalon #MassageSalon #StressFree #BeautifulLife #Stress .</t>
  </si>
  <si>
    <t>https://pbs.twimg.com/media/EOaIsd5WoAIjpFh.jpg</t>
  </si>
  <si>
    <t>ServiceCareSolutions</t>
  </si>
  <si>
    <t>Recruitment consultant Jenna McFarlane gives up her top tips to reduce stress surrounding the 'biggest day of your life' #weddings #brides #stress #stressbuster #weddingideas #thebigday #blog #blogging #wearerecruiting #recruitmentagency #toptips</t>
  </si>
  <si>
    <t>https://www.servicecare.org.uk/news/engagements-galore-at-service-care-solutions-01616127348</t>
  </si>
  <si>
    <t>Preston, UK</t>
  </si>
  <si>
    <t>UK recruitment agency catering for job roles within: #Legal, #Construction, #SocialWork, #SocialHousing, #CriminalJustice, #Healthcare, #MentalHealth and #IT.</t>
  </si>
  <si>
    <t>http://www.servicecare.org.uk</t>
  </si>
  <si>
    <t>Great Place to Work® - Middle East</t>
  </si>
  <si>
    <t>Give us an overview. What is GPTW? #championship #championship2020 #corporatesports #teambuilding #hr #employeeengagment #teamevents #employeeevents #businesscommunity #networking #worklifebalance #expats #stress #dubai #uae #EmployeeWellness #healthylives #bestworkplaces</t>
  </si>
  <si>
    <t>pic.twitter.com/EAThIgCXxQ</t>
  </si>
  <si>
    <t>Middle East</t>
  </si>
  <si>
    <t>Our mission is to build a better world by helping organizations become Great Places to Work For All.</t>
  </si>
  <si>
    <t>http://www.greatplacetowork.me</t>
  </si>
  <si>
    <t>taliachismhypnotherapy</t>
  </si>
  <si>
    <t>Ask yourself today, “If I have nothing to protect, nothing to prove, nothing to hide, nothing to defend. Who do I choose to be?” #rtt #change #marisapeeer #selfconfidence #anxiety #childhood #ptsd #healing #anxiety #stress #empowering #health #infertility #diet #2020Vision</t>
  </si>
  <si>
    <t>Rapid Transformational Therapist. Changing lives thru changing the subconscious. Dedicated to helping women heal, one sister at a time. Sessions via Zoom/Skype.</t>
  </si>
  <si>
    <t>Bill Munn</t>
  </si>
  <si>
    <t>These tips seem basic because they're foundational:  via @christansotero1 @Influencive #stress #anxiety #health #mindfulness</t>
  </si>
  <si>
    <t>https://www.influencive.com/3-easy-ways-to-defeat-stress-and-be-more-peaceful/</t>
  </si>
  <si>
    <t>Michigan</t>
  </si>
  <si>
    <t>Executive coach sharing leadership &amp; management insights. Author. Do-er. Boater. Family man. Believer. Gray hair &amp; wrinkles added to create air of wisdom.</t>
  </si>
  <si>
    <t>http://www.billmunncoaching.com</t>
  </si>
  <si>
    <t>Staffing Service USA</t>
  </si>
  <si>
    <t>Are your employees stressed and overworked? They may be tearing your company down from the inside. #worklifebalance #stress</t>
  </si>
  <si>
    <t>http://ow.ly/PycS50xWwVm</t>
  </si>
  <si>
    <t>Lancaster, PA</t>
  </si>
  <si>
    <t>Staffing Service USA continues to provide Professional, Technical, Administrative, Light Industrial, and Non-Medical Staffing.</t>
  </si>
  <si>
    <t>http://linktr.ee/staffingserviceusa</t>
  </si>
  <si>
    <t>Trauma Report</t>
  </si>
  <si>
    <t>Do you have strong opinions on #swearing? A study claims that it is actually a good way of #coping with #pain and dealing with #stress. What are your thoughts? sw</t>
  </si>
  <si>
    <t>https://buff.ly/2NqyQlj</t>
  </si>
  <si>
    <t>The Trauma and Mental Health Report is a weekly online magazine on trauma and mental health, published out of York University in Toronto, Canada.</t>
  </si>
  <si>
    <t>http://trauma.blog.yorku.ca</t>
  </si>
  <si>
    <t>https://pbs.twimg.com/media/EOaG1qtX0AESTZD.jpg</t>
  </si>
  <si>
    <t>MS Focus: The Multiple Sclerosis Foundation</t>
  </si>
  <si>
    <t>Did you know, building a solid #supportnetwork can actually lower your #stress levels? Think about joining your local #MS support group to meet others facing similar struggles as yourself. Click here to search for a support group in your hometown:</t>
  </si>
  <si>
    <t>https://buff.ly/2q0XDjD</t>
  </si>
  <si>
    <t>https://pbs.twimg.com/media/EOaGo82XUAEBL30.jpg</t>
  </si>
  <si>
    <t>MS Focus: The Multiple Sclerosis Foundation helps people with MS live at their best through free programs, services and education.</t>
  </si>
  <si>
    <t>http://www.msfocus.org</t>
  </si>
  <si>
    <t>Prosecution for #Work #Stress 'just matter of time'  'The HSE could be building up to take legal action against organisations who fail to manage work-related stress, according to a UK gov adviser.@BritSafe @H_S_E #Change #Behaviours #Health #HealthatWork🧠</t>
  </si>
  <si>
    <t>https://www.britsafe.org/publications/safety-management-magazine/safety-management-magazine/2019/prosecution-for-work-related-stress-just-matter-of-time-law-event-hears/#.XiBhNlsJa6A.twitter</t>
  </si>
  <si>
    <t>https://pbs.twimg.com/media/EOaGf35WkAEsS14.jpg</t>
  </si>
  <si>
    <t>Alpaka</t>
  </si>
  <si>
    <t>#SMEs and #StartUps - how do you support #employees who are struggling with #stress? RT @StaywellOH: Everyone has different ways of managing #stress. Our team suggestions so far include: 🚶 Go out for lunch ☕ Take a break 📝 Make a to do list and prioritise it 😉 Chat with a colleague about anything other than work! 🐕 Walk company pets #Wellbeing #mentalhealth</t>
  </si>
  <si>
    <t>https://twitter.com/StaywellOH/status/1217804161099628544</t>
  </si>
  <si>
    <t>Northamptonshire, England</t>
  </si>
  <si>
    <t>Record your time anywhere. Whether you use an iOS or Android phone, or your desktop computer, Alpaka Punch is the quickest way to track your time.</t>
  </si>
  <si>
    <t>https://www.alpaka.io</t>
  </si>
  <si>
    <t>Charles Daniel</t>
  </si>
  <si>
    <t>https://pbs.twimg.com/media/EOaFhuoXkAAuLX0.jpg</t>
  </si>
  <si>
    <t>Wylie, TX.</t>
  </si>
  <si>
    <t>Child of Christ, Husband to Angela &amp; dad to Andrew &amp; Avery + 2 dogs Rosey&amp;Lucy &amp; granddog Lola.</t>
  </si>
  <si>
    <t>http://zurvita.com/feelgreatlookbetter</t>
  </si>
  <si>
    <t>Roots Analysis</t>
  </si>
  <si>
    <t>#ResearchHighlight #researchers at @VUMChealth further affirm the anti-#stress and anti-#Anxiety effects of #cannabis For details, click below:</t>
  </si>
  <si>
    <t>https://www.sciencedaily.com/releases/2020/01/200113111141.htm</t>
  </si>
  <si>
    <t>Roots Analysis is a specialist research firm focused on providing business research and consulting to the bio-pharmaceuticals industry.</t>
  </si>
  <si>
    <t>http://www.rootsanalysis.com</t>
  </si>
  <si>
    <t>Lombino Counseling</t>
  </si>
  <si>
    <t>Did you know I’m a podcast host? Partnering with @DE_LAP_LAW , we explore #wellness, #trauma, #mindfulness, #stress, #depression, alcohol use, #anxiety &amp; others. Great article by @harlequinn823. Subscribe on Apple &amp;amp; Android. Like &amp;amp; share on social media</t>
  </si>
  <si>
    <t>https://technical.ly/delaware/2019/08/01/lawyers-wellness-podcast-stress-legal-workplaces/</t>
  </si>
  <si>
    <t>https://pbs.twimg.com/media/EOaESyyXsAA-z4F.jpg</t>
  </si>
  <si>
    <t>Therapy in Wilmington DE &amp; elsewhere by video/phone. Stress, anxiety, depression, alcohol/drugs &amp; more. Individuals, couples &amp; groups. Also an attorney &amp; writer</t>
  </si>
  <si>
    <t>https://www.richlombino.com</t>
  </si>
  <si>
    <t>BFC MINDFULNESS &amp; COMPASSIE</t>
  </si>
  <si>
    <t>A study published in OBM Neurobiology suggested that #mindfulness programming (as psychosocial continued care) may enhance #sleep quality, perceived #stress, and #resilience for those living with the impact of a #cancer diagnosis.R…</t>
  </si>
  <si>
    <t>https://lnkd.in/eKR4syf
https://lnkd.in/exYWAjG</t>
  </si>
  <si>
    <t>Worldly</t>
  </si>
  <si>
    <t>Mindfulness &amp; Compassie voor Zorg &amp; Organisatie &amp; Individu</t>
  </si>
  <si>
    <t>http://www.bfcmind.nl</t>
  </si>
  <si>
    <t>https://pbs.twimg.com/media/EOaDSRUWkAAE1pz.jpg</t>
  </si>
  <si>
    <t>The Cleaning Company</t>
  </si>
  <si>
    <t>A new report has found that stress-related illness is the biggest health expenditure in the UK, costing the NHS over £11 billion per year! That's higher than obesity and the aging population. Why do you think we're so stressed as a nation?  #NHS #stress</t>
  </si>
  <si>
    <t>https://www.itij.com/latest/news/stress-found-be-major-healthcare-cost-driver-uk</t>
  </si>
  <si>
    <t>The Cleaning Company specialises in commercial cleaning across a range of sectors. T: 0208 505 3006 #leaveittous</t>
  </si>
  <si>
    <t>http://www.the-cleaning-company.com</t>
  </si>
  <si>
    <t>#Fibromyalgia and #FakingItTilIMakeIt ..."But the “faking it” and therefore taking the #stress out of the equation first...for me, it’s really the starting point to begin to get the symptoms under control."  … #WhatIKnowIsReal</t>
  </si>
  <si>
    <t>https://www.soisfibromyalgiareal.com/i-fake-it-til-i-make-it-and-it-works-mind-set-and-fibromyalgia-ii/</t>
  </si>
  <si>
    <t>Everyone has different ways of managing #stress. Our team suggestions so far include: 🚶 Go out for lunch ☕ Take a break 📝 Make a to do list and prioritise it 😉 Chat with a colleague about anything other than work! 🐕 Walk company pets #Wellbeing #mentalhealth</t>
  </si>
  <si>
    <t>03322497743 Beat The Cool Breeze With Full Body Massage Call to schedule your #Massage Now..Location DHA Phase 5 Khada Market Karachi. Timing:12:00pmTo10:00pm #karachiMassageSalon #ThaiMassage #Spa #VictoriaMassageSalon #MassageSalon #StressFree #BeautifulLife #Stress .</t>
  </si>
  <si>
    <t>https://pbs.twimg.com/media/EOaAAPwXkAIRWUJ.jpg</t>
  </si>
  <si>
    <t>Mind reading is a powerful cognitive distortion. #cognitivedistortion #stress #mindreading #illusion</t>
  </si>
  <si>
    <t>http://ow.ly/raH130q83SF</t>
  </si>
  <si>
    <t>https://pbs.twimg.com/media/EOZ_4IAX4AIVZv2.jpg</t>
  </si>
  <si>
    <t>Dr Jeannette Simon</t>
  </si>
  <si>
    <t>Adaptogens are plants that help you adapt to all forms of #stress: toxins, exhaustion, psychological stress. Great article by @AnnSilvers.  #anxiety #health</t>
  </si>
  <si>
    <t>https://buff.ly/2tVKzl6</t>
  </si>
  <si>
    <t>https://pbs.twimg.com/media/EOZ_2v1X0AEvPIT.jpg</t>
  </si>
  <si>
    <t>I am a pediatric gastroenterologist, author, educator &amp; entrepreneur who helps Parents have a Happier, Calmer Baby with my all natural colic remedy &amp; sleep plan</t>
  </si>
  <si>
    <t>http://drsimonsremedy.com</t>
  </si>
  <si>
    <t>Robert Harland</t>
  </si>
  <si>
    <t>Joey Havens on LinkedIn: #Weariness #Stress #Encouragement</t>
  </si>
  <si>
    <t>https://lnkd.in/dGMiX9t</t>
  </si>
  <si>
    <t>Gulfport, MS</t>
  </si>
  <si>
    <t>Government Services Senior Manager at Horne LLP.</t>
  </si>
  <si>
    <t>https://pbs.twimg.com/media/EOZ_uTNWoAAMnPc.jpg</t>
  </si>
  <si>
    <t>CordellHealth</t>
  </si>
  <si>
    <t>These 6 tips via @NHSuk can help you feel happier, more in control, and able to cope better with life's ups and downs.  #stress #happiness</t>
  </si>
  <si>
    <t>http://bit.ly/2lTsIaF</t>
  </si>
  <si>
    <t>https://pbs.twimg.com/media/EOZ9bqBX0AErgTU.jpg</t>
  </si>
  <si>
    <t>Reading, England</t>
  </si>
  <si>
    <t>Keeping employees engaged, productive, well and at work</t>
  </si>
  <si>
    <t>http://www.cordellhealth.co.uk</t>
  </si>
  <si>
    <t>Healthcare Learning</t>
  </si>
  <si>
    <t>The dental community must act to prevent burnout amongst dentists so they stay in practice rather than quit the profession, says Dental Protection. Read more:  #dentistry #dentists #community #protection #stress #burnout #pressrelease</t>
  </si>
  <si>
    <t>http://smile-onnews.com/news/view/survey-shows-half-of-uk-dentists-facing-extreme-burnout</t>
  </si>
  <si>
    <t>https://pbs.twimg.com/media/EOZ9MyPX4AEDvPx.jpg</t>
  </si>
  <si>
    <t>The Healthcare Learning company provides interactive teaching and on-line courses for healthcare professionals.</t>
  </si>
  <si>
    <t>http://www.healthcare-learning.com</t>
  </si>
  <si>
    <t>AnndraMargareth Dumo</t>
  </si>
  <si>
    <t>At this moment, attending the UEF Kuopio seminar "Emotional Eating and Obesity: depression, sleep and genes" #UEFA #obesity #Genomics #stress #emotion #eating</t>
  </si>
  <si>
    <t>https://pbs.twimg.com/media/EOZ6beyXsAARy3q.jpg</t>
  </si>
  <si>
    <t>nurse, researcher, teacher, practitioner, genetics, genomics, precision care, personalized care</t>
  </si>
  <si>
    <t>https://uef.academia.edu/AnndraMargarethDumo</t>
  </si>
  <si>
    <t>MilCareerEd</t>
  </si>
  <si>
    <t>How to Find the Right Career Calling and Reduce Stress via @Entrepreneur @DrNadineGreiner  #careeradvice #stress #milspouse</t>
  </si>
  <si>
    <t>http://entm.ag/gv41</t>
  </si>
  <si>
    <t>Oldsmar, FL</t>
  </si>
  <si>
    <t>Military Career Education is a place to discuss career &amp; vocational education options for US military, veterans and spouses.</t>
  </si>
  <si>
    <t>http://www.ed4online.com</t>
  </si>
  <si>
    <t>GFB</t>
  </si>
  <si>
    <t>Are you #recruiting for a high pressured job? Using the #Hogan assessment you can get a unique insight into how people behave under #stress before they start</t>
  </si>
  <si>
    <t>http://ow.ly/HMui30q9kV2</t>
  </si>
  <si>
    <t>https://pbs.twimg.com/media/EOZ5JUYWkAEbLb3.jpg</t>
  </si>
  <si>
    <t>Henley-on-Thames</t>
  </si>
  <si>
    <t>We are the leaders in people assessment. Our expert consultants will help you to create a solution to accurately measure and improve your people processes.</t>
  </si>
  <si>
    <t>http://www.gfbgroup.com</t>
  </si>
  <si>
    <t>Civil Service College</t>
  </si>
  <si>
    <t>Looking to relieve stress, deal with pressure, and build personal resilience?  #stress #wellbeing #resilience #selfdevelopment</t>
  </si>
  <si>
    <t>http://ow.ly/sEpm50xVhkJ</t>
  </si>
  <si>
    <t>Queen Anne's Gate, London</t>
  </si>
  <si>
    <t>Discover innovative programmes, Explore your potential and Learn from professional practitioners.</t>
  </si>
  <si>
    <t>http://www.civilservicecollege.org.uk/</t>
  </si>
  <si>
    <t>Talking Therapies</t>
  </si>
  <si>
    <t>We have organised a FREE workshop 'Managing Your Stress' aimed at employees. Join us on 28th January 6pm at the Copthorne Hotel Slough to learn how to recognise and manage stress. #Stress @BHFT @NHSEastBerksCCG Book your place today -</t>
  </si>
  <si>
    <t>https://www.eventbrite.co.uk/e/managing-your-stress-tickets-86309478975</t>
  </si>
  <si>
    <t>https://pbs.twimg.com/media/EOZ5BlSXkAAxqvm.png</t>
  </si>
  <si>
    <t>Berkshire, UK</t>
  </si>
  <si>
    <t>Talking Therapies is an IAPT service within @BHFT. We support those who suffer with depression, anxiety, low mood, worry, stress and phobias.</t>
  </si>
  <si>
    <t>http://www.talkingtherapies.berkshire.nhs.uk</t>
  </si>
  <si>
    <t>Work should be about lifting each other up and make the day work like a clock, as long as all the moving parts work together the clock will stay running. #work #quoteoftheday #counselling #hcsmSA #southafrica #stress #help #anxiety #mindfulness</t>
  </si>
  <si>
    <t>https://pbs.twimg.com/media/EOZXynhXUAAymXO.jpg</t>
  </si>
  <si>
    <t>#ProactiveMentalWellness improves productivity and employee well-being at the same time! Enable your employees to learn how to avoid #stress &amp; #burnout today:  Find out more about the e-training 'Performing Under Pressure' here:</t>
  </si>
  <si>
    <t>https://youtube.com/watch?v=HXA330433uI
https://wellnessorbit.com/trainings/training-practice-1-performing-under-pressure/training-practices/id/18</t>
  </si>
  <si>
    <t>Samrya Gardens</t>
  </si>
  <si>
    <t>Did you know? Spending even 20 minutes in the park has been shown to lower #stress, blood pressure and heart rate. Have you been to the park in @SamryaGarden lately?</t>
  </si>
  <si>
    <t>https://pbs.twimg.com/media/EOZ3O77XUAAcxX4.jpg</t>
  </si>
  <si>
    <t xml:space="preserve">Al Waab </t>
  </si>
  <si>
    <t>Luxurious residential compound in an exclusive community.</t>
  </si>
  <si>
    <t>http://samryagarden.com/</t>
  </si>
  <si>
    <t>HealthStrives</t>
  </si>
  <si>
    <t>About Circadian Rhythm Circadian rhythms are the physical, mental, and behavioral changes that follow a daily cycle. Read more at  #physical #circadianrhythm #circadianrhythms #physiological #sleep #wellbeing #health #depression #stress #wellness</t>
  </si>
  <si>
    <t>https://healthstrives.com/article/health/about-circadian-rhythm</t>
  </si>
  <si>
    <t>https://pbs.twimg.com/media/EOZ2vx3UwAE9mHH.png</t>
  </si>
  <si>
    <t>Health Strives is the best health care tips website which uses a unique combination of knowledge and talent to help people with lifetime fitness tips.</t>
  </si>
  <si>
    <t>https://healthstrives.com/</t>
  </si>
  <si>
    <t>Booming Encore</t>
  </si>
  <si>
    <t>Tick, tock... how stress speeds up your chromosomes' ageing clock  via @ConversationEDU #cdnboomers #babyboomers #boomers #aging #stress #telomeres</t>
  </si>
  <si>
    <t>http://theconversation.com/tick-tock-how-stress-speeds-up-your-chromosomes-ageing-clock-127728?utm_source=twitter&amp;utm_medium=twitterbutton</t>
  </si>
  <si>
    <t>Information and inspiration to help Baby Boomers create and live their very best encore! #cdnboomers #babyboomers #boomers #retirement #aging</t>
  </si>
  <si>
    <t>http://www.boomingencore.com</t>
  </si>
  <si>
    <t>Niagara Neuropsych</t>
  </si>
  <si>
    <t>#Burnout linked with irregular heartbeat. #Stress</t>
  </si>
  <si>
    <t>http://ow.ly/5Xj730q9WNV</t>
  </si>
  <si>
    <t>Providing state of the art assessment and treatment of brain-related and psychological difficulties. Visit us at http://NiagaraNeuropsychology.com</t>
  </si>
  <si>
    <t>StBuresch</t>
  </si>
  <si>
    <t>#Stress. An epidemic that's affecting more than just our #health, it's affecting our #productivity too. And practicing more #selfcare would help on both accounts.</t>
  </si>
  <si>
    <t>https://lnkd.in/dbkzZFc</t>
  </si>
  <si>
    <t>Germany</t>
  </si>
  <si>
    <t>Friesen Performance</t>
  </si>
  <si>
    <t>Dr. Chris Friesen, C.Psych.</t>
  </si>
  <si>
    <t>Dr. Friesen is a contributor on http://Success.com and is the author of ACHIEVE: Find Out Who You Are, What You Really Want, and How To Make It Happen</t>
  </si>
  <si>
    <t>http://FriesenPerformance.com</t>
  </si>
  <si>
    <t>M2MBusinessSolutions</t>
  </si>
  <si>
    <t>How often do you practice #mindfulness? Setting time aside to "re-organize" your mind will help you stay grounded during periods of high #stress. This short two-minute exercise will show how to practice #mindfulness. #mentalheal…</t>
  </si>
  <si>
    <t>https://lnkd.in/eGYWsPQ
https://lnkd.in/eF7Vt7m</t>
  </si>
  <si>
    <t>Developing &amp; Supporting Employees is key to succeed in business &amp; strategies. Core services - leadership skills, structure, change, talent, customer experience.</t>
  </si>
  <si>
    <t>http://www.m2m-businesssolutions.com</t>
  </si>
  <si>
    <t>The Barash Group</t>
  </si>
  <si>
    <t>Winter having you feel #crabby? Give this a squeeze! #stress #crab #shack #colorful #calm #relief</t>
  </si>
  <si>
    <t>https://www.instagram.com/p/B7YXjuanRyn/?igshid=18og82dfdokpb</t>
  </si>
  <si>
    <t>Philadelphia Area</t>
  </si>
  <si>
    <t>MARKETING.DESIGN.ADVERTISING.PROMOTIONAL PRODUCTS</t>
  </si>
  <si>
    <t>http://www.barashgroup.com</t>
  </si>
  <si>
    <t>Discover Health FMC</t>
  </si>
  <si>
    <t>Feeling stressed? Our weekly Transform Your Stress 5-Week Group Class begins Monday, January 27. To reserve your spot, please call our office 603-447-3112 or email discoverhealthcoaching@gmail.com #discoverhealth #functionalmedicine #DHFMC #stress #stressrelief</t>
  </si>
  <si>
    <t>https://pbs.twimg.com/media/EOZycvnW4AERui-.jpg</t>
  </si>
  <si>
    <t>Conway, New Hampshire, USA</t>
  </si>
  <si>
    <t>https://www.discoverhealthfmc.com/about</t>
  </si>
  <si>
    <t>https://www.discoverhealthfmc.com</t>
  </si>
  <si>
    <t>Fullers Family Law</t>
  </si>
  <si>
    <t>Dealing with divorce stress: Rather than withdrawing socially, surround yourself with friends. Remember how important they are in providing support, perspective and practical help.  #FamilyLaw #Divorce #Stress</t>
  </si>
  <si>
    <t>http://ow.ly/PpUB50xW0Sx</t>
  </si>
  <si>
    <t>https://pbs.twimg.com/media/EOZyDd0W4AAW_kj.jpg</t>
  </si>
  <si>
    <t>Bedford, Northampton</t>
  </si>
  <si>
    <t>Family Law Specialists. Offices in Northants, Beds, Bucks, Herts, Cambs &amp; Leics. 01234 343134 | enquiries@fullersfamilylaw.com</t>
  </si>
  <si>
    <t>https://fullersfamilylaw.com</t>
  </si>
  <si>
    <t>#Stress #Management Tip Three Love this - plan today to do something that will give you as much #joy and keep stress at bay. Believe you can and you will. Thanks@YorkshireDad RT @TheYorkshireDad: The joy that muddy puddles bring is priceless!</t>
  </si>
  <si>
    <t>https://twitter.com/theyorkshiredad/status/1064960081807228930</t>
  </si>
  <si>
    <t>pic.twitter.com/ztJBSAloxL</t>
  </si>
  <si>
    <t>Great start to the year meeting with HR, L&amp;D, H&amp;amp;S Directors - all about stress and wellbeing. Here is my blog on why we need to rethink stress to start turning tide of stress and burnout at work - 3 min read  #Stress #ThursdayMotivation</t>
  </si>
  <si>
    <t>https://pbs.twimg.com/media/EOZw25nWAAUdykG.jpg</t>
  </si>
  <si>
    <t>Melanie RVN C-SQP</t>
  </si>
  <si>
    <t>Starting to #Feel #Unhappy with #Work... #Stress eventually gets to you... #Home #Life #Stressful... Work life stressful... #NoWinSituation</t>
  </si>
  <si>
    <t>#Locum #Veterinary #Nurse... #Animal mad... #Spiritually gifted... #Migraine, #ChronicDailyHeadache and #IBS sufferer... and #Crochet lover...</t>
  </si>
  <si>
    <t>Lori Lane-Murphy</t>
  </si>
  <si>
    <t>Shut down those screaming conductors #anxiety #stress #confusion #mentalhellness #mentalwellness #screamingconductors #staystrong</t>
  </si>
  <si>
    <t>https://www.instagram.com/p/B7YV7NMHHjI/?igshid=19zavfvo2tzul</t>
  </si>
  <si>
    <t>Storyteller, speaker, author Bipolar Expedition, podcaster Stories Like Crazy, mental health advocate</t>
  </si>
  <si>
    <t>http://www.lorilanemurphy.ca</t>
  </si>
  <si>
    <t>Morgan Parkes</t>
  </si>
  <si>
    <t>See stress in the #workplace differently:  #stress #employees #mentalhealth</t>
  </si>
  <si>
    <t>https://www.hrmagazine.co.uk/article-details/see-stress-in-the-workplace-differently</t>
  </si>
  <si>
    <t>https://pbs.twimg.com/media/EOZuHd2W4AECY_l.jpg</t>
  </si>
  <si>
    <t>Solihull, West Midlands</t>
  </si>
  <si>
    <t>Specialists in recruiting high quality permanent and temporary office based staff throughout the West Midlands, Warwickshire and Worcestershire #recruitment</t>
  </si>
  <si>
    <t>http://www.morganparkes.co.uk</t>
  </si>
  <si>
    <t>What Happens To Your Brain And Body When You’re Stressed About Money | HuffPost UK Life  #finance #money #anxiety #stress</t>
  </si>
  <si>
    <t>http://ow.ly/NbNu30q9TAz</t>
  </si>
  <si>
    <t>Hurt by the ones we love  via @APA #www.drpetemarcelo.org #anxiety #health #stress #counseling #therapy #autism #adhd #mentalhealth #marriagecounseling #counseling #depression...</t>
  </si>
  <si>
    <t>https://www.apa.org/monitor/2020/01/numbers-hurt</t>
  </si>
  <si>
    <t>Eric Shay Howard</t>
  </si>
  <si>
    <t>It's been a WEEK, ya'll. #stress</t>
  </si>
  <si>
    <t>Louisville, KY</t>
  </si>
  <si>
    <t>#UofL grad. Rides bicycle. Tries to have fun.</t>
  </si>
  <si>
    <t>https://www.ericshayhoward.com</t>
  </si>
  <si>
    <t>Natalia Braun</t>
  </si>
  <si>
    <t>My article on the myth and danger of multitasking was published in The Minds Journal. #stress #multitasking #wellbeing #mentalhealth #workplacehealth #productivity</t>
  </si>
  <si>
    <t>https://themindsjournal.com/myth-and-danger-of-multitasking/</t>
  </si>
  <si>
    <t>Schweiz</t>
  </si>
  <si>
    <t>Coaching, consulting, research &amp; journalism</t>
  </si>
  <si>
    <t>You'd expect common sense to be, well, common, wouldn't you? Except it isn't. It's more subjective than you think. #stress #mentalhealth #selfImprovement #mindfulness Published in @mindcafe_</t>
  </si>
  <si>
    <t>https://medium.com/mind-cafe/common-sense-13a39990f5d8</t>
  </si>
  <si>
    <t>https://pbs.twimg.com/media/EOZrk4EWkAACKRd.jpg</t>
  </si>
  <si>
    <t>Hayaat.pk</t>
  </si>
  <si>
    <t>The #health #benefits associated with #lemons are numerous, however; these facts might be new for you. . Visit:  . #lemonade #natural #tips #juice #stress #depression #daily #vitaminc #focus #liver #acne #healthcare #Pakistan #lahore #Karachi #Hayaatpk</t>
  </si>
  <si>
    <t>https://hayaat.pk/</t>
  </si>
  <si>
    <t>https://pbs.twimg.com/media/EOZriINWkAAESHk.jpg</t>
  </si>
  <si>
    <t>Lahore, Pakistan</t>
  </si>
  <si>
    <t>http://Hayaat.pk is a convenient way to find a doctor, blood donors, locate the nearest emergency centers &amp; provide easy access to lab tests &amp; prescription medicines.</t>
  </si>
  <si>
    <t>http://www.hayaat.pk</t>
  </si>
  <si>
    <t>Endo Sport</t>
  </si>
  <si>
    <t>Putting extra #stress on your muscles during #exercise can cause inflammation - you may find that incorporating #CBD into your lifestyle helps alleviate the symptoms. Simply incorporate Endo Sport into your workout regime! -</t>
  </si>
  <si>
    <t>https://endosport.co.uk/products/</t>
  </si>
  <si>
    <t>https://pbs.twimg.com/media/EOZrUhlX0AEAK6r.jpg</t>
  </si>
  <si>
    <t>UK's First Sports Drink Infused with CBD</t>
  </si>
  <si>
    <t>http://www.endosport.co.uk</t>
  </si>
  <si>
    <t>Psychic Access</t>
  </si>
  <si>
    <t>Dragging A 'Knapsack Of Irrelevance' Worry never robs tomorrow of its sorrow, it only saps today of its joy ~ Leo F. Buscaglia  #anxiety #stress #mentalhealth #life #selfhelp #relax #depression #help #selfcare #family #caring #care #home #psychicaccess</t>
  </si>
  <si>
    <t>https://soo.nr/FhVs</t>
  </si>
  <si>
    <t>https://pbs.twimg.com/media/EOZrGORX0AAZmHz.jpg</t>
  </si>
  <si>
    <t>Free Reading at http://PsychicAccess.com for all new customers. Our psychics are interviewed, fully verified and accuracy tested.</t>
  </si>
  <si>
    <t>http://psychicaccess.com/0003</t>
  </si>
  <si>
    <t>https://pbs.twimg.com/media/EOZrOaqWAAAxHsf.jpg</t>
  </si>
  <si>
    <t>David Withington</t>
  </si>
  <si>
    <t>The day I found out how to de-stress - by accident.  #stress #destress #smartphone #samsung</t>
  </si>
  <si>
    <t>http://davidwithington.com/the-free-de-stress-day-with-the-compliments-of-samsung/</t>
  </si>
  <si>
    <t>Lancashire, England</t>
  </si>
  <si>
    <t>Tech-geek &amp; blogger who enjoys simpifying techie stuff, writing, podcasting, continually learning, good humour and terrible puns. How can I brighten your day?</t>
  </si>
  <si>
    <t>https://davidwithington.com</t>
  </si>
  <si>
    <t>This Matters</t>
  </si>
  <si>
    <t>Burnout is real and it could be affecting your heart health #burnout #stress</t>
  </si>
  <si>
    <t>pic.twitter.com/MC2bQe7jkX</t>
  </si>
  <si>
    <t>A social news publisher bringing you stories that need to be to told. 👇 Like us on Facebook for more</t>
  </si>
  <si>
    <t>https://www.facebook.com/thismattersuk/</t>
  </si>
  <si>
    <t>SME News</t>
  </si>
  <si>
    <t>SMEs need to have a tight control over worker wellbeing to ensure they are able to drive productivity and prevent employee absenteeism due to stress related illnesses. 👉  #stress #work #business #SME</t>
  </si>
  <si>
    <t>https://www.sme-news.co.uk/for-smes-to-grow-they-must-identify-and-take-control-of-stress-in-the-workplace/</t>
  </si>
  <si>
    <t>SME News draws on our UK wide network of industry insiders to provide you with the latest news, cutting edge features and latest deals from across the UK</t>
  </si>
  <si>
    <t>http://www.sme-news.co.uk/</t>
  </si>
  <si>
    <t>Dr Chitra Selvan</t>
  </si>
  <si>
    <t>A good screening question to assess stress levels of my women with diabetes is to ask the spouse where he drops his wet towel after his bath. #Stress&amp;Diabetes #DiabetesInWomen</t>
  </si>
  <si>
    <t>MD(Med), DM(Endo). Associate Professor, Endocrinology , Ramaiah Medical College . Tweeting about #Endocrinology ,Books and Nature .</t>
  </si>
  <si>
    <t>Stop multitasking - Focusing on one thing at a time will also make you calmer and less stressed out  #SkinOnline #SkinOnlineBlog #burnout #stress #anxiety #work #fatigue #health #wellness #prevention #symptoms</t>
  </si>
  <si>
    <t>http://ow.ly/YSu730nrXMP</t>
  </si>
  <si>
    <t>https://pbs.twimg.com/media/EOZq4VbX4AAZfUx.jpg</t>
  </si>
  <si>
    <t>Headtorch</t>
  </si>
  <si>
    <t>She’s sharing some new pieces with us today at #worksmental but here’s a favourite of ours from the archives from @AngieStrachan75 “Stressed - I’m not stressed”  #stress #wellbeing #poetry #performancepoet</t>
  </si>
  <si>
    <t>https://www.headtorch.org/stressed-im-not-stressed/</t>
  </si>
  <si>
    <t>https://pbs.twimg.com/media/EOZqAzrX4AA9R89.jpg</t>
  </si>
  <si>
    <t>Headtorch: proactive, innovative programmes on mental health at work. Dramatic e-learning; live events; mental health strategy and awareness. #mentalhealth #HR</t>
  </si>
  <si>
    <t>http://www.headtorch.org/</t>
  </si>
  <si>
    <t>ScottEbruh</t>
  </si>
  <si>
    <t>If it's big enough to worry about, it's big enough to pray about #christianity #Stress #Worry #Pray</t>
  </si>
  <si>
    <t>My name is Scott 'ScottEbruh' Williams. I'm a Christian devoted to helping others to seek, know, and live biblical truth in all that they do.</t>
  </si>
  <si>
    <t>http://youtube.com/scottebruh</t>
  </si>
  <si>
    <t>Johannes Bohacek</t>
  </si>
  <si>
    <t>On my way to give a TED-style talk at the @YouthForumCh to a group of highly talented high school students. Topic: "The #stress response". My first talk without PowerPoint since ages. 18min. Guess how I'm feeling right now? 😳</t>
  </si>
  <si>
    <t>https://www.youthforumswitzerland.ch/</t>
  </si>
  <si>
    <t>Zurich, Switzerland</t>
  </si>
  <si>
    <t>Neuroscientist interested in stress, behavior, hippocampus and locus coeruleus. Here to share, learn and laugh. @eth_en</t>
  </si>
  <si>
    <t>http://www.bohaceklab.ethz.ch</t>
  </si>
  <si>
    <t>#everybody knows #something all you got to do is find out what? #Motorism #Life #Quote #Philosophy #Quotes #Wise #Wisdom #Motivation #Inspiration #victory #triumph #Defeat #Frustration #Stress #MentalHealth #Anxiety #Flop #Blunder #destiny #Spirituality #success #successquotes</t>
  </si>
  <si>
    <t>https://pbs.twimg.com/media/EOZoB_8VUAE3cGp.jpg</t>
  </si>
  <si>
    <t>Zofia Bajorek</t>
  </si>
  <si>
    <t>Recent survey results identified that 95% of workers when absent with #stress gave #managers a different reason for their absence. Do managers know the signs of what to look out for with regards to #mentalhealth? #healthatwork2020</t>
  </si>
  <si>
    <t>Research fellow at IES. PhD in management studies. Workplace researcher. Dabble in Catholic Youth Ministry.Gin lover.Tweets are my own views</t>
  </si>
  <si>
    <t>Nmami Life</t>
  </si>
  <si>
    <t>Most of us carry our jobs home with us. Without even realising, we experience stress that affects our personal lives as well. This needs to stop. How? Here are some small things that can be done to combat all of it.  #EatTodayForTomorrow #NmamiLife #stress</t>
  </si>
  <si>
    <t>https://bit.ly/2R1Mmyh</t>
  </si>
  <si>
    <t>Diet | Nutrition | Food | Health | Wellness | Lifestyle | FB: https://bit.ly/2Wyiugg | Instagram: https://bit.ly/2WtAzfn | YouTube: http://bit.ly/2nSPoHQ</t>
  </si>
  <si>
    <t>http://www.nmamilife.com</t>
  </si>
  <si>
    <t>el paso</t>
  </si>
  <si>
    <t>Good morning Twitter. I spent the day so far thinking it was Wednesday. fuck my actual life. If only it was 20 past 4 #stress</t>
  </si>
  <si>
    <t>https://pbs.twimg.com/media/EOZkdZ9WAAArnNR.jpg</t>
  </si>
  <si>
    <t>dreamin &amp; schemin. rule breaker. Yorkshire Tea maker. king size rolling paper. connoisseur in the kitchen 🖕🏼</t>
  </si>
  <si>
    <t>Dr.Stéphane Treyvaud</t>
  </si>
  <si>
    <t>NEWS FROM THE MINDFULNESS CENTRE, UPCOMING WORKSHOPS AND STIMULATING ARTICLES! #mindfulness #MBSR #stress reduction #Mindful Self-compassion #MSC #meditation #Yoga. PLEASE CLICK ON FOLLOWING</t>
  </si>
  <si>
    <t>https://conta.cc/2QWYRv1</t>
  </si>
  <si>
    <t>https://pbs.twimg.com/media/EOZkbzNWAAEdHjI.jpg</t>
  </si>
  <si>
    <t>Oakville, Ontario, Canada</t>
  </si>
  <si>
    <t>http://www.mindful.ca</t>
  </si>
  <si>
    <t>https://pbs.twimg.com/media/EOZj0kzWkAA40CT.jpg</t>
  </si>
  <si>
    <t>Nadine McCabe Transformational Therapy</t>
  </si>
  <si>
    <t>#Stress is called ‘the silent killer’ because of the dangerously detrimental and damaging effect it has on our #health.</t>
  </si>
  <si>
    <t>https://marisapeer.com/is-stress-really-the-silent-killer-marisa-peers-top-tips-to-overcome-stress/?utm_source=facebook&amp;utm_medium=organic&amp;utm_campaign=stress_the_silent_killer&amp;fbclid=IwAR3PvnoQ37Ud2eXhfZIcY9JEeP_16z9GM9ESQYfRmVXUB0QsfVqxPgwjccc</t>
  </si>
  <si>
    <t>Doncaster</t>
  </si>
  <si>
    <t>Free yourself from limiting beliefs and transform your life with Rapid Transformational Therapy. Become a healthier, happier you and live your best life.</t>
  </si>
  <si>
    <t>http://www.nadinemccabe.co.uk</t>
  </si>
  <si>
    <t>https://pbs.twimg.com/media/EOZjPfBX0AAF0uw.jpg</t>
  </si>
  <si>
    <t>SmBizAmerica®</t>
  </si>
  <si>
    <t>5 Ways to Reduce Employee Stress #BarbaraWeltman @BigIdeas4SB  #SmallBusiness #Management #Workplace #Stress #Health #LouHoltz f/ @SmBizAmerica</t>
  </si>
  <si>
    <t>https://bigideasforsmallbusiness.com/5-ways-to-reduce-employee-stress/</t>
  </si>
  <si>
    <t>Official #Twitter Account for @SmBizAmerica® To Join http://SmBizAmerica.com/subscribe</t>
  </si>
  <si>
    <t>http://SmBizAmerica.com</t>
  </si>
  <si>
    <t>Zanos</t>
  </si>
  <si>
    <t>The #WinterMonths can be the most draining time of the year. Luckily we have #NaturalRemedies which can help to beat those #JanuaryBlues. These #scents will help with #stress, #sleep, #anxiety, #digestion and so much more. To learn more, contact our sales team on 01565 755899.</t>
  </si>
  <si>
    <t>https://pbs.twimg.com/media/EOZhtgMWoAEkyBz.jpg</t>
  </si>
  <si>
    <t>Knutsford, UK</t>
  </si>
  <si>
    <t>Specialising in sourcing and supplying high quality #EssentialOils and #AromaChemicals to the #flavour and #fragrance industry.</t>
  </si>
  <si>
    <t>http://www.zanos.co.uk/</t>
  </si>
  <si>
    <t>Do you often feel overwhelmed, mentally exhausted, or perhaps depressed? Read more 👉  #Selfcare #Stress #Yoga</t>
  </si>
  <si>
    <t>https://bit.ly/304R0yf</t>
  </si>
  <si>
    <t>https://pbs.twimg.com/media/EOZhVa-XUAAKs7X.jpg</t>
  </si>
  <si>
    <t>GermanHomoeoRemedies</t>
  </si>
  <si>
    <t>#Toxinil drops #Reduces #the #craving #and #toxin #effects of #nicotine &amp; #alcohol @govindlall #Smokers #drinkers #drugs #addiction #drunkards #cigarette #rs #beer #stressreliever #stress</t>
  </si>
  <si>
    <t>https://www.instagram.com/p/B7YM_7WFNPA/?igshid=1qpanj4fomff3</t>
  </si>
  <si>
    <t>German Homoeo Remedies : This is a homoeopathic medicine manufacturing company with wide range of homeopathic products .....................</t>
  </si>
  <si>
    <t>Michelle Bailey</t>
  </si>
  <si>
    <t>Interesting read - not surprising change is predicted as #stress a growing concern. We all need to be taking it more seriously for moral, health and business reasons - #wellbeing and #engagement go hand in hand - you can’t sustain one without the other.</t>
  </si>
  <si>
    <t>http://ow.ly/Ksm550xWUeZ</t>
  </si>
  <si>
    <t>Helping employers increase productivity, margins &amp; engagement #Construction #Law #CustomerService Sometimes enthusiastic runner with #WDEIA</t>
  </si>
  <si>
    <t>http://peopleessentials.co.uk</t>
  </si>
  <si>
    <t>Renee Simmons</t>
  </si>
  <si>
    <t>https://kingsumo.com/g/9agctd/giveaway-january-2020/1yk7qxl</t>
  </si>
  <si>
    <t>Searching the net for giveaways for over 25 years!</t>
  </si>
  <si>
    <t>Liggy Webb</t>
  </si>
  <si>
    <t>A really important question to ask yourself before you jump to conclusions or react in the heat of the moment is... What else could this mean? We are living in a world of #fakenews #informationoverload #complexity #uncertainty #stress and #burnout and…</t>
  </si>
  <si>
    <t>https://lnkd.in/dVtu_25</t>
  </si>
  <si>
    <t>Cheltenham - UK</t>
  </si>
  <si>
    <t>Best selling author and presenter - Helping people to develop resilience and agility through challenges and change</t>
  </si>
  <si>
    <t>http://www.liggywebb.com</t>
  </si>
  <si>
    <t>The @H_S_E could be building up to take legal action against an organisation for failing to manage work-related #stress, potentially setting a president - a law event hears  #mentalhealthstories #mentalhealth #healthandsafety</t>
  </si>
  <si>
    <t>https://www.britsafe.org/publications/safety-management-magazine/safety-management-magazine/2019/prosecution-for-work-related-stress-just-matter-of-time-law-event-hears/?utm_source=marketo&amp;utm_medium=email&amp;utm_campaign=safety-management-1001&amp;mkt_tok=eyJpIjoiTVdVMFpqbGhZVGd6WkdGaCIsInQiOiJ2ZEc1Mjh5TStNVVRQMENKRm5CNExyaUl0c2V5c0F2TFRtQjduRGlHelM1UWFWMWlkYmx3Z0NuUFI2QUxqSWM1eFpmTkMxdXdPZEtsZzRUUTZWUm03VllZeUJubGdaaXJnMWdOWE1DVDhTRXhRNm5sTHNxaFVcL1krQnhnZklMZUsifQ%3D%3D</t>
  </si>
  <si>
    <t>tsunami_axis</t>
  </si>
  <si>
    <t>The most stressful London commute? Central line won with a stress score of 73.83%, followed by Piccadilly (65.53) &amp; District (57.94) lines. Stations? King's Cross St Pancras scored 73.71% followed by Stratford (73.65) &amp;amp; Waterloo (66.08)  #stress #london</t>
  </si>
  <si>
    <t>https://www.beejameditation.com/londons-most-stressful/</t>
  </si>
  <si>
    <t>Commercial Furniture Dealership / Accredited Herman Miller dealer-partner. enquiries@tsunami-axis.co.uk</t>
  </si>
  <si>
    <t>http://tsunami-axis.com</t>
  </si>
  <si>
    <t>Global Health Box</t>
  </si>
  <si>
    <t>🔥🔥Best Fidget Spinner🔥🔥 Premium Product Buy Now 👉  🤎PLEASE RETWEET IF YOU LIKE THE POST🤎 #fidgetspinner #spinner #everydaycarry #funny #toy #newtoys #stress #relief</t>
  </si>
  <si>
    <t>https://bit.ly/2u0EQL0</t>
  </si>
  <si>
    <t>https://pbs.twimg.com/media/EOZbHltU0AUJtCY.jpg</t>
  </si>
  <si>
    <t>Wiltshire IAPT Service</t>
  </si>
  <si>
    <t>It can be a tough time of year, and it can feel very stressful - We have a free 4 week Stress and Mood Management course on the 3rd of February in Devizes, 6.30pm - 8.30pm. To book on please call our admin team on 01380 731335 #stress #overwhelmed #anxiety #januaryblues</t>
  </si>
  <si>
    <t>https://pbs.twimg.com/media/EOZay6zWkAAYt6E.png</t>
  </si>
  <si>
    <t>https://iapt-wilts.awp.nhs.uk/ We are unable to give medical/urgent advice via this page, and recommend that if you require this support contact Samaritans/GP surgery.</t>
  </si>
  <si>
    <t>https://www.facebook.com/Wiltshire-IAPT-Service-1020309227996651/?ref=hl</t>
  </si>
  <si>
    <t>Invensis Learning</t>
  </si>
  <si>
    <t>Are you experiencing workplace stress? #Tips to reduce #workplace stress. #stress #anxiety #mentalhealth #depression #health #wellness #burnout #selfcare #stressrelief #meditation #relax #stressmanagement #mentalhealthawareness #mindset #relief #yoga #reducestress #tip #work</t>
  </si>
  <si>
    <t>pic.twitter.com/BoP21LcWew</t>
  </si>
  <si>
    <t>Bangalore, India</t>
  </si>
  <si>
    <t>We train to empower enterprises and individuals as global professionals and bridge skill gap with professional certification courses and technologies.</t>
  </si>
  <si>
    <t>https://www.invensislearning.com</t>
  </si>
  <si>
    <t>Astrologerincanada</t>
  </si>
  <si>
    <t>There are times when we are under stress. Astrology can be useful to come out of any kind of stress. #astrology #astrologer #stress #solution</t>
  </si>
  <si>
    <t>https://pbs.twimg.com/media/EOZZ2cpUwAAxTpJ.jpg</t>
  </si>
  <si>
    <t>astrologer</t>
  </si>
  <si>
    <t>Ghosn escape triggers Yamaha instrument case warning If you thought that was odd check out the rants on  #trafficjam #android #ios #free #m25 #m6 #m4 #m62 #m5 #m61 #m65 #stress #roadrage #app #rant</t>
  </si>
  <si>
    <t>https://pbs.twimg.com/media/EOZZ1TiXsAEQKz7.jpg</t>
  </si>
  <si>
    <t>NeuroSchool</t>
  </si>
  <si>
    <t>#Postdoc on #stress #resilience, Munich, Germany @MathiasVSchmidt 's research group at @mpi_psychiatry is seeking a motivated postdoc ⬇️⬇️⬇️ RT @MathiasVSchmidt: Please RT: My lab has an open position for an advanced postdoc interested in working in an inspiring environment @mpi_psychiatry with an amazing group of colleagues on the mechanisms driving #stress #resilience. For more information and to apply, see</t>
  </si>
  <si>
    <t>https://twitter.com/MathiasVSchmidt/status/1217094284257779713
https://is.gd/w32NFP</t>
  </si>
  <si>
    <t>Marseille, France</t>
  </si>
  <si>
    <t>Marseille graduate school in #neuroscience from BSc (3rd year) to PhD.</t>
  </si>
  <si>
    <t>http://www.neuro-marseille.org</t>
  </si>
  <si>
    <t>Wellbeing Umbrella</t>
  </si>
  <si>
    <t>Is workplace wellness or workplace stress reining for you? Jana from Global Trend Coaching shares her wisdom on how employers can reduce employee stress in the workplace;  #workplacewellness #stress #wellness #wellbeing #WBNgroup</t>
  </si>
  <si>
    <t>https://loom.ly/XPsMAgw</t>
  </si>
  <si>
    <t>https://pbs.twimg.com/media/EOZYmAqXsAASzVb.jpg</t>
  </si>
  <si>
    <t>☂️ Team of wellbeing devotees ☂️Supporter of small wellbeing businesses ☂️ Connecting wellness seekers to a world full of choice</t>
  </si>
  <si>
    <t>http://www.wellbeingumbrella.com</t>
  </si>
  <si>
    <t>Leadershaala</t>
  </si>
  <si>
    <t>Leadershaala offer a complimentary coaching session to students who are approaching their exams..if they are going through #stress, #anxiety, #frustration, #indiscipline Call Now - 9899436916 Visit Here -</t>
  </si>
  <si>
    <t>http://www.leadershaala.com/coaching</t>
  </si>
  <si>
    <t>pic.twitter.com/DD04FFSnd6</t>
  </si>
  <si>
    <t>Noida Sector 62</t>
  </si>
  <si>
    <t>Trigun is a Life and Leadership Coach having completed a program affiliated from ICF. He is also a NLP Practitioner licensed by Dr. Richard Bandler.</t>
  </si>
  <si>
    <t>http://www.LeaderShaala.com</t>
  </si>
  <si>
    <t>valluricf</t>
  </si>
  <si>
    <t>Study #mentoring can serve as a crucial intervention which can reduce the intensity with which individuals with vulnerable personality traits react towards #stress &amp; adverse consequences of #jobburnout #CorporateMentoring #CorporateCoaching #WorkStress</t>
  </si>
  <si>
    <t>http://bit.ly/2NLEn6v</t>
  </si>
  <si>
    <t>https://pbs.twimg.com/media/EOZV2QcUYAEgELZ.png</t>
  </si>
  <si>
    <t>Bengaluru, Karnataka</t>
  </si>
  <si>
    <t>Valluri Change Foundation provides #Mentoring &amp; #Coaching in #Leadership #BusinessPerformance #Career #Healthcare #Environment #Tech &amp; #Startups &amp; #Innovations.</t>
  </si>
  <si>
    <t>http://www.valluricf.com/</t>
  </si>
  <si>
    <t>Terry Smooth</t>
  </si>
  <si>
    <t>What keeps you #awake #passion or #stress #USA #gymtime</t>
  </si>
  <si>
    <t>https://pbs.twimg.com/media/EOZTzjNWsAAcSOZ.jpg</t>
  </si>
  <si>
    <t>Idaho, USA</t>
  </si>
  <si>
    <t>Fitness Trainer Herbal King Fatherly figure</t>
  </si>
  <si>
    <t>Healthwire</t>
  </si>
  <si>
    <t>Ensuring #MentalHealth at the #Workplace: Dealing With #Stress is Easier Than You Think says Dr. Ashima Srivastava of @MaxHealthcare #stressmanagement #WorkLifeBalance</t>
  </si>
  <si>
    <t>https://healthwire.co/ensuring-mental-health-at-workplace-dealing-with-stress-is-easier-than-you-think/</t>
  </si>
  <si>
    <t>Healthwire is a Mega Digital platform for Healthcare companies, Doctors and Journalists.</t>
  </si>
  <si>
    <t>https://healthwire.co/</t>
  </si>
  <si>
    <t>Mental Health at the University of Edinburgh</t>
  </si>
  <si>
    <t>Guthrie cards can be tested for factors, such as drug exposure, #smoking, #stress or infection during #pregnancy that can affect risk of later onset disease, such as #MentalHealth and #obesity. David Porteous speaks to @CathCalderwood1 #MHDSScot @genscot @EdinburghUni</t>
  </si>
  <si>
    <t>https://pbs.twimg.com/media/EOZLIRyXkAAj_83.jpg</t>
  </si>
  <si>
    <t>Edinburgh, Scotland</t>
  </si>
  <si>
    <t>#MentalHealth research from #Psychiatry, #Psychology, #ClinicalPsychology, #SocialWork, #GlobalMentalHealth &amp; #SocialSciences at @EdinburghUni</t>
  </si>
  <si>
    <t>https://pbs.twimg.com/media/EOZQzV3WAAEW2QQ.jpg</t>
  </si>
  <si>
    <t>Brighton &amp; Hove Libraries</t>
  </si>
  <si>
    <t>It's Thursday morning - time for #Mindful #Colouring! Every Thurs, 10am at Jubilee #library. Colouring can relieve #stress, exercises the #mind, is creative #meditation &amp; is an easy way to #relax! We provide everything-come along! @WHO @NHSBrightonHove #MentalHealthAwareness</t>
  </si>
  <si>
    <t>https://pbs.twimg.com/media/EOZQIbfXkAAUE5t.jpg</t>
  </si>
  <si>
    <t>Brighton &amp; Hove</t>
  </si>
  <si>
    <t>Official Twitter account for Brighton &amp; Hove City Council Libraries. Go to our website for contact information. This account is not monitored 24/7.</t>
  </si>
  <si>
    <t>http://brighton-hove.gov.uk/libraries</t>
  </si>
  <si>
    <t>The connection, the oneness! #Goodmorning #Caregivers #Stress #Burnout #Alzheimer #Babyboomers #Caring #Familycaregivers #Healthcare #Selfcare #Comeoutreach #Youarenotalone #SHARKSyouth #Endurance</t>
  </si>
  <si>
    <t>https://pbs.twimg.com/media/EOZPr6eWkAAmuvP.jpg</t>
  </si>
  <si>
    <t>white tree coach</t>
  </si>
  <si>
    <t>How to reduce #stress : Focus on your positive goal &amp; don't be distracted by negative things that are not your business. Only blocks you encounter on your way to your goal are worth cleaning up. #energysaver #selfcare #selflove #awareness #helperfatigue #burnout #mentalhealth</t>
  </si>
  <si>
    <t>https://pbs.twimg.com/media/EOZPIJ1W4AAq6Bb.jpg</t>
  </si>
  <si>
    <t>Nederland</t>
  </si>
  <si>
    <t>Turn inward, there is where you find your answers. Coaching to help you regain your balance &amp; strength. #parenting #healingart #health #mom #positivity</t>
  </si>
  <si>
    <t>Linda Becker</t>
  </si>
  <si>
    <t>Now at the #ForDigitHealth Biomarker-Workshop, Nicolas Rohleder is talking about the biological #stress pathways. @ForDigitHealth @BioHealthPsyFAU</t>
  </si>
  <si>
    <t>https://pbs.twimg.com/media/EOZPCbRXUAARGrE.jpg</t>
  </si>
  <si>
    <t>Bayern, Deutschland</t>
  </si>
  <si>
    <t>Health Psychology, FAU Erlangen-Nürnberg, research interests: stress, health, and cognition</t>
  </si>
  <si>
    <t>Life Sorted</t>
  </si>
  <si>
    <t>"Being in the moment has the potential to CHANGE YOUR LIFE." Our latest blog post reveals how:  #negativethinking #Blog #stress</t>
  </si>
  <si>
    <t>https://lttr.ai/MNt0</t>
  </si>
  <si>
    <t>https://pbs.twimg.com/media/EOZOsz2W4AUNVC3.png</t>
  </si>
  <si>
    <t>Mind in Focus</t>
  </si>
  <si>
    <t>The mind is not in anyway separate from the body. That old belief has caused us a lot on mental and physical health trouble. It is time to update our beliefs. #mentalhealth #stress #depression #anxiety</t>
  </si>
  <si>
    <t>https://lnkd.in/g4x85pA</t>
  </si>
  <si>
    <t>Windsor, England</t>
  </si>
  <si>
    <t>Individual #counselling, #hypnotherapy and #parentingsupport. Making parenting less stressful and more effective.</t>
  </si>
  <si>
    <t>http://www.mindinfocus.co.uk</t>
  </si>
  <si>
    <t>Things About God</t>
  </si>
  <si>
    <t>Never More Urgently Needed GOD'S PLAN TO HELP THE POOR ▸ | #work #labor #success #choices #stress #poverty</t>
  </si>
  <si>
    <t>http://dld.bz/dhGew</t>
  </si>
  <si>
    <t>The Word of God is the Foundation of  Knowledge</t>
  </si>
  <si>
    <t>Family, education, religion, prayer, faith, forgiveness, pleasure, work, friends, happiness, hope, prosperity, success, courage. World News and Bible Prophecy.</t>
  </si>
  <si>
    <t>“The 3 Things That Helped Me Finally Stick with Meditation”  meditation mindfulness #stress peace</t>
  </si>
  <si>
    <t>Are you taking time each day to care for yourself and your mind? This @thrive article explores ways to #calm your body and mind naturally  including talking to us! If you need help with workplace #stress call now on 03444 775774 #stress #anxiety</t>
  </si>
  <si>
    <t>http://ow.ly/TM3v50xWQkl</t>
  </si>
  <si>
    <t>Laura James</t>
  </si>
  <si>
    <t>My #firstauthor publication is out in @PLOSONE 🙌 #bumblebee 'signatures' adhere to a #powerlaw that describes hidden regularities. Abnormal 'signatures' could give insight into effects of #sublethal #stress on #bees 🐝🐝🐝 check it out now: @Rothamsted</t>
  </si>
  <si>
    <t>https://journals.plos.org/plosone/article?id=10.1371/journal.pone.0226393</t>
  </si>
  <si>
    <t>Harpenden</t>
  </si>
  <si>
    <t>What I'm currently Buzzing 🐝 about. PhD bumblebee researcher at Rothamsted. Twinning 👯‍♀️, winning 🏆 and grinning 😁 at life #SciComm 🙌🏻 #beelife 🐝</t>
  </si>
  <si>
    <t>https://laurasecologyonthego.wordpress.com/</t>
  </si>
  <si>
    <t>Just Tiki</t>
  </si>
  <si>
    <t>5 Easy Tips For A #Stress Free #Christmas  #dealingwithstress</t>
  </si>
  <si>
    <t>http://bit.ly/2oyvgGO</t>
  </si>
  <si>
    <t xml:space="preserve">South East </t>
  </si>
  <si>
    <t>A beauty, healthy hair &amp; lifestyle blogger. A product junkie chatting about hair &amp; makeup reviews, tips, looks, etc. Email: info@justtiki.com</t>
  </si>
  <si>
    <t>http://www.justtiki.com</t>
  </si>
  <si>
    <t>Jay Reezy</t>
  </si>
  <si>
    <t>“You are the biggest enemy of your own sleep” #PonderThis #insomnia #anxiety #sleep #migrain #chronicpain #cancer #depression #blunkdos #kkliforce #diabetes #susahtidur #vertigo #spoonie #cbd #darahtinggi #kalungkesehatan #anemia #sembelit #sakitsendi #stress #lsw</t>
  </si>
  <si>
    <t>pic.twitter.com/UiOGgu7B2W</t>
  </si>
  <si>
    <t>Reezyville</t>
  </si>
  <si>
    <t>Radio Personality/Singer/Songwriter/Producer Credits: TLC, 112, Meek Mill, TI Bow Wow Jermaine Dupri B. Cox CEO of 720 Ent. Group Contact: reezyfans@gmail.com</t>
  </si>
  <si>
    <t>http://www.reverbnation.com/jayreezybsmg</t>
  </si>
  <si>
    <t>Anne Williams</t>
  </si>
  <si>
    <t>This is a useful and important thread. Get to know yourself and watch out for warning signs for burn out which can creep up on you and be an issue before you know it #burnout #wellbeing #stress RT @careerconversa1: If you ever suffered from burn out, what were early signs? Let's do a thread to detect warning signs early and act on them before it is too late. @AcademicChatter #phdchat #phdlife</t>
  </si>
  <si>
    <t>https://twitter.com/careerconversa1/status/1217407077343289345</t>
  </si>
  <si>
    <t>Nursing Professor, Murdoch University, Western Australia. Tweeting about Health, Wellbeing, and Nursing. Views expressed are my own.</t>
  </si>
  <si>
    <t>The Wellbeing Blogger 🌻</t>
  </si>
  <si>
    <t>Things that helped me break the cycle of #stress, #anxiety &amp; #depression I was in: 🍃 A more meaningful job 🍃 A sense of community 🍃 Journalling 🍃 Being “good busy” 🍃 Physical activity 🍃 Self-love* *self-love being respect, acceptance &amp;amp; care for yourself 🤲🏻 It takes time.</t>
  </si>
  <si>
    <t>https://pbs.twimg.com/media/EOZJALLXkAAEcCx.jpg</t>
  </si>
  <si>
    <t>Europe</t>
  </si>
  <si>
    <t>Portuguese | Founder of @theWblogger | Positive Psychologist | Wellbeing Coach &amp; Teacher | Bodybuilder Rookie Level 🌻 Contact: thewellbeingblogger@gmail.com</t>
  </si>
  <si>
    <t>http://www.thewellbeingblogger.com</t>
  </si>
  <si>
    <t>We design our workshops to help build an understanding of the causes of stress and pressure, at work and outside of work. Our stress management #workshop helps managers feel more competent and confident in dealing with #stress -</t>
  </si>
  <si>
    <t>http://bit.ly/2Xj2z2O</t>
  </si>
  <si>
    <t>https://pbs.twimg.com/media/EOZG9XfWsAEQhan.jpg</t>
  </si>
  <si>
    <t>Manakriti Clinic</t>
  </si>
  <si>
    <t>What is depression and what can I do about it? Depression is treatable, and managing symptoms usually involves three components: Support * Psychotherapy * Drug treatment ..!  +91 9377442021 info@manakriticlinic.com #stress #tension #depression #lowmood</t>
  </si>
  <si>
    <t>http://www.manakriticlinic.com/depression/</t>
  </si>
  <si>
    <t>https://pbs.twimg.com/media/EOZCzdwVAAEbLd_.jpg</t>
  </si>
  <si>
    <t>Vastrapur, Ahmadabad City</t>
  </si>
  <si>
    <t>#Homeopathic / #Homeopathy #Clinic Vastrapur and Satellite, Ahmedabad. #Hair #Skin #Psychologist Clinic Call: +919377442021 Email: info@manakriticlinic.com</t>
  </si>
  <si>
    <t>http://www.manakriticlinic.com/</t>
  </si>
  <si>
    <t>Afiniki Akanet</t>
  </si>
  <si>
    <t>For all the stressed #professionals who have made it to another day at work, keep your head up. Life can be good. Check out #stress and #time management tips in Life Without #Coffee by Dr Afiniki Akanet on Amazon etc  @BBCCovWarks @AduduTrish</t>
  </si>
  <si>
    <t>http://Afiniki.co.uk</t>
  </si>
  <si>
    <t>https://pbs.twimg.com/media/EOZCcthWAAASRrO.jpg</t>
  </si>
  <si>
    <t>Wife, Mother, UK Medical Doctor, Author, Founder of Forte Charity for Inspiration and http://Evasitters.co.uk #happinessOverStress #LWClaunch</t>
  </si>
  <si>
    <t>http://www.afiniki.co.uk</t>
  </si>
  <si>
    <t>Reshmi Patel</t>
  </si>
  <si>
    <t>🧠 Once we learn how to train our mind and our emotions, everything else will begin to fall into place. - #ThursdayThoughts #Mindset #MentalHealth #Challenges #Stress #LifeLessons #Psychology #PersonalDevelopment #Entrepreneur #Teacher #LifeCoach #ReshmiPatel</t>
  </si>
  <si>
    <t>https://pbs.twimg.com/media/EOZB-ThWsAAA3kX.png</t>
  </si>
  <si>
    <t>Never Give Up | Smile | Create Moments 👏 Founder @KeySoundsUK | Mental Health Coach</t>
  </si>
  <si>
    <t>http://www.keysoundsuk.com</t>
  </si>
  <si>
    <t>Britt (MaidenWarrior)</t>
  </si>
  <si>
    <t>#skincancer #biopsies. Results back in a week. #psoriasis all down the backs of my legs. My #specialist says it’s due to #stress. #Awesome.</t>
  </si>
  <si>
    <t>https://pbs.twimg.com/media/EOZAugwVUAAYbnr.jpg</t>
  </si>
  <si>
    <t>Coffs Harbour, New South Wales</t>
  </si>
  <si>
    <t>#ResistanceinOz. Full contact🥋black belt, live on Gumbaynggirr land. Atheist, Mum of two, I’m always leaning left &amp; I hate the LNP. 👩🏻‍⚕️ Theatre Nurse.</t>
  </si>
  <si>
    <t>StreamlionConsulting</t>
  </si>
  <si>
    <t>I rather like this way of putting it - be responsive, and not reactive. #stress #mentalhealth</t>
  </si>
  <si>
    <t>http://bit.ly/2NoTuT8</t>
  </si>
  <si>
    <t>Helping start-ups and established companies find and secure funding to enable operational success and growth through strategy, business planning and sales.</t>
  </si>
  <si>
    <t>http://www.streamlionconsulting.com</t>
  </si>
  <si>
    <t>Best 5 Essential Oils For Depression, Stress, and Anxiety  via @niharikaverma95 #essentialoilsfordepression #depression #stress #anxiety #essentialoils #stressmanagement</t>
  </si>
  <si>
    <t>https://www.thepinkvelvetblog.com/2020/01/essential-oils-for-depression.html</t>
  </si>
  <si>
    <t>IncomeRoute: Roy Kruse</t>
  </si>
  <si>
    <t>https://pbs.twimg.com/media/EOY_PW9XkAAfiZA.jpg</t>
  </si>
  <si>
    <t>Milton Keynes, UK</t>
  </si>
  <si>
    <t>Wakeboarder, #Entrepreneur, Learn How To Create An Awesome #Lifestyle &amp; Profitable #OnlineBusiness From Scratch! https://awesomelifestylebusiness.com/start/home</t>
  </si>
  <si>
    <t>https://awesomelifestylebusiness.com</t>
  </si>
  <si>
    <t>YOU CAN CONQUER YOUR FEARS! ▸ | #cope #goals #stress #family #job #success #health</t>
  </si>
  <si>
    <t>http://dld.bz/dhGap</t>
  </si>
  <si>
    <t>If today is the day you’ve decided to give up #stress for good. I can help.  #stress</t>
  </si>
  <si>
    <t>http://www.maxkirsten.com/relax/index.asp</t>
  </si>
  <si>
    <t>https://pbs.twimg.com/media/EOY9nrQWsAE2IB7.jpg</t>
  </si>
  <si>
    <t>TLLLFoundation</t>
  </si>
  <si>
    <t>Although what contributes to stress can vary from person to person, it largely depends on one's social or economic circumstance, the environment they live in, and more. If you know someone who shows signs of stress, we urge them to seek help. Link in bio. #SAD #Stress</t>
  </si>
  <si>
    <t>https://pbs.twimg.com/media/EOY9narU0AAPRcv.jpg</t>
  </si>
  <si>
    <t>The Live Love Laugh Foundation. An initiative by Deepika Padukone. Launched on 10th October, 2015 to create awareness around mental health.</t>
  </si>
  <si>
    <t>http://bit.ly/TLLLLectureSeries</t>
  </si>
  <si>
    <t>Schlogasticbooks</t>
  </si>
  <si>
    <t>Can't #stress how #important good #editing is for your #book #emailme today and send your #manuscript for #free #proofreading today!! #writingcommunity #writerscommunity #writingofinstagram #proofread #proofread</t>
  </si>
  <si>
    <t>https://www.instagram.com/p/B7X8qRKJPFM/?igshid=v86p130xt291</t>
  </si>
  <si>
    <t>A publishing company that wants to help clients. We publish and edit your book for free. For more info http://www.schlogasticbooks.com</t>
  </si>
  <si>
    <t>https://pbs.twimg.com/media/EOY9j-lXkAE1h0X.jpg</t>
  </si>
  <si>
    <t>Karina Fawcett</t>
  </si>
  <si>
    <t>Seven excellent reasons to choose a massage. Contact me or @ChiroCrosby for more information on relaxology treatment #massage #stress #selfcare #muscles</t>
  </si>
  <si>
    <t>https://pbs.twimg.com/media/EOY6eGXXUAAHG6n.jpg</t>
  </si>
  <si>
    <t>Liverpool 60 Rodney Street</t>
  </si>
  <si>
    <t>I am a reflexologist, aromatherapist and massage therapist, helping people to de-stress. I am also a grief and trauma therapist. Business account</t>
  </si>
  <si>
    <t>http://chirocrosby.com</t>
  </si>
  <si>
    <t>Billionaire Of 2020</t>
  </si>
  <si>
    <t>#KISS can remove #stress and #anger, but dont forget that excess Kiss can also remove clothes, #GOOD_morning😃😃😃😃😃🤗</t>
  </si>
  <si>
    <t>London/Abuja,Nigeria</t>
  </si>
  <si>
    <t>Down To earth lady</t>
  </si>
  <si>
    <t>http://www.Mimieng.com</t>
  </si>
  <si>
    <t>faithnicole</t>
  </si>
  <si>
    <t>Tomorrow at 8am I have my infusion and have an anxiety attack about it now..... #sleepless #StayCalm #stress #ms #mswarrior</t>
  </si>
  <si>
    <t>https://pbs.twimg.com/media/EOY1x5IUYAAgQSF.jpg</t>
  </si>
  <si>
    <t>MS warrior government relations and advocacy council member MS bike Commitee chair holder outdoors advocate</t>
  </si>
  <si>
    <t>The PhD Parent</t>
  </si>
  <si>
    <t>Burnout is real and it can be debilitating. Many of us have suffered #burnout, myself more than once. What strategies are you using to avoid burnout and what #stress management techniques or tools do you use? @AcademicChatter #academictwitter #phdparent #phdmum #phdmom #phdchat</t>
  </si>
  <si>
    <t>A supportive space for parents/carers in #highereducation (any level!). Tag us with #ThePhdParent or @parent_phd. Founded by @LouiseJupe. Join the forum below!</t>
  </si>
  <si>
    <t>https://the-phd-parent.mn.co</t>
  </si>
  <si>
    <t>PeaceMaking ...is The Most Stressful Calling on Earth. #drMM #pastor #legal #stress</t>
  </si>
  <si>
    <t>About to sell out! Only 2️⃣ spaces left to attend this professional development course for this Monday! For more information visit here:  #resilience #wellbeing #development #pressure #stress</t>
  </si>
  <si>
    <t>http://bit.ly/2VXPAU7</t>
  </si>
  <si>
    <t>https://pbs.twimg.com/media/EOY0Yc5WoAAOLLd.jpg</t>
  </si>
  <si>
    <t>NCC Education</t>
  </si>
  <si>
    <t>#Stress isn't always a bad thing; it can be handy for a burst of extra #energy and #focus, like when you're playing a #competitive sport or have to #speak in public. But when it's continuous, it actually begins to #change your #brain via @TEDTalks.</t>
  </si>
  <si>
    <t>https://buff.ly/2F3kQJh</t>
  </si>
  <si>
    <t>https://pbs.twimg.com/media/EOY0OoFWoAAJxxL.jpg</t>
  </si>
  <si>
    <t>Manchester, United Kingdom</t>
  </si>
  <si>
    <t>Founded in 1966, we are a UK awarding body and global provider of British education in Computing and Business. Creators of #DigiNCCEDU</t>
  </si>
  <si>
    <t>http://www.nccedu.com</t>
  </si>
  <si>
    <t>Anna Woodward Reflexology</t>
  </si>
  <si>
    <t>Come over and put your feet up. #reflexology is a wonderful way to reduce the signs and symptoms of stress and anxiety. It also feels amazing. #stress #anxiety #relaxation</t>
  </si>
  <si>
    <t>https://pbs.twimg.com/media/EOYy1ABWAAIeIOX.jpg</t>
  </si>
  <si>
    <t>Treatment room in E17 and home visits in E17, E4, E10 and E11.</t>
  </si>
  <si>
    <t>Specialise in the reduction of stress symptoms, and women’s hormonal health including fertility/conception and the menopause. Qualified Reflexologist MAR.</t>
  </si>
  <si>
    <t>http://annawoodwardreflexology.com</t>
  </si>
  <si>
    <t>https://www.podbean.com/eau/pb-esv4x-cc5812</t>
  </si>
  <si>
    <t>We have had outstanding results delivering Dr Stephen Porges Safe and Sound Protocol music therapy. Here, he shares the importance of this ground breaking intervention. How can we help you?  #Stress #Anxiety #Trauma #PTSD #Wellbeing #MentalHealth</t>
  </si>
  <si>
    <t>http://ht.ly/cHJg30q9RRM</t>
  </si>
  <si>
    <t>10 Quick &amp; Dirty Tricks To Improve Your Mental Health Today! ▸  #meditation #Stress #MentalHealth</t>
  </si>
  <si>
    <t>https://pbs.twimg.com/media/EOYvQ2AX0AAdUFT.jpg</t>
  </si>
  <si>
    <t>Havisham Hypnotherapy</t>
  </si>
  <si>
    <t>My name is Caron Iley, I am a Solution Focused Hypnotherapist and I can help you with Anxiety. If you would like more information then please contact me on 07580 041394 🧡 #anxiety #stress #solutionfocusedhypnotherapy #hypnotherapyworks #boltonhypnotherapy #bolton #hypnotherapist</t>
  </si>
  <si>
    <t>https://pbs.twimg.com/media/EOYtZHsWoAAqcBI.jpg</t>
  </si>
  <si>
    <t>Hypnotherapy Health</t>
  </si>
  <si>
    <t>https://www.havishamhypnotherapy.co.uk/</t>
  </si>
  <si>
    <t>Integral Health</t>
  </si>
  <si>
    <t>This 2½-day experiential workshop is perfect if you want to deepen your existing TRE® practice or are new to TRE® and want to learn how you can use this simple technique to enhance your own health, healing and self-care. #TRE #Stress #Tension #Trauma</t>
  </si>
  <si>
    <t>https://pbs.twimg.com/media/EOYqfN-XUAYB61G.jpg</t>
  </si>
  <si>
    <t>#Coach Ingrid Regenass | Integral Health Practitioner | TRE® CertificationTrainer | Mindfulness Teacher (MBSR). #Mindfulness #TRE</t>
  </si>
  <si>
    <t>https://www.integralhealth.co.za/</t>
  </si>
  <si>
    <t>Nathan Praed</t>
  </si>
  <si>
    <t>Faces of Attempted Suicide | Men's Health UK  #Anxiety #Depression #Stress</t>
  </si>
  <si>
    <t>https://man-health-magazine-online.com/stress-management/anxiety-depression/faces-of-attempted-suicide-mens-health-uk-2/</t>
  </si>
  <si>
    <t>Hey! Name's Nate. I'm a health &amp; lifestyle blogger, into bodybuilding, fitness workouts, fat loss diets, supplements, men's fashion, style, grooming, etc.</t>
  </si>
  <si>
    <t>https://man-health-magazine-online.com</t>
  </si>
  <si>
    <t>Grounding - Another Way to Cope With Stress  #stressmanagement #stress #mentalhealth #grounding</t>
  </si>
  <si>
    <t>https://buff.ly/2WJHnBZ</t>
  </si>
  <si>
    <t>https://pbs.twimg.com/media/EOYp5GhXUAAFZ3-.png</t>
  </si>
  <si>
    <t>Paula Meir</t>
  </si>
  <si>
    <t>Seriously we worry too much about what other people think of us! #mentalhealth #stress #wellbeing #coaching #yourlifeyourway #ThursdayMotivation</t>
  </si>
  <si>
    <t>https://pbs.twimg.com/media/EOYoJE7WAAA1VD4.jpg</t>
  </si>
  <si>
    <t>Norwich &amp; London.</t>
  </si>
  <si>
    <t>Passionate about mental health, author, exec coaching, clinical hypnotherapist . All enquiries (consultancy, speaking, personal appts,) contact via website. 😃</t>
  </si>
  <si>
    <t>http://paulameir.com</t>
  </si>
  <si>
    <t>AurelG</t>
  </si>
  <si>
    <t>#Stress, #anxiety, harassment: huge survey reveals pressures of scientists’ working lives | #mentalhealth #pressure #research #work</t>
  </si>
  <si>
    <t>PhD+PharmD / Fondateur @ Latitude77 &amp; titulaire de la Chaire d'Anthropologie Organisationnelle @ Fondation aaa</t>
  </si>
  <si>
    <t>Dr CherylChapman</t>
  </si>
  <si>
    <t>Here is a video to show you why The Find your WHY! Foundation Retreats &amp; Workshops are a place for beating #stress,#development, and growth while having fun and relaxing with the #community of like-minded women.  #FindYourWHY</t>
  </si>
  <si>
    <t>http://bit.ly/2mAdjsL</t>
  </si>
  <si>
    <t>TEDxAinleyTopWomen Event Organiser International Multi award winning speaker &amp; trainer-Helping you with clarity &amp; confidence #Findyourwhy #bewhoyouwereborntobe</t>
  </si>
  <si>
    <t>http://cheryl-chapman.com</t>
  </si>
  <si>
    <t>George Kousouros</t>
  </si>
  <si>
    <t>A key question to ask yourself as 2020 kicks off is: do you really need to be so busy?  #worklifebalance #stress #stressmanagement #mentalhealth #work #mindfulness #wellbeing</t>
  </si>
  <si>
    <t>http://ow.ly/HHAz30q75eZ</t>
  </si>
  <si>
    <t>Helping people realise their superpowers through energising leadership, education and coaching</t>
  </si>
  <si>
    <t>#quote Worry is the interest paid by those who borrow trouble - George Washington. #stress</t>
  </si>
  <si>
    <t>HS</t>
  </si>
  <si>
    <t>#SHE would scrub #HER skin raw, #SHE would scratch and/or pick at anything, #SHE would raise her feet and shake #HER knees...#SHE has several indicators that #SHE is thinking about #POST #TRAUMA AND THEE #STRESS IT CAUSES #PERIOD</t>
  </si>
  <si>
    <t>IN A SIGABA/TYPEX MIND OF MINE</t>
  </si>
  <si>
    <t>HOME OF EYE. HER. SHE. ME. WE. THE LOUDEST #SILENTMOVEMENT IN HISTORY. PEACE &amp; WORLD UNITY. LOCATION: IN A SIGABA/TYPEX MIND OF MINE ~</t>
  </si>
  <si>
    <t>HI! Thomas Franke</t>
  </si>
  <si>
    <t>Tell me #one #reason to go to #HCII this year in #Copenhagen! The invited session on #HumanEnergy! ;-) 6 #talks with #Flow #Stress #Gamification #Music #Locomotion #Metaphors and #Interfaces #Psychology meets #HumanCentred #Design #HCI @hciinews @WeigeltOliver</t>
  </si>
  <si>
    <t>https://pbs.twimg.com/media/EOYgjuWXkAQ-bnF.jpg</t>
  </si>
  <si>
    <t>Lübeck, Germany</t>
  </si>
  <si>
    <t>Engineering psychologist who aims to bring data to life and find the ultimate metric of "good" technology. #Sustainable #Digital #Humanity</t>
  </si>
  <si>
    <t>http://www.engineering-psychology.org</t>
  </si>
  <si>
    <t>CE Publications</t>
  </si>
  <si>
    <t>Celenic Earth Publications is happy to announce that we are collaborating with Serbian-born Suzana Sjenicic in order to bring her book about anxiety to the English world! #health #stress #paperback #ebook #Serbia #UnitedStates #publishing #pressrelease</t>
  </si>
  <si>
    <t>http://bit.ly/30rMj1S</t>
  </si>
  <si>
    <t>South African publishing company that publishes media like books, games, music, film scripts and comics all over the world</t>
  </si>
  <si>
    <t>“5 Tips for Starting a #Mindfulness #Meditation Practice and Staying Motivated.”  #motivation #stress</t>
  </si>
  <si>
    <t>Puff Puff Pass It</t>
  </si>
  <si>
    <t>Smoke more, stress less #stress #anxiety #relax #weed #marijuana #cure #medicine #CannabisCommunity #cannabisculture #cannabis #smoker #life</t>
  </si>
  <si>
    <t>Sacramento, CA</t>
  </si>
  <si>
    <t>Official Twitter for http://www.PuffPuffPassIt.com 📦Shipping Worldwide 🔶Your One Stop Smoke Shop Online 📸Instagram: puffpuffpassit</t>
  </si>
  <si>
    <t>http://www.puffpuffpassit.com</t>
  </si>
  <si>
    <t>Come along to Bracknell Open Learning Centre at 6.30pm this evening for our #FREE Stress Less Workshop which will teach you ways to manage #stress over the next 4 weeks! Check out our website for more information.</t>
  </si>
  <si>
    <t>https://pbs.twimg.com/media/EOYYvxVWoAEFF7E.png</t>
  </si>
  <si>
    <t>The Importance and the Benefits Derived by Cycling See:  @isrgrajan #ThursdayMotivation #IsrgRajan #Abs #biceps #bicycle #bike #club #Cycle #excercise #fitness #men #ride #six_packs #Society #Stress #tall #Technology</t>
  </si>
  <si>
    <t>https://pbs.twimg.com/media/EOYYss_UEAAqmDt.jpg</t>
  </si>
  <si>
    <t>SocialAppHub</t>
  </si>
  <si>
    <t>No More Tension app helps understand and tackle stress by providing details for the cause of stress based on the user’s answers to the questionnaire. Download Now:  #SocialAppHub #Tech4Life #stressmanagement #stressrelief #HealthTech #socialimpact #stress</t>
  </si>
  <si>
    <t>http://bit.ly/2FQqZJI</t>
  </si>
  <si>
    <t>https://pbs.twimg.com/media/EOYYpV3UcAAtQWZ.jpg</t>
  </si>
  <si>
    <t>दिल्ली, भारत</t>
  </si>
  <si>
    <t>Digital knowledge platform for social impact | An initiative of Vodafone Foundation &amp; NASSCOM Foundation</t>
  </si>
  <si>
    <t>http://socialapphub.com</t>
  </si>
  <si>
    <t>ORCHID SQUARE</t>
  </si>
  <si>
    <t>Relaxed Benefits!! Our #Ayurvedic spa #massages come at #attractive non-seasonal prices. Relieve that #stress away with a professional masseuse using #traditionaltechniques and #oils....! Visit:</t>
  </si>
  <si>
    <t>http://www.orchidsquare.in</t>
  </si>
  <si>
    <t>https://pbs.twimg.com/media/EOYWuYHVAAEQBTF.jpg</t>
  </si>
  <si>
    <t>Coonoor, Tamilnadu.</t>
  </si>
  <si>
    <t>Amidst the Scenic, Green &amp; Oxyrich Coonoor, we have created a destination, “Orchid Square – A Boutique Hotel</t>
  </si>
  <si>
    <t>http://orchidsquare.in/</t>
  </si>
  <si>
    <t>Jay Dee</t>
  </si>
  <si>
    <t>It can get stressful when you’re waiting for an MRI...😳 Hope it all goes well...🙏🏼 #Stress #Worried #SendGoodVibes @ Downey MRI Center</t>
  </si>
  <si>
    <t>https://www.instagram.com/p/B7XolcrA-tN/?igshid=1luhppv084hgx</t>
  </si>
  <si>
    <t>Carss Purugganan</t>
  </si>
  <si>
    <t>Great job guysss!!! One more day to go!!!! Good luck bbs 😘🙏 #exams #stress #studying</t>
  </si>
  <si>
    <t>It constantly happens that the Lord permits the soul to fall so that it may grow humbler ~ St. Teresa of Avila</t>
  </si>
  <si>
    <t>CBD has the efficacy to reduce Anxiety and its effects on your health. Anxiety is found in almost the four persons in America. It is associated with unwanted fear that haul on your overall physical and mental functioning.  #health #stress #anxietytreatment</t>
  </si>
  <si>
    <t>https://pbs.twimg.com/media/EOYULrpX4AAti0q.jpg</t>
  </si>
  <si>
    <t>Sitapur Eye Hospital</t>
  </si>
  <si>
    <t>When you’re stressed out for a long time it can cause serious strain on your eyes. The muscles in and around your eyes can tighten, causing twitching and soreness. . . . . #eyecare #eyesight #clearvision #stress #eyestrain #eyemuscles #prevention #eyehealth #sitapureyehospital</t>
  </si>
  <si>
    <t>https://pbs.twimg.com/media/EOYTgLvUEAAv4Hh.jpg</t>
  </si>
  <si>
    <t>Sitapur, India</t>
  </si>
  <si>
    <t>#SitapurEyeHospital (SEH) has been a leading eye institute of North India since http://1935.Today we serve more than 32 cities and towns.</t>
  </si>
  <si>
    <t>https://sitapureyehospital.org/latest_causes</t>
  </si>
  <si>
    <t>366in2020</t>
  </si>
  <si>
    <t>Day 15 and belated day 14. Already missed a day. Missed an amazing #azsunset tonight. Spent 10 hours indoors, working. I know #stress is blooming again, as I'm having (thankfully) minor gi discomfort. #parenting is hard. #lifeishard #mentalhealth #writing</t>
  </si>
  <si>
    <t>Trying something new</t>
  </si>
  <si>
    <t>Emily Louise Lisle</t>
  </si>
  <si>
    <t>4 months to my big day and I'm not ready at all. I am worried I've not got everything and panicking over missing out on stuff. So stressful but I want my big day to be perfect! I know I'm just going to mess up something important I can feel it. #wedding #stress</t>
  </si>
  <si>
    <t>Haverfordwest, Wales</t>
  </si>
  <si>
    <t>Recovering mute, with fibromyalgia, streamer and gamer, I play various games but mostly @RuneScape. Massive Doctor Who fan and avid lgbta supporter!</t>
  </si>
  <si>
    <t>https://www.twitch.tv/emilylisle</t>
  </si>
  <si>
    <t>NESSSSSAAAAA 🐍</t>
  </si>
  <si>
    <t>#STRESS will hold you back let anything in the way of your #HAPPINESS go 💯</t>
  </si>
  <si>
    <t>AMOS:xoar21 | IG: __prettynessssssss</t>
  </si>
  <si>
    <t>Toby Bartle</t>
  </si>
  <si>
    <t>Grateful for the opportunity to discuss my #PhD research on #stress, #motivation, and #executivefunction in this months #Blog post from @CANTABconnect at Cambridge Cognition. Read more:  @AcademicChatter @PhDForum @JCU_GRS</t>
  </si>
  <si>
    <t>https://bit.ly/3agOARF</t>
  </si>
  <si>
    <t>Cairns, Queensland</t>
  </si>
  <si>
    <t>Interdisciplinary PhD Student studying stress, motivation and executive function // Registered Psychologist (Provisional) // Music addict, Shoes optional //</t>
  </si>
  <si>
    <t>FinancialSocialWork</t>
  </si>
  <si>
    <t>#Doctors Taking# Financial #Stress Out Of #Health Equation -   #socialwork #financialsocialwork #financialstress</t>
  </si>
  <si>
    <t>http://DiscoverWestman.com
https://buff.ly/36X8zTC</t>
  </si>
  <si>
    <t>https://pbs.twimg.com/media/EOYLc5mWoAA46OY.jpg</t>
  </si>
  <si>
    <t>Asheville, North Carolina, USA</t>
  </si>
  <si>
    <t>For over twenty years, we have been creating products and programs that improve financial wellbeing.</t>
  </si>
  <si>
    <t>https://financialsocialwork.com/downloads/financial-social-work-certification</t>
  </si>
  <si>
    <t>Mona Alsalmi🍃</t>
  </si>
  <si>
    <t>The #deadlines never end. As soon as something is submitted, another deadline is waiting to replace it.If we #stress out about deadlines, we’ll always be stressed.Try learning to plan out how nd when things will get done and then let #go of the stress. #Not_perfect, but #better’</t>
  </si>
  <si>
    <t>‏🇸🇦🇸🇦</t>
  </si>
  <si>
    <t>There is nothing wrong with cherry-picking the cool stuff.. #أكاديمية</t>
  </si>
  <si>
    <t>https://sarhny.com/Mo_Oth1</t>
  </si>
  <si>
    <t>TheRealTeresaEwers</t>
  </si>
  <si>
    <t>Nighttime workout. Need to release. #therealteresaewers #thehustle #stress #release @ Defined Fitness Juan Tabo</t>
  </si>
  <si>
    <t>https://www.instagram.com/p/B7XgcODFwXu/?igshid=5m21im7857di</t>
  </si>
  <si>
    <t>Albuquerque, NM</t>
  </si>
  <si>
    <t>I'm a student of the hustle - self-educated and lovin' the growth.</t>
  </si>
  <si>
    <t>How to Prevent and Battle Health Risks That Come with Financial Stress  #financialstress #stress #stressmanagement #health #blogger #healthrisks #healthcare #anxiety</t>
  </si>
  <si>
    <t>Some Bad Habits Which Can Actually Help Us To Become Successful In Our Life See:  @isrgrajan #ThursdayMotivation #IsrgRajan #bad_habits #Career #Daydreaming #goals #Stress #talking</t>
  </si>
  <si>
    <t>https://isrg.me/0ifDTc</t>
  </si>
  <si>
    <t>https://pbs.twimg.com/media/EOYEGvXUwAEHDlw.jpg</t>
  </si>
  <si>
    <t>Dr. Chris Carreira</t>
  </si>
  <si>
    <t>#Stress Shortens Life  #aging #longevity #mentalhealth</t>
  </si>
  <si>
    <t>http://bit.ly/2c4JOdR</t>
  </si>
  <si>
    <t>Windsor, Ontario</t>
  </si>
  <si>
    <t>#Clinical #Psychologist, works with #children #teens #adults #couples #families #veterans in #Windsor, #ON 226-620-0550 www.drchriscarreira</t>
  </si>
  <si>
    <t>https://www.drchriscarreira.com</t>
  </si>
  <si>
    <t>Anna Page (TheAwkwardArmadillo)</t>
  </si>
  <si>
    <t>Amazing candles and more! A great time for relaxation and mental health. #MentalHealthAwareness #mentalhealth #relax #relaxation #gifts #romance #nightShift #stress #candles #treats #business @caitelle1</t>
  </si>
  <si>
    <t>https://theawkwardarmadillo.com/what-a-wonderful-scent-of-life-caitelle/</t>
  </si>
  <si>
    <t>https://pbs.twimg.com/media/EOX_7-1W4AAp8ry.jpg</t>
  </si>
  <si>
    <t>Illinois</t>
  </si>
  <si>
    <t>The Awkward Armadillo Blog: Small Shop/Business Highlights, Reviews (beer, books, products and more) and Mental Health. #blogger #writer #poet #blogging #Blog</t>
  </si>
  <si>
    <t>http://theawkwardarmadillo.com/</t>
  </si>
  <si>
    <t>Daily Longevity</t>
  </si>
  <si>
    <t>Feeling a littler stressed out? Try these #essentialoils #stress</t>
  </si>
  <si>
    <t>https://www.oprahmag.com/beauty/skin-makeup/a25655971/essential-oils-for-stress/</t>
  </si>
  <si>
    <t>We're here to help you live life to the fullest. Daily tips and the latest news on health, wellness and happiness. It's all about you and your health.</t>
  </si>
  <si>
    <t>What’s Making Teens So Stressed At School? Here’s What Their Teachers Think — And How The Students Responded  #edcolo #teacher #stress #K12</t>
  </si>
  <si>
    <t>https://www.cpr.org/2019/12/21/whats-making-teens-so-stressed-at-school-heres-what-their-teachers-think-and-how-the-students-responded/</t>
  </si>
  <si>
    <t>Olga Serkos</t>
  </si>
  <si>
    <t>Hamilton, Ontario, Canada</t>
  </si>
  <si>
    <t>PhD Candidate in Psychology at the University of Toronto. A volunteer at CPPA. My interests are: #positivepsychology #mentalhealth #parenting #autism #ADHD</t>
  </si>
  <si>
    <t>http://www.dreampositive.info</t>
  </si>
  <si>
    <t>Health &amp; Wellness</t>
  </si>
  <si>
    <t>Deep breathing sends a message to your brain to calm down &amp; relax. The brain then sends this message to ur body #Healing #Stress #Mindfulnss</t>
  </si>
  <si>
    <t>https://pbs.twimg.com/media/EOX4FGUXUAAyUjL.jpg</t>
  </si>
  <si>
    <t>Ottawa, Canada 🇨🇦</t>
  </si>
  <si>
    <t>Trainer/Teacher 40 + yrs - Healthy eating habits/lifestyle as a way to improve overall health #Exercise #Mindfulness #Nutrition #MentalHealth #Zen #Bodybuilding</t>
  </si>
  <si>
    <t>Silke Le Fay</t>
  </si>
  <si>
    <t>#cancer #ageing #NCDs #stress #CVD #Alzheimers #health . Meditation and telomere length: a meta-analysis  Meditation affects multiple microRNAs  Meditation changes DNA (61 differentially methylated sites)</t>
  </si>
  <si>
    <t>https://www.tandfonline.com/doi/abs/10.1080/08870446.2019.1707827
https://www.sciencedirect.com/science/article/pii/S1876382018300635
https://www.sciencedirect.com/science/article/pii/S0889159119308797</t>
  </si>
  <si>
    <t>https://pbs.twimg.com/media/EOX31PUVAAA9Oen.jpg</t>
  </si>
  <si>
    <t>Melbourne, Australia</t>
  </si>
  <si>
    <t>New Earth is a frequency spectrum reality that is being populated by those who embody a high level of consciousness and expanded sensory perception.</t>
  </si>
  <si>
    <t>Myartsubmit.com</t>
  </si>
  <si>
    <t>#Stress Relief Massage as a Natural Stress Reliever #article 138367 @netdatabiz</t>
  </si>
  <si>
    <t>#SEOScore #article. A dime can save you an hour. Everyone enjoys a good read.@twitter #Marketing Success Managed by @netdatabiz @canuckclicks For #SEM</t>
  </si>
  <si>
    <t>http://myartsubmit.com</t>
  </si>
  <si>
    <t>Doug Sandler ❤</t>
  </si>
  <si>
    <t>How do we overcome our #challenges and #stress to become the best we can be? I’m going to find out by reading Olympian @esmielawrence new book! Only $.99 on @AmazonKindle today!</t>
  </si>
  <si>
    <t>https://amzn.to/2G47nTb</t>
  </si>
  <si>
    <t>https://pbs.twimg.com/media/EOX17vsWsAAVw4v.jpg</t>
  </si>
  <si>
    <t>Washington DC</t>
  </si>
  <si>
    <t>Speaker, author, podcast strategist, INC and Forbes Featured podcaster, CEO http://TurnKeyPodcast.com Nice Guys on Business host, 3+million downloads</t>
  </si>
  <si>
    <t>http://www.dougsandler.com</t>
  </si>
  <si>
    <t>Some choose #love others are made to #fight #war. #Motorism #Life #Quote #Philosophy #Quotes #Wise #Wisdom #Motivation #Inspiration #victory #triumph #Defeat #Frustration #Stress #MentalHealth #Anxiety #Fiasco #Debacle #Flop #Blunder #destiny #Spirituality #success #successquotes</t>
  </si>
  <si>
    <t>https://pbs.twimg.com/media/EOXweP2VAAEO6qd.jpg</t>
  </si>
  <si>
    <t>Andrea Harrn</t>
  </si>
  <si>
    <t>being in grass is a wonderful way to let go of #stress and feeling that connection to #MotherEarth</t>
  </si>
  <si>
    <t>http://bit.ly/moodbook</t>
  </si>
  <si>
    <t>https://pbs.twimg.com/media/EOXvqlFW4AAUl3Q.jpg</t>
  </si>
  <si>
    <t>London UK</t>
  </si>
  <si>
    <t>English Psychotherapist and Creator of The Mood Cards series of cards and books http://bit.ly/moodcards http://bit.ly/moodsbox2 http://bit.ly/moodbook http://bit.ly/TheMoodDiary</t>
  </si>
  <si>
    <t>http://www.themoodcards.com</t>
  </si>
  <si>
    <t>Brauer</t>
  </si>
  <si>
    <t>What happens to our physical health when stress shifts from occasional to seemingly unending? #stress #relax #calm #mentalhealth #brauercalm</t>
  </si>
  <si>
    <t>http://bit.ly/2su6gbG</t>
  </si>
  <si>
    <t>https://pbs.twimg.com/media/EOXsUOBWsAAXmhY.png</t>
  </si>
  <si>
    <t>Brauer - You can trust the Brauer range of natural medicine products traditionally used to help your body to overcome symptoms of illness the natural way.</t>
  </si>
  <si>
    <t>https://www.brauer.com.au/</t>
  </si>
  <si>
    <t>Paul Kemp</t>
  </si>
  <si>
    <t>http://myf.mg/9tq1</t>
  </si>
  <si>
    <t>Is this my life??? Nope, just Saved by the Bell reruns</t>
  </si>
  <si>
    <t>Johnsnow</t>
  </si>
  <si>
    <t>Pineapple Express 4 #stress #Depression #Pain #Fatigue #LackofAppetite Effects #relaxed #Happy #Euphoric #energetic #Uplifted . #CannabisNow #wakenbake #smokepot #smokeweed #stoner #StonerFam #stonercouples #stayhigh #weed #weedsociety #recreational #cannabis #wax #retweet</t>
  </si>
  <si>
    <t>https://pbs.twimg.com/media/EOXp5VzUwAAnSoZ.jpg</t>
  </si>
  <si>
    <t>USA,CANADA,UK</t>
  </si>
  <si>
    <t xml:space="preserve"> +16506847876 believewithfaith23@gmail.com Cartridges,cannabis 4 pain anxiety PTSD Crohnsdisease Alzheimersdisease Epilepsy Psychoticdisordermore Dm 4 shipx info</t>
  </si>
  <si>
    <t>TheMedicalGarden4u</t>
  </si>
  <si>
    <t>https://pbs.twimg.com/media/EOXpv2dUYAE3a9J.jpg</t>
  </si>
  <si>
    <t>United States,UK,CANADA</t>
  </si>
  <si>
    <t>believewithfaith23@gmail.com Cartridges,cannabis 4 pain anxiety PTSD Crohnsdisease Alzheimersdisease Epilepsy Psychoticdisorder/more Dm 4 shipx info</t>
  </si>
  <si>
    <t>Pelican_Freak</t>
  </si>
  <si>
    <t>https://kingsumo.com/g/9agctd/giveaway-january-2020/198d0xd</t>
  </si>
  <si>
    <t>Kissimmee</t>
  </si>
  <si>
    <t>Photographer. Social Media manager, book blogger. Proofreader, a little culinary, drawing, painting, writing... oh and PELICANS!!!</t>
  </si>
  <si>
    <t>Kati Stolee</t>
  </si>
  <si>
    <t>I accidentally started a chain reaction of conversations, and now I’m stressed, and I love/appreciate/enjoy everyone(fr✊🏼💘🤙🏼) who has messaged me....but I can not continue to talk to all at once. #STRESS 😅😅😅🤦🏼‍♀️🥴🤷🏼‍♀️😩</t>
  </si>
  <si>
    <t>Satsuma, AL</t>
  </si>
  <si>
    <t>If it’s not my name, it is LoveKAMS on most platforms! Twitter straight up deleted my main account(TheKatiOfStolee)✌🏼🌈23...since ppl think I’m a legit child😅</t>
  </si>
  <si>
    <t>Fletcher's Grove</t>
  </si>
  <si>
    <t>We're going to be so happy to get back in the van for Winter Tour! @JohnInghram #VanLife #WinterTour2020 #Winter #Tour #SupportLiveMusic #Van #Smell #Feet #Farts #Stress #MentalBreakdown #Hunger #Couch #FastFood #NoPay #Arguments #WhatTheHellAmIDoingThisFor #Fame #Fans #Grovers</t>
  </si>
  <si>
    <t>https://pbs.twimg.com/media/EOXmpXsW4AAs4zE.jpg</t>
  </si>
  <si>
    <t>West Virginia</t>
  </si>
  <si>
    <t>Fletcher's Grove is in our 11th year of making/playing high energy Appalachian Rock and Jamericana from the Mountain State of West Virginia. Groove with us!</t>
  </si>
  <si>
    <t>http://www.fletchersgrove.com</t>
  </si>
  <si>
    <t>yogahealer</t>
  </si>
  <si>
    <t>Want less stress and more #sleep? This is the #podcast episode for you.  #ayurveda #stress #insomnia #healthtips</t>
  </si>
  <si>
    <t>http://bit.ly/2QLsYp5</t>
  </si>
  <si>
    <t>Rethink Mental Health</t>
  </si>
  <si>
    <t>Dropping all the stresses and 'have too’s’ allows the mind to relax. It lets the body yield and leaves room for the soul to maneuver into situations where it can grow. #stress #MentalHealthMatters #anxietyrecovery</t>
  </si>
  <si>
    <t>https://www.rethinkstigma.org/blog/being-who-you-really-are</t>
  </si>
  <si>
    <t>Rethink Mental Health Inc is a nonprofit dedicated to stopping the stigma on people suffering from mental health issue through education &amp; empowerment</t>
  </si>
  <si>
    <t>http://Www.rethinkstigma.org</t>
  </si>
  <si>
    <t>Marcela Puig12</t>
  </si>
  <si>
    <t>Get 15% - 50 % Discount on All Products with Code 60226295 and #Save at 👍 #Supplements #Vitamins #Health #SkinCare #Vegetarian #NonGMO #Coupon #Verified #BodyBuilding #Beauty #Stress #Cholesterol #Fitness #Hormone #HealthyLiving #Omega3 #antiaging</t>
  </si>
  <si>
    <t>http://lifeextensioneurope.com</t>
  </si>
  <si>
    <t>https://pbs.twimg.com/media/EOXjAkyX0AIWQx4.jpg</t>
  </si>
  <si>
    <t>Hey</t>
  </si>
  <si>
    <t>Ayman Mukerji</t>
  </si>
  <si>
    <t>Physician burnout = A growing problem...  #burnout #wellness #mindfulness #selfcare #stress #physicianburnout #physicianwellness #residentburnout</t>
  </si>
  <si>
    <t>https://www.wsj.com/articles/physician-burnout-widespread-especially-among-those-midcareer-report-says-11579086008?fbclid=IwAR1Y2-2LgT8bAnaL7YKU8peBj0yeIItfRubK63YJQdWAmTP749ashKslH-c</t>
  </si>
  <si>
    <t>Meditator, mindfulness-biology researcher, mindfulness teacher, speaker, women's rights activist and author.</t>
  </si>
  <si>
    <t>https://www.youtube.com/watch?v=NEjHOuN5YOs</t>
  </si>
  <si>
    <t>skip-r</t>
  </si>
  <si>
    <t>SUPER NATURAL YOU &gt;  The worlds most powerful info organized simply. #empowerment #charisma #confidence #beautifulpeople #worldpeace #thefuture #simplicity #enlightenment #meditation #beautifulday #personality #seduction #business #stress #anxiety #pua</t>
  </si>
  <si>
    <t>http://skip-r.com</t>
  </si>
  <si>
    <t>https://pbs.twimg.com/media/EOXiYlkU0AAcnLb.jpg</t>
  </si>
  <si>
    <t>SUPER NATURAL YOU in one easy package .. and free! DO IT NOW .. and share it around!</t>
  </si>
  <si>
    <t>Kim Hellemans</t>
  </si>
  <si>
    <t>Gave a talk on #stress, #coping and #resilience to the @CURavens athletes tonight - excellent turnout from varsity football, hockey, Nordic skiing, rowing, soccer &amp; rugby. #1 stressor: school #1 coping strategy = emotion-focussed and avoidant Thanks for inviting me! 🧠</t>
  </si>
  <si>
    <t>https://pbs.twimg.com/media/EOXh5YZW4AAfHch.jpg</t>
  </si>
  <si>
    <t>Ottawa, Ontario</t>
  </si>
  <si>
    <t>Chair, Department of Neuroscience. Carleton University 🇨🇦. Passionate educator. Tweets about #addiction #cannabis #mentalhealth #highered #sotl Opinions mine.</t>
  </si>
  <si>
    <t>http://mindingthebrainpodcast.com</t>
  </si>
  <si>
    <t>#Stress, #Anxiety, #Depression Do you know what "Emotional Charge" is? It means "bottled up emotions". but it is also the Energy Load, in, of, and behind, an emotion or state. My blog teaches more about it, the technique that I teach, stops it.</t>
  </si>
  <si>
    <t>http://hnc-today.weebly.com/emotional-charge-page.html</t>
  </si>
  <si>
    <t>https://pbs.twimg.com/media/EOXh2g7UwAA_222.jpg</t>
  </si>
  <si>
    <t>Don't let #stress limit ur life. U can't see opportunities when worried. Look for solutions &amp; stop anxiety @</t>
  </si>
  <si>
    <t>http://bit.ly/AgeLes</t>
  </si>
  <si>
    <t>Shire Lyon</t>
  </si>
  <si>
    <t>Workouts, Nutrition, Improving Health It's so easy to feel stressed, overwhelmed and overworked. Here are 9 of the best podcasts to list to to help you feel less stressed and more relaxed. #stress #wellbeing #behappy</t>
  </si>
  <si>
    <t>https://ift.tt/382z4Ho</t>
  </si>
  <si>
    <t>https://pbs.twimg.com/media/EOXfkkTXUAE6ADY.png</t>
  </si>
  <si>
    <t>Connecticut, USA</t>
  </si>
  <si>
    <t>A working mom writing about how sharing how to get by with other parents. #organized #healthyfamilymeals #strongparent</t>
  </si>
  <si>
    <t>http://www.itsthesmallstuf.com</t>
  </si>
  <si>
    <t>Web Directory</t>
  </si>
  <si>
    <t>Looking for a way to unlock great #productivity from your team?  Specialist Liam O’Neill explains how helping your team tackle #stress &amp; #anxiety in the workplace can be a way to reach new business heights.</t>
  </si>
  <si>
    <t>https://buff.ly/2ImYzb0</t>
  </si>
  <si>
    <t>https://pbs.twimg.com/media/EOXdcdtWkAIY5rG.jpg</t>
  </si>
  <si>
    <t>http://www.in.uk.com, http://www.dir.uk.com, http://www.dir.us.com - web directories where everyone can submit their sites easily. #SEO #Marketing #Directory</t>
  </si>
  <si>
    <t>http://in.uk.com</t>
  </si>
  <si>
    <t>Twin Cities Wealth</t>
  </si>
  <si>
    <t>#Millennials' Chronic #Health Problems Will Limit Their Lifetime Earnings, Report Says  #WednesdayWisdom #healthcare #depression #mentalhealth #opiods #stress #money #personalfinance</t>
  </si>
  <si>
    <t>http://ow.ly/7c7k50xoHy6</t>
  </si>
  <si>
    <t>Maple Grove, MN</t>
  </si>
  <si>
    <t>TCWS is an Independent, @NAPFA-registered, #FeeOnly Registered Investment Advisor (RIA) #Fiduciary #financialplanning firm in the #Minneapolis - #StPaul metro</t>
  </si>
  <si>
    <t>https://www.tcwealthstrategies.com</t>
  </si>
  <si>
    <t>Aubry Fisher</t>
  </si>
  <si>
    <t>That feeling when you are tipsy and you go see a stressful movie 😂 #stress #movie #underwater #kristenstewart #omg #claustrophobic #claustrophobia #fml #imnotupforthis #justsayno #lmao #losangeles #hollywood…</t>
  </si>
  <si>
    <t>https://www.instagram.com/p/B7XLQ5pH6yD/?igshid=1ih2tejjdwscd</t>
  </si>
  <si>
    <t>LOS ANGELES</t>
  </si>
  <si>
    <t>DJ AFI (Aubry Fisher Ink) as seen on TLC'S LA INK and VH1'S ROCK OF LOVE. https://www.mixcloud.com/ladjafi/</t>
  </si>
  <si>
    <t>http://www.imdb.com/name/nm2994223/</t>
  </si>
  <si>
    <t>Michelle Munt</t>
  </si>
  <si>
    <t>The Top 2 Physical Effects of #Stress You Should Know @WholeNewMom "Here are the Top 2 Physical Effects of Stress you should know about so you can work on removing excess stress and improve your #health."</t>
  </si>
  <si>
    <t>https://wholenewmom.com/health-concerns/physical-effects-of-stress/</t>
  </si>
  <si>
    <t>East, England</t>
  </si>
  <si>
    <t>My mission as a coach is to help my fellow #braininjury survivors thrive by offering them support, &amp; empowering them to take action to succeed. #tbi #stroke</t>
  </si>
  <si>
    <t>http://www.jumbledbrain.com</t>
  </si>
  <si>
    <t>Jamie Poche</t>
  </si>
  <si>
    <t>http://hlty.us/7MfL</t>
  </si>
  <si>
    <t>https://pbs.twimg.com/media/EOXZQPyX4AQ9OyM.jpg</t>
  </si>
  <si>
    <t>New Orleans, LA</t>
  </si>
  <si>
    <t>http://www.poche.juiceplus.com</t>
  </si>
  <si>
    <t>Do you have any tried and true ways of using deep breathing to get your anxiety or stress under control? Read the full article: How to Use Deep Breathing to Beat Travel Anxiety ▸  #Anxiety #Stress #breathing</t>
  </si>
  <si>
    <t>https://lttr.ai/MNFV</t>
  </si>
  <si>
    <t>https://pbs.twimg.com/media/EOXXcwnWoAIExlP.jpg</t>
  </si>
  <si>
    <t>Dijle Koont</t>
  </si>
  <si>
    <t>Do it today worry tomorrow @NalanKumlali @EverydayHealth @womenshealth @ufukunt @happygolooney1 @everwellforlife @eceemre @TurkishMagazine @WHO #reiki #eft #Md #relax #love #stress #anxiety #work #gym #exercise</t>
  </si>
  <si>
    <t>C.H.T, Reiki, EFT, Body Syndromes</t>
  </si>
  <si>
    <t>http://www.dijlekoont.com</t>
  </si>
  <si>
    <t>Insperity</t>
  </si>
  <si>
    <t>This Genius Process for Prioritizing Reduces #Stress and Increases #Productivity  via @Entrepreneur</t>
  </si>
  <si>
    <t>http://ow.ly/hBwo30q7gNa</t>
  </si>
  <si>
    <t>Insperity provides #HR solutions for America’s best businesses. #SmallBiz #Entrepreneur #AmericanDreamers</t>
  </si>
  <si>
    <t>http://www.insperity.com</t>
  </si>
  <si>
    <t>Almost any diagnosis can trigger stages of grief and acceptance. It's vital to work through these feelings and make needed changes to better manage the condition. #Mentalhealth #Diagnosis #Stress #Psychology</t>
  </si>
  <si>
    <t>http://ow.ly/vC6H50uzqAx</t>
  </si>
  <si>
    <t>https://pbs.twimg.com/media/EOXUOXWWkAcjY6P.jpg</t>
  </si>
  <si>
    <t>Zoilita Grant</t>
  </si>
  <si>
    <t>Looking to implement rituals into your day that will help you bring your success vision to life? Download tools to aid #meditation, #stress handling, and more! ⭐</t>
  </si>
  <si>
    <t>https://mindset-for-success.org/shopping/tools-pdfs/?utm_campaign=meetedgar&amp;utm_medium=social&amp;utm_source=meetedgar.com</t>
  </si>
  <si>
    <t>Speaker/Coach, Products Services Training Change Your Mind and Change Your Life http://www.mindset-for-success.org Imagine you are in charge of your life!</t>
  </si>
  <si>
    <t>Living Well Family Chiropractic</t>
  </si>
  <si>
    <t>Stressed about the upcoming tax season? Chronic stress is terrible for your health. Click here for 3 quick tips to de-stress today! #stress</t>
  </si>
  <si>
    <t>http://bit.ly/35YragO</t>
  </si>
  <si>
    <t>https://pbs.twimg.com/media/EOXTpvMXsAA83L8.jpg</t>
  </si>
  <si>
    <t>Chelan, WA</t>
  </si>
  <si>
    <t>Dr. Nate Moller. Chelan WA Chiropractor. Specializing in muscle testing AK, and Nutrition Response Testing. Love Jesus, my family, and the great outdoors!</t>
  </si>
  <si>
    <t>http://www.LivingWellFamilychiropractic.com</t>
  </si>
  <si>
    <t>Dr. Paul Christo</t>
  </si>
  <si>
    <t>#MentalHealth is so important, and #college can be a critical time of challenge to maintain it. Consider sharing these strategies for helping manage #stress while at school:</t>
  </si>
  <si>
    <t>http://bit.ly/3a9XC35</t>
  </si>
  <si>
    <t>Baltimore, Maryland</t>
  </si>
  <si>
    <t>#ChronicPain Expert | Johns Hopkins #Doctor | Author | Host of #AchesAndGains on @SiriusXM Family Talk 131</t>
  </si>
  <si>
    <t>http://www.paulchristomd.com</t>
  </si>
  <si>
    <t>#MynameisHannah 🥰</t>
  </si>
  <si>
    <t>Important 💛🧡 #stress #MentalHealthMatters #selfcare</t>
  </si>
  <si>
    <t>https://pbs.twimg.com/media/EOXPwvUX0AIuVb8.jpg</t>
  </si>
  <si>
    <t>North West, England</t>
  </si>
  <si>
    <t>support worker for adults with learning disabilities and mental health HCA on an adult acute ward // future student mental health nurse 2020 @Cumbriauni 🏥 ✨</t>
  </si>
  <si>
    <t>30Seconds</t>
  </si>
  <si>
    <t>#WeddingPlanning #stress getting to you? Here's how to have it all &amp; #savemoney! @IEchter #30Seconds #weddings</t>
  </si>
  <si>
    <t>https://30secondmom.com/tip/12112/Stressed-About-Planning-Your-Wedding-Heres-How-to-Have-It-All-Save-Money-Wear-Your-Dress-Twice</t>
  </si>
  <si>
    <t>Based @1871Chicago</t>
  </si>
  <si>
    <t>Inspire and be inspired through the power of content &amp; community. Want to share tips &amp; earn rewards? Join our tribe! Check out #30Seconds platform!</t>
  </si>
  <si>
    <t>http://www.30Seconds.com</t>
  </si>
  <si>
    <t>Mastery Quadrant</t>
  </si>
  <si>
    <t>#Stress and other forms of negativity all stem from an inability of our minds to remain present in #theNow. #MeditationAndMindfulness #Meditation #MindfulnessMeditation #MeditationTime</t>
  </si>
  <si>
    <t>http://ow.ly/1xEC50xwgH3</t>
  </si>
  <si>
    <t>http://MasteryQuadrant.com helps you achieve success and master new skills, via the Mastery Quadrant framework and curated lists of the best learning resources.</t>
  </si>
  <si>
    <t>http://masteryquadrant.com</t>
  </si>
  <si>
    <t>PTSD First Responder</t>
  </si>
  <si>
    <t>First responders from across the US show up in support of Cleveland EMS workers demanding care for PTSD | PTSD First Responder #PTSDFirstResponder #ClevelandEMS #Support #Stress #LeadershipMatters</t>
  </si>
  <si>
    <t>https://www.cleveland19.com/2020/01/15/cleveland-ems-union-fights-ptsd-support-protests-held-downtown/</t>
  </si>
  <si>
    <t>Newmarket, On</t>
  </si>
  <si>
    <t>Our group was designed to educate, support and create PTSD awareness. Facebook group Ontario's First Responders PTSD Support Group #FirstResponders #PTSD</t>
  </si>
  <si>
    <t>Common Cold Secrets</t>
  </si>
  <si>
    <t>https://pbs.twimg.com/media/EOXKchZXsAANrF-.jpg</t>
  </si>
  <si>
    <t>How To Overcome #Anxiety and #Stress By Sadhguru | Mystics of India  via @YouTube</t>
  </si>
  <si>
    <t>https://youtu.be/hTwscfBytKI</t>
  </si>
  <si>
    <t>Kayleigh🎀</t>
  </si>
  <si>
    <t>Going to be a long night can’t sleep #anxiety #stress #cantsleep</t>
  </si>
  <si>
    <t>coventry</t>
  </si>
  <si>
    <t>❤️ to travel ✈️</t>
  </si>
  <si>
    <t>http://instagram.com/kayjourneytobridesmaid</t>
  </si>
  <si>
    <t>https://pbs.twimg.com/media/EOXHgcJW4AArAE8.jpg</t>
  </si>
  <si>
    <t>😍 Today's featured #fidget 😍 Hoodie Chews Use code SOCIAL10 for 10% off! ➡️ #Sensory #Chew #Autism #Aspergers #Anxiety #Stress #HappyHandsToys</t>
  </si>
  <si>
    <t>http://bit.ly/2BsuTWT
https://youtu.be/MhdVRmidkJU</t>
  </si>
  <si>
    <t>"Cut your losses…or lose more." ~ Frank Sonnenberg ➤  #Stress</t>
  </si>
  <si>
    <t>http://bit.ly/2xldgVP</t>
  </si>
  <si>
    <t>https://pbs.twimg.com/media/EOXHD9zX0AIrbpg.jpg</t>
  </si>
  <si>
    <t>Leisure Surrender</t>
  </si>
  <si>
    <t>I Decided To Change My Approach To #Stress Relief &amp; Now I Am Here To Help You! Visit The Leisure Surrender Blog Today To Get Started &amp;amp; Share Your Own Stories &amp;amp; Tips With Us!  #Nurse #StaffNurse</t>
  </si>
  <si>
    <t>https://leisuresurrender.com/leisure-challenge/</t>
  </si>
  <si>
    <t>https://pbs.twimg.com/media/EOXGmCZXsAUWF1M.jpg</t>
  </si>
  <si>
    <t>I'm a nurse. I work hard and I play hard. I am who I am. I choose to be a supportive and uplifting online presence for other nurses.</t>
  </si>
  <si>
    <t>http://leisuresurrender.com</t>
  </si>
  <si>
    <t>LongBeach Meditation</t>
  </si>
  <si>
    <t>Feeling the #stress of the mid-week? Join Long Beach Meditation every #Wednesday for #Mindful #Yoga at 5:30pm and Evening #Meditation at 7pm. Everyone is welcome! #yogi #wellbeing #selfhelp #howto #meditate #stressfree #mentalhealth #health #zen #dharma #vipassana #mindfulness</t>
  </si>
  <si>
    <t>https://pbs.twimg.com/media/EOXFcJGXsAIRRIR.jpg</t>
  </si>
  <si>
    <t>Long Beach, CA</t>
  </si>
  <si>
    <t>We provide a safe space to learn and practice meditation. We practice mindfulness meditation and meet weekly at 5100 East The Toledo Long Beach CA 90803.</t>
  </si>
  <si>
    <t>http://www.longbeachmeditation.org</t>
  </si>
  <si>
    <t>Kathy Kaufman</t>
  </si>
  <si>
    <t>#Genetics might impact our #health in relation to #stress</t>
  </si>
  <si>
    <t>http://ow.ly/hH1C30q9OEF</t>
  </si>
  <si>
    <t>Do you provide solutions that are contraindicated for patients DNA? Do you even know? Are you ready to bring in an additional automated $100,000 cash annually?</t>
  </si>
  <si>
    <t>http://www.criticalhealth.org/</t>
  </si>
  <si>
    <t>BSCAA-National</t>
  </si>
  <si>
    <t>A great read from INCLEAN about how to manage stress through challenging times. #BSCAA #INCLEAN #stress #workplace</t>
  </si>
  <si>
    <t>https://www.linkedin.com/posts/inclean_how-to-manage-stress-through-challenging-activity-6623097653553172480-ZcTb</t>
  </si>
  <si>
    <t>Australia’s industry body for the building services industry; members include cleaning, security, facilities management and grounds maintenance contractors.</t>
  </si>
  <si>
    <t>http://bscaa.com</t>
  </si>
  <si>
    <t>#Fibromyalgia and #Stress ..."Half the time, I don’t even know I’m stressed at all until I get symptoms."  … #WhatIKnowIsReal</t>
  </si>
  <si>
    <t>Take a deep breath in through your nose 1 2 3 4 5 Hold It 1 2 3 4 5 6 Exhale out of your mouth 1 2 3 4 5 6 7 Repeat a few times You Got This 💪 You Are Loved ❤ #mentalhealth #YouAreNotAlone #peace #relaxation #stress #anxiety</t>
  </si>
  <si>
    <t>“Need help learning how to meditate? Book guides you step-by-step”  #mindfulness #mindful #peace #stress #meditation</t>
  </si>
  <si>
    <t>Jess</t>
  </si>
  <si>
    <t>Hi friends I’m out of clean socks and don’t remember if I need to shower today (spoiler alert, that means I probably do) and my uncle has to fix my car and I’m horribly behind on this class and have two weeks to finish or drop it and I almost cried like twice today? #stress</t>
  </si>
  <si>
    <t>Mostly fandom Twitter, with RL sprinkled in. Latina. Big Sister. Podficcer. Bi. Mid-20s. ⍟ Header image by @yue_ix</t>
  </si>
  <si>
    <t>More than a decade of research has shown that #stress can reduce the abundance of certain microbes in the gut • @EmeranaMayer @ucla @ucla_cns #MakeMeALeader &gt;</t>
  </si>
  <si>
    <t>http://bit.ly/2J9ex6Y</t>
  </si>
  <si>
    <t>iHealthTube.com</t>
  </si>
  <si>
    <t>What You Should Know About the Stress / Heart Health Connection! |   #stress #HeartHealth #ihealthtube #naturalhealth #naturalhealing</t>
  </si>
  <si>
    <t>http://iHealthTube.com
https://buff.ly/2OTFZ10</t>
  </si>
  <si>
    <t>https://pbs.twimg.com/media/EOXA1PdWoAAaK80.jpg</t>
  </si>
  <si>
    <t>Natural Health Videos! Avoid Prescriptions. Avoid Toxins. Eat Organic. Find natural remedies to your health problems. Visit the Site! http://www.ihealthtube.com</t>
  </si>
  <si>
    <t>http://www.ihealthtube.com</t>
  </si>
  <si>
    <t>Alicia Trautwein</t>
  </si>
  <si>
    <t>Being a caregiver is tough, but you don't have to let the stress consume you. Follow these five tips for reducing stress and burnout. #caregiver #stress #caregiverstress #caregiverburnout #specialneedsparenting  via @themomkind</t>
  </si>
  <si>
    <t>http://sumo.ly/13NuX</t>
  </si>
  <si>
    <t>Autistic Mᴏᴍ of 3 Children with Autism. Sharing our story to provide inspiration &amp; support for other special needs families #AutismParenting #ADHD</t>
  </si>
  <si>
    <t>https://www.themomkind.com</t>
  </si>
  <si>
    <t>ReikibyEvan</t>
  </si>
  <si>
    <t>Contact me today to schedule your #Reiki treatment which is known to release #stress, #Anxiety, #depression and more. Let go of your past and let 2020 be the year of a new you. Reikiwha@gmail.com</t>
  </si>
  <si>
    <t>pic.twitter.com/FTDT0kWe7F</t>
  </si>
  <si>
    <t>Reiki Master. Destined to help heal &amp; comfort those in need. Wethington Holistic Arts</t>
  </si>
  <si>
    <t>https://wethingtonarts.com</t>
  </si>
  <si>
    <t>Appetite Control, Allergies, Diet, Weight Loss and more. Shop Online at  or call us for more information: 1-877-626-4112 #Herbal #Natural #Teas #Health #Remedies #Free #Stress #Vitamins #MensHealth #WomensHealth #wealth</t>
  </si>
  <si>
    <t>http://www.TheHerbalGardens.com
https://shr.link/yov8s</t>
  </si>
  <si>
    <t>Is stress affecting your work? Or perhaps you’re seeing warning signs that others in your workplace may be buckling under the pressure of too much stress?  #stress #warningsign #work #workplace #workplacestress #destress #tip #toptip</t>
  </si>
  <si>
    <t>https://qarrot.com/blog/is-stress-affecting-your-workplace/</t>
  </si>
  <si>
    <t>https://pbs.twimg.com/media/EOW-J3SWsAAaPSp.jpg</t>
  </si>
  <si>
    <t>JLeeJenkinsMD</t>
  </si>
  <si>
    <t>Thanks UMBC News for this article! Proud of our work to support first responders through NSF-funded stress-response technology  @EhsUmbc @UMBC #EMS #stress #wellness</t>
  </si>
  <si>
    <t>https://news.umbc.edu/umbc-researchers-work-to-support-first-responders-through-nsf-funded-stress-response-technology/</t>
  </si>
  <si>
    <t>Emergency Physician, Chair Dept Emergency Health Services @UMBC, #EMS #Disaster @JohnsHopkinsEM, Board Member @WADEM_PDM, Mom, Baker</t>
  </si>
  <si>
    <t>http://www.jleejenkins.com</t>
  </si>
  <si>
    <t>Susan McCann</t>
  </si>
  <si>
    <t>How Stress affects your body and Waistline  video #stress weight health #bethechange</t>
  </si>
  <si>
    <t>http://goo.gl/vgyQe5</t>
  </si>
  <si>
    <t>Motivation Coach, Discover Your Unique Purpose Be the Change in your World. Build a Mindset of Love Inner Strength &amp; Self Confidence Personal Growth &amp; Success</t>
  </si>
  <si>
    <t>http://www.selfhelpforyoursuccess.com</t>
  </si>
  <si>
    <t>The Healing Salon</t>
  </si>
  <si>
    <t>The Healing Salon presents a 30-minute #guidedmeditation with binaural beats to activate your #energy system and increase your #awareness &amp; #concentration. Now on Youtube  #meditate #meditation #Healing #mindfulness #stress #stressrelief #stressmanagement</t>
  </si>
  <si>
    <t>https://youtu.be/t6gw-C_p7ZM</t>
  </si>
  <si>
    <t>https://pbs.twimg.com/media/EOW890aUcAA13Jo.jpg</t>
  </si>
  <si>
    <t>A salon for your mind, spirit and soul</t>
  </si>
  <si>
    <t>https://www.youtube.com/channel/UCi-pf_vutHWJmEY93LrIt7w?view_as=subscriber</t>
  </si>
  <si>
    <t>Red Barn Blankets</t>
  </si>
  <si>
    <t>Need a weighted blanket? Treat yourself to the best!  #weightedblanket #quilts #blankets #autism #PTSD #insomnia #stress #sleep</t>
  </si>
  <si>
    <t>http://redbarnblankets.com</t>
  </si>
  <si>
    <t>https://pbs.twimg.com/media/EOW8Zc9X0AEAcoA.jpg</t>
  </si>
  <si>
    <t>Chattanooga, TN</t>
  </si>
  <si>
    <t>The finest weighted blankets available. One Blanket Can Change EVERYTHING!😀</t>
  </si>
  <si>
    <t>http://www.redbarnblankets.com</t>
  </si>
  <si>
    <t>Tyler Klein</t>
  </si>
  <si>
    <t>#stress in designing new looks</t>
  </si>
  <si>
    <t>https://pbs.twimg.com/media/EOW7KLJX0AM3nq3.jpg</t>
  </si>
  <si>
    <t>Pittsburgh, PA</t>
  </si>
  <si>
    <t>Wrestler. located in Pittsburgh PA Too Glam to Give a Damn booking tylerkleinbooking@gmail.com #lgbt 🏳️‍🌈🏳️‍🌈</t>
  </si>
  <si>
    <t>Gurneet Kaur Dhami</t>
  </si>
  <si>
    <t>If you do a lot, you just do it without expecting something in return. A lot of #invisiblelabour goes into making things happen and to that, I cheers to the #Racialized, #LGBTQ2S+ &amp; fellow #accomplices/ #allies that come through in times of #stress! Ahhhhhhhhh #ThankYou ✨🔎❗</t>
  </si>
  <si>
    <t>Woodbridge-Halifax, Canada</t>
  </si>
  <si>
    <t>MSc Student #MSVU INutrition, Social Justice &amp; Entrepreneurial Leader IManages @eywblogs I she/her♀️South Asian born in Etobicoke| #Pisces Iown views like drake</t>
  </si>
  <si>
    <t>https://www.linkedin.com/in/gurneetdhami/</t>
  </si>
  <si>
    <t>Little Sunshine's Playhouse &amp; Preschool</t>
  </si>
  <si>
    <t>Helping your child pick their #clothes out can be quite the battle at times. @NYTParenting shares what this means and ways to alleviate the #stress this daily routine can bring about.</t>
  </si>
  <si>
    <t>https://parenting.nytimes.com/preschooler/why-kids-fight-getting-dressed?module=editors-picks&amp;action=click&amp;region=1</t>
  </si>
  <si>
    <t>Springfield, Mo.</t>
  </si>
  <si>
    <t>Little Sunshine's Playhouse &amp; Preschool is a private boutique-style preschool program offering Reggio Emilia-inspired curriculum in locations across the U.S.</t>
  </si>
  <si>
    <t>http://littlesunshine.com</t>
  </si>
  <si>
    <t>Joey Starnes</t>
  </si>
  <si>
    <t>How to reduce your stress each day in only 2 minutes. #stress #lifetips</t>
  </si>
  <si>
    <t>https://lnkd.in/e5DF4YF</t>
  </si>
  <si>
    <t>Talent Advisor for LexisNexis - follow me for job postings, articles, and other info about tech, inclusivity, and innovation.</t>
  </si>
  <si>
    <t>ReachMD</t>
  </si>
  <si>
    <t>When #moms experience #stress during #pregnancy, the baby's brain suffers:</t>
  </si>
  <si>
    <t>http://ow.ly/smGC50xVv5W</t>
  </si>
  <si>
    <t>https://pbs.twimg.com/media/EOW2T9_W4AE3lNV.jpg</t>
  </si>
  <si>
    <t>Fort Washington, PA</t>
  </si>
  <si>
    <t>Your single destination for free CMEs, medical news, &amp; more. Be Part of the Knowledge.</t>
  </si>
  <si>
    <t>http://www.ReachMD.com</t>
  </si>
  <si>
    <t>Building The Future TV &amp; Radio Show</t>
  </si>
  <si>
    <t>Ep 392 w/ Silke Glaab an #executive #coach at Slike Celia - helps you remove #burnout, #anxiety &amp; #stress  #interview #podcast #mentalhealth #interview #ceo #founder #entrepreneur #startup #startups #health #healthy #healthylife</t>
  </si>
  <si>
    <t>https://soundcloud.com/buildingthefuture/ep-392-w-silke-glaab-an-executive-coach-at-slike-celia-helps-you-remove-burnout-anxiety-stress</t>
  </si>
  <si>
    <t>TV Show / FM Radio</t>
  </si>
  <si>
    <t>Heard in over 150+ countries &amp; airs in Silicon Valley. Host @kevinhorek</t>
  </si>
  <si>
    <t>http://buildingthefutureshow.com</t>
  </si>
  <si>
    <t>kevinhorek</t>
  </si>
  <si>
    <t>Information Superhighway</t>
  </si>
  <si>
    <t>Chief Design Officer (CDO), TV/Radio Host @buildingshow, Published Author, kevinhorek@gmail.com, 424-645-1395. http://www.kevinhorek.com</t>
  </si>
  <si>
    <t>http://www.buildingthefutureshow.com</t>
  </si>
  <si>
    <t>Healthy Living Soundboard</t>
  </si>
  <si>
    <t>Whether it’s where you sit, the method you use or the hours you work, find a process that best fits your work style to turn the job you have into the one you love.  #Stress #JobSecurity #WellBeing #Career #JobSatisfaction #Relationships</t>
  </si>
  <si>
    <t>https://www.fastcompany.com/90449188/how-to-turn-the-job-you-have-into-one-you-love</t>
  </si>
  <si>
    <t>Content as a Service Platform for Health &amp; Wellness Professionals. 🍏We message for over 10,000 direct sales reps every day.</t>
  </si>
  <si>
    <t>http://healthylivingsoundboard.com</t>
  </si>
  <si>
    <t>Dustin Rogers</t>
  </si>
  <si>
    <t>After a long day or work and streaming take the time to relax. Get some lavender candles, relaxing music, Bath Bombs or Epson Salt. Get a bowl put an ice pack in and saran wrap the top. Place your chocolate of choice in and let the stress melt away. #relax #streaming #stress</t>
  </si>
  <si>
    <t>https://pbs.twimg.com/media/EOWyNKiXkAAbC7w.jpg</t>
  </si>
  <si>
    <t>I love Legend of Zelda, Halo, and Rpgs like Chrono Trigger. I Stream Monday, Wednesday, and Friday at 5pm Central Standard Time. Follow so you don't miss out!</t>
  </si>
  <si>
    <t>http://www.mixer.com/SSGohpom</t>
  </si>
  <si>
    <t>#Stress is a common #mentalhealth struggle that we can all experience in our lives. Here are some practical tips to destress today:</t>
  </si>
  <si>
    <t>https://buff.ly/30t2POm</t>
  </si>
  <si>
    <t>https://pbs.twimg.com/media/EOWx9WOWoAAbUUq.jpg</t>
  </si>
  <si>
    <t>Compadres for Tobacco-Free Los Angeles County</t>
  </si>
  <si>
    <t>🛑Stop. 🌬Breathe. 🤔Think. As #students enter the new semester, it is important to take a step back and find ways to cope with arising #stress. There are many ways to handle stress without #smoking🚭 Learn more @SmokefreeUs or at …/…/coping-with-stress</t>
  </si>
  <si>
    <t>https://smokefree.gov/challenges-when-</t>
  </si>
  <si>
    <t>https://pbs.twimg.com/media/EOWxUOuUYAAOrIn.jpg</t>
  </si>
  <si>
    <t>Downey, CA</t>
  </si>
  <si>
    <t>Helping to create thriving smoke and tobacco-free schools, clinics and neighborhoods. Funded by the California Tobacco Control Program under contract #17-10975</t>
  </si>
  <si>
    <t>https://www.compadreslac.org/</t>
  </si>
  <si>
    <t>Kristel M. van Wingerden</t>
  </si>
  <si>
    <t>Vital exhaustion, commonly referred to as burnout syndrome, is typically caused by prolonged and profound stress at work or home.  #burnout #stress #wellbeing</t>
  </si>
  <si>
    <t>https://neurosciencenews.com/burnout-heartbeat-15484/</t>
  </si>
  <si>
    <t>Haarlem, Nederland</t>
  </si>
  <si>
    <t>Yoga teacher, Hartcoherentie coach, columniste</t>
  </si>
  <si>
    <t>http://www.kristelvanwingerden.com</t>
  </si>
  <si>
    <t>Gary Whittington - Myofascial Mentor</t>
  </si>
  <si>
    <t>And it feels so good! Researchers have a good idea about why #massage makes us feel good. Massage stimulates the release of #endorphins, that reduce #anxiety, #stress, and #pain, lower stress #hormones,</t>
  </si>
  <si>
    <t>http://theartistsmassage.com</t>
  </si>
  <si>
    <t>https://pbs.twimg.com/media/EOWsCoPXUAMBtIf.jpg</t>
  </si>
  <si>
    <t>Chandler, AZ</t>
  </si>
  <si>
    <t>From MD, now in AZ, creative sculptor, artist, skilled pain therapist, family man. #MyofascialMentor #massage #relax #breathe #stress #painrelief</t>
  </si>
  <si>
    <t>Relax and meditate when you feel symptoms of stress, and your day will be much better. #meditation #relaxation #stress</t>
  </si>
  <si>
    <t>22 Coaching and Consulting</t>
  </si>
  <si>
    <t>Owning a practice might be your dream career move. But, it’s a huge undertaking and responsibility, which could turn into the challenge of your professional life. Read more here  #manager #dentist #practice #health #stress #22 #coaching #help</t>
  </si>
  <si>
    <t>https://zurl.co/XcCK</t>
  </si>
  <si>
    <t>https://pbs.twimg.com/media/EOWreVfXkAAmpbX.jpg</t>
  </si>
  <si>
    <t>At 22 we are passionate about helping people achieve their goals and aspirations.</t>
  </si>
  <si>
    <t>Dani Fiore</t>
  </si>
  <si>
    <t>Feeling stressed? Check out this demonstration video: Anxiety Intervention Exercise - Rhythm and Breath  via @YouTube I used this technique DAILY to manage #stress #pain #anxiety We can #heal ourselves 💙 with #rhythm and #sound</t>
  </si>
  <si>
    <t>https://youtu.be/pCdh9FBIpI0</t>
  </si>
  <si>
    <t>Musician, teacher, explorer of rhythm and mountains 🏔 . Trans 🏳️‍🌈, cyclist 🚴‍♂️, classic Sagittarius 🔥. In love with the journey and mystery.</t>
  </si>
  <si>
    <t>http://www.danifiore.com</t>
  </si>
  <si>
    <t>What does organisational wellness mean for the #workplace? #Stress &amp; poor health cost the economy billions every year. Introducing #wellness activities in your company can improve #productivity &amp;amp; motivation.  @AJProductsUK</t>
  </si>
  <si>
    <t>https://app.quuu.co/r/-nnrrb</t>
  </si>
  <si>
    <t>KRA Corporation</t>
  </si>
  <si>
    <t>Effective Strategies For Managing Stress In The Workplace @edenofficemagic #workplace #stress</t>
  </si>
  <si>
    <t>https://buff.ly/39Y8gtw</t>
  </si>
  <si>
    <t>https://pbs.twimg.com/media/EOWqoYiWoAwz80T.jpg</t>
  </si>
  <si>
    <t>A national leader in providing #workforce development programs that produce Innovative Exceptional and Trusted results.</t>
  </si>
  <si>
    <t>http://www.kra.com/</t>
  </si>
  <si>
    <t>Heal. Restore. Grow.</t>
  </si>
  <si>
    <t>Chronic Stress &amp; Depression #stress #depression #Nrf2</t>
  </si>
  <si>
    <t>https://new.hindawi.com/journals/omcl/2017/7313090/</t>
  </si>
  <si>
    <t>https://pbs.twimg.com/media/EOWqaD_UcAArq-j.jpg</t>
  </si>
  <si>
    <t>Dare to Dream. There is Hope. Because it's your time to Heal. Restore your Mind, Body and Soul. And Live. You CAN live the life you've always wanted.</t>
  </si>
  <si>
    <t>https://www.immunotec.com/masterantioxidant/products</t>
  </si>
  <si>
    <t>GraceMedHealth</t>
  </si>
  <si>
    <t>6 Natural Ways to Lower Blood Pressure - If you've been told your blood pressure is elevated, here are some ways to get it back down.  #stress #bloodpressure #natural #lower #health #wellness #healthcare #hopecare</t>
  </si>
  <si>
    <t>http://bit.ly/GM-bp</t>
  </si>
  <si>
    <t>https://pbs.twimg.com/media/EOWpDdGXsAAWfJd.jpg</t>
  </si>
  <si>
    <t>We are a community health center providing medical, dental, vision, pharmacy and behavioral health care for Sedgwick, Shawnee &amp; McPherson counties.</t>
  </si>
  <si>
    <t>http://gracemed.org</t>
  </si>
  <si>
    <t>Matt Davis</t>
  </si>
  <si>
    <t>How can you relieve #stress on an icky January day? Grab a group of friends and find your nearest #gagaball pit! Fun for ALL ages 🤗 #westonproud #westonway</t>
  </si>
  <si>
    <t>pic.twitter.com/HJ4uKzNXPw</t>
  </si>
  <si>
    <t>Greenfield, IN.</t>
  </si>
  <si>
    <t>Proud Principal/Lead Learner at Weston Elementary School - 'Make the MOST of Each Day &amp; Make a DIFFERENCE!' #WestonProud #GCSCpride #growth4ALL</t>
  </si>
  <si>
    <t>http://weston.gcsc.k12.in.us/</t>
  </si>
  <si>
    <t>Nella Notniice</t>
  </si>
  <si>
    <t>Now I know why ppl do coke and dem kinda drugs😒 #stress</t>
  </si>
  <si>
    <t>ÜT: 43.682565,-79.813551</t>
  </si>
  <si>
    <t>Hair is what I do best Kids,women,and men all kinds of hair yes I can do it.Save some money and get the look you really want! Follow for more info</t>
  </si>
  <si>
    <t>Nordic to UK</t>
  </si>
  <si>
    <t>Find it difficult to settle? How about #pranichealing #mcks #stress #stressfree, time for #stressrelief</t>
  </si>
  <si>
    <t>https://pbs.twimg.com/media/EOWn6viX0AUIXp0.jpg</t>
  </si>
  <si>
    <t>Nordic Culture, Food, Clothes, Fashion, Music, Art, Books, Business, Success, Entertainment, Work-life, Retirement or anything else you would like to share.</t>
  </si>
  <si>
    <t>~Lindsay Reday</t>
  </si>
  <si>
    <t>6 #Psychologist -Approved Ways To Use Your #stress To Your Advantage  via @mindbodygreen #depressionforums.org</t>
  </si>
  <si>
    <t>http://bit.ly/2uLjcdP</t>
  </si>
  <si>
    <t>https://pbs.twimg.com/media/EOTsAWYX0AA_Sm6.jpg</t>
  </si>
  <si>
    <t>S Sarasota, FL Owned by 2 poos</t>
  </si>
  <si>
    <t>Depression &amp; Mental Health Social Community Support, Mood Disorders, medication, therapy, recovery. Eliminating stigma through education, advocacy since 2001</t>
  </si>
  <si>
    <t>http://www.depressionforums.org</t>
  </si>
  <si>
    <t>In fact, research has shown that stress makes a person more likely to make mistakes. #stress</t>
  </si>
  <si>
    <t>A Chronic Voice</t>
  </si>
  <si>
    <t>“Unfortunately even choosing what #app to try can be a minefield of overwhelming choice. Type in #stress, #meditation or #CBT into the app store and you immediately have 100s to choose from”:  @welltravelbeaut #SelfCare</t>
  </si>
  <si>
    <t>https://buff.ly/343hiBN</t>
  </si>
  <si>
    <t>Singapore</t>
  </si>
  <si>
    <t>Articulating #chronicillness from various #perspectives. #Lupus, #Sjogrens, #AntiphospholipidSyndrome &amp; more. @HuffingtonPost blogger: http://goo.gl/3Uigrf</t>
  </si>
  <si>
    <t>http://www.achronicvoice.com</t>
  </si>
  <si>
    <t>Donnacha Mulcahy</t>
  </si>
  <si>
    <t>Excellent talk from @RunJOC this evening on rethinking stress for performance, as insightful as always. #stress #recovery #growth #sleep</t>
  </si>
  <si>
    <t>https://pbs.twimg.com/media/EOWlf_1WkAASwX1.jpg</t>
  </si>
  <si>
    <t>Cork/Thurles</t>
  </si>
  <si>
    <t>PhD Candidate in Elite Performance, Lecturer on LIT’s Strength and Conditioning program. S&amp;C coach with CBC Senior Cup Squad &amp; Glen Rovers Senior Hurlers</t>
  </si>
  <si>
    <t>satzoomer</t>
  </si>
  <si>
    <t>Signed off for next 2 weeks by the doctor, #stress .......</t>
  </si>
  <si>
    <t>uk</t>
  </si>
  <si>
    <t>2 wheeled bike addict living the dream, views are my own 😵</t>
  </si>
  <si>
    <t>KCSL</t>
  </si>
  <si>
    <t>KCSL #Parenting Tip: Sleep problems, headaches, overeating or loss of appetite &amp; stomachaches are just some signs of #stress in children. Read more about how to help children cope with stress &amp;amp; other struggles at . #WednesdayWisdom</t>
  </si>
  <si>
    <t>http://kcsl.org/ParentTipCards.aspx#behavioral</t>
  </si>
  <si>
    <t>https://pbs.twimg.com/media/EOWkYLTWoAAjVWe.jpg</t>
  </si>
  <si>
    <t>Kansas</t>
  </si>
  <si>
    <t>KS Children's Service League: protecting &amp; promoting the well-being of children. KS Chap, @PCAAmerica. #HeadStart, Healthy Families, #adoption &amp; other services.</t>
  </si>
  <si>
    <t>http://www.kcsl.org</t>
  </si>
  <si>
    <t>Emma Parsons</t>
  </si>
  <si>
    <t>What are your thoughts and experiences❓ There are so many people struggling in silence - I use to be highly skilled in wearing the 'I'm Okay' mask on a daily basis. #support #mentalhealth #wellbeing #workplace #resilience #performance #anxiety #stress #depression</t>
  </si>
  <si>
    <t>https://pbs.twimg.com/media/EOWkBQ_X4AA9Vua.jpg</t>
  </si>
  <si>
    <t>Gold Coast, Queensland</t>
  </si>
  <si>
    <t>Teaching Women To Become Their Own Life Architect So They Can Build The Life Of Their Dreams, Free From Stress, Limitations and Fears - Mentor and Speaker.</t>
  </si>
  <si>
    <t>http://www.emmaparsons.com.au</t>
  </si>
  <si>
    <t>LYFE Marketing</t>
  </si>
  <si>
    <t>Learn to embrace both! #LYFEMarketing #LYFEhack #Stress #ManagingStress #Success #EmbraceProblems #ProblemManagement #SmallBusiness #Entrepreneur</t>
  </si>
  <si>
    <t>https://pbs.twimg.com/media/EOWj_wRWAAIi3j6.jpg</t>
  </si>
  <si>
    <t>💯 | #1 Digital Marketing #Agency⁣ 📈 | Top Strategies for Online #Marketing ⁣ 👨‍💻 | Done for You Services &amp; #Consulting⁣ 🙏 | Follow Us for More #Growth</t>
  </si>
  <si>
    <t>https://www.lyfemarketing.com</t>
  </si>
  <si>
    <t>Pure Green Express</t>
  </si>
  <si>
    <t>Maui Wowie available now!  #cannabis #thc #marijuana #stress #sativa</t>
  </si>
  <si>
    <t>https://www.puregreenexpress.ca/maui-wowie.html#.Xh-ClWrxRuE.twitter</t>
  </si>
  <si>
    <t>Pure Green Express is dedicated to providing discreet access to medicinal cannabis. Follow us on Instagram https://www.instagram.com/puregreenexpress/</t>
  </si>
  <si>
    <t>https://www.puregreenexpress.ca</t>
  </si>
  <si>
    <t>My INFJ mind</t>
  </si>
  <si>
    <t>What a day! May tomorrow be calm and quiet!🤞🏻#infj #hsp #stress</t>
  </si>
  <si>
    <t>🙇‍♀️ #INFJ &amp; #HSP - the road is never ending...🛤️ 👀</t>
  </si>
  <si>
    <t>Niles P.Geary, II</t>
  </si>
  <si>
    <t>http://myf.mg/9sRS</t>
  </si>
  <si>
    <t>Securities &amp; Advisory Services Offered through United Planners Financial Services Member FINRA/SIPC. Voyage Partners &amp; United Planners are Independent</t>
  </si>
  <si>
    <t>Bail Me Out Productions</t>
  </si>
  <si>
    <t>Dee sits down with Dr. V to discuss healthy ways to deal with #stress and #anxiety.</t>
  </si>
  <si>
    <t>https://www.youtube.com/watch?v=0iurfLxigS8</t>
  </si>
  <si>
    <t>https://pbs.twimg.com/media/EOWezUWXkAU7xmc.jpg</t>
  </si>
  <si>
    <t>Arkansas</t>
  </si>
  <si>
    <t>The Shattered Podcast is hosted by retired female bounty hunter Dee Elias. #CriminalJusticeReform https://www.youtube.com/channel/UCPRcdVApNWLl-aLATyYnP5w</t>
  </si>
  <si>
    <t>http://www.bailmeoutproductions.com</t>
  </si>
  <si>
    <t>Marian Krueger</t>
  </si>
  <si>
    <t>10 Tips To Help Reduce Stress BEFORE You #Travel:  #traveltips #TTOT #stress</t>
  </si>
  <si>
    <t>http://ow.ly/vumd30gOUgb</t>
  </si>
  <si>
    <t>https://pbs.twimg.com/media/EOWdew_WkAEnCAG.jpg</t>
  </si>
  <si>
    <t>Red hair +blue eyes + vegan. Travel junkie, cocktail lover. Traveling the world by land, sea, &amp; air. Currently: Vietnam Instagram: travelshopgirl</t>
  </si>
  <si>
    <t>https://www.travelshopgirl.com</t>
  </si>
  <si>
    <t>"I think the main take-home #message is that high levels of #stress, high levels of #exhaustion can have an #impact on your #heart as well as your #mind."</t>
  </si>
  <si>
    <t>http://ow.ly/Pq3I50xVHJK</t>
  </si>
  <si>
    <t>Transcend Recovery</t>
  </si>
  <si>
    <t>5 key steps (and lots of tips) for understanding and beating your #stress. #mentalhealth | @PsychToday</t>
  </si>
  <si>
    <t>https://www.psychologytoday.com/us/blog/click-here-happiness/202001/how-reduce-stress-relieve-manage-and-overcome-stress</t>
  </si>
  <si>
    <t>The road to #recovery is hard, but help is here. You are not alone in your struggle. Join our #soberliving #community today! (800) 208-1211</t>
  </si>
  <si>
    <t>http://TranscendRecoveryCommunity.com</t>
  </si>
  <si>
    <t>NACDA Program on Aging</t>
  </si>
  <si>
    <t>The Many Ways of Coping With Alzheimer's via NYT  #alzheimers #coping #stress</t>
  </si>
  <si>
    <t>https://buff.ly/2QOZcj2</t>
  </si>
  <si>
    <t>https://pbs.twimg.com/media/EOWdNEaXkAET22e.jpg</t>
  </si>
  <si>
    <t>The National Archive of Computerized Data on Aging, funded by the NIA, advances research on aging by obtaining and distributing a broad range of data. #ICPSR</t>
  </si>
  <si>
    <t>http://www.icpsr.umich.edu/NACDA</t>
  </si>
  <si>
    <t>Pack Health</t>
  </si>
  <si>
    <t>For those of us with #chronicpain, we sometimes live in the middle of fight-or-flight mode when it comes to dealing with #stress. Interesting read on the middle ground that some call the 'freeze response'!</t>
  </si>
  <si>
    <t>https://www.tomseamancoaching.com/do-you-live-in-protection-mode-because-of-your-pain/</t>
  </si>
  <si>
    <t>Birmingham, AL</t>
  </si>
  <si>
    <t>Human-centered #digitalhealth coaching programs to simplify your journey to better health. Covering 25+ chronic conditions. Learn more at http://packhealth.com</t>
  </si>
  <si>
    <t>https://www.facebook.com/PackHealth</t>
  </si>
  <si>
    <t>Shellsey R Blandin</t>
  </si>
  <si>
    <t>I’m only on Wednesday and this week has been rough. Anxiety high with all the stress. I just keep remembering to breathe, and to take it one moment at a time. #anxiety #depression #stress #justkeepswimming</t>
  </si>
  <si>
    <t>Red Deer, AB</t>
  </si>
  <si>
    <t>PLAYSCHOOL OWNER (OCD with paperwork) and TEACHER (love the playtime,stories,and helping littles learn). @AandFplayschool</t>
  </si>
  <si>
    <t>pic.twitter.com/JczYuYprC3</t>
  </si>
  <si>
    <t>New OhioLINK ETDs</t>
  </si>
  <si>
    <t>Scanlin, Matthew; The Effects of Stress-Related Rumination Versus... #stress #rumination</t>
  </si>
  <si>
    <t>http://rave.ohiolink.edu/etdc/view?acc_num=ohiou1572553054250324</t>
  </si>
  <si>
    <t>Recently published Electronic Theses and Dissertations from the OhioLINK ETD Center</t>
  </si>
  <si>
    <t>http://etd.OhioLINK.edu/</t>
  </si>
  <si>
    <t>Quote of the day: People are doing the best they can from their own level of consciousness. Deepak Chopra #Stress #ConflictManagement #AngerManagement #StressManagement #Happiness #MentalHealthMatters #CalmPeople #Imperfection #entrepreneur #Resilience #HumanResources</t>
  </si>
  <si>
    <t>https://pbs.twimg.com/media/EOWYj4WX4AU88CZ.jpg</t>
  </si>
  <si>
    <t>The Healing Salon’s 10-min guided #breathing #meditation 4 #stress and #anxiety. Try it b4 an exam or presentation.  #meditate #meditatedaily #stressmanagement #breathe #breathingexercise #examprep #mindfulness #relaxation #healing #WellnessWednesday</t>
  </si>
  <si>
    <t>https://youtu.be/dR9EXxzHopw</t>
  </si>
  <si>
    <t>https://pbs.twimg.com/media/EOWYWxkUEAIKb0f.jpg</t>
  </si>
  <si>
    <t>CGMassage</t>
  </si>
  <si>
    <t>Are you experiencing severe neck pain and migraines? If so, schedule your appointment with us. We are here to help you with your health and wellness needs. #neck #shoulders #back #pain #migraine #headache #stress…</t>
  </si>
  <si>
    <t>https://www.instagram.com/p/B7Wp5vlh_vE/?igshid=1mlwefwryhggv</t>
  </si>
  <si>
    <t>Cerritos / Artesia, CA 90701</t>
  </si>
  <si>
    <t>CGMassage Therapeutic Touch Transforming Lives Into A Healthy Wellness Lifestyle.</t>
  </si>
  <si>
    <t>http://www.facebook.com/cgmassageme</t>
  </si>
  <si>
    <t>Tamar Chansky</t>
  </si>
  <si>
    <t>Thank you so much, @carolmannagency for helping me bring another #book into the world!! #Anxiety and #depression in kids and #teens are on the rise, check out these ideas for taking charge of #stress, disappointment, failure, #perfectionism, navigating #social media, and more. RT @carolmannagency: Think positive! It's Pub Day for the second edition of FREEING YOUR CHILD FROM NEGATIVE THINKING by Tamar E. Chansky, PhD. If you're worried about social media setting unrealistic expectations for your child, Chansky's book can help you turn things around. @freeingyourmind</t>
  </si>
  <si>
    <t>https://twitter.com/carolmannagency/status/1217187792222027776</t>
  </si>
  <si>
    <t>https://pbs.twimg.com/media/EORR10YW4AIQ4BA.png</t>
  </si>
  <si>
    <t xml:space="preserve"> Philadelphia PA</t>
  </si>
  <si>
    <t>#Psychologist, Founder, Children’s &amp; Adult Ctr for #OCD &amp; #Anxiety. #Author 4 #books including best-selling, Freeing Your #Child from Anxiety</t>
  </si>
  <si>
    <t>http://tamarchansky.com</t>
  </si>
  <si>
    <t>Manage Your Time to Help You Manage Your #Anxiety. New. ||  == #mentalhealth #gad #stress #timemanagement #mhchat #mhsm</t>
  </si>
  <si>
    <t>https://pbs.twimg.com/media/EOWWR-HWkAQv8dN.jpg</t>
  </si>
  <si>
    <t>Alia AbuKiwan</t>
  </si>
  <si>
    <t>A colleague told me that she is reading fiction #books to escape the #stress of research work. How do you deal with stress? @AcademicChatter</t>
  </si>
  <si>
    <t>Deutschland</t>
  </si>
  <si>
    <t>Scientist @UniklinikHeidelberg @DZD #epigenetic regulation in Metabolic diseases. I am an adoring mother of three amazing children #WomeninSTEM #SciComm</t>
  </si>
  <si>
    <t>Angie</t>
  </si>
  <si>
    <t>I wanna see this tomorrow except with good news #Believe #Stress</t>
  </si>
  <si>
    <t>Don't think too hard, just have fun with it</t>
  </si>
  <si>
    <t>Operation Kindness</t>
  </si>
  <si>
    <t>Do you have an #attitudeofgratitude🤔 A great way to combat #stress and improve your #health is to have #gratitude and be #thankful a regular part of your life💖 That is good for everybody🎉 This article by @Healthline tells more ⭐️ #thereisgood❤️</t>
  </si>
  <si>
    <t>http://ow.ly/jSmw50xVA0M</t>
  </si>
  <si>
    <t>Champions of celebrating and empowering every human to see their individual unique remarkable awesomeness by being kind to themselves and others ❤️</t>
  </si>
  <si>
    <t>Mental Health Thoughts</t>
  </si>
  <si>
    <t>Have my first mental health assessment and GP visit tomorrow. Have to admit feeling a bit of a fraud, but know the benefits will be realised! #MentalHealth #Anxiety #Stress</t>
  </si>
  <si>
    <t>My thoughts, fears, insecurities.</t>
  </si>
  <si>
    <t>Natalie LaVigne</t>
  </si>
  <si>
    <t>Always helpful to recognize #stress and its #effects ppl at my work need a toolkit on how to manage stress.</t>
  </si>
  <si>
    <t>http://www.stress.org/stress-effects/#effects</t>
  </si>
  <si>
    <t>@unccharlotte &amp; @49ersWSoccer D1 Alum | MBA | Data Analyst in Patient Finance @UR_Med | #health #wellness #GlickFit #GirlsofGlickfit</t>
  </si>
  <si>
    <t>Wellness in Motion Inc</t>
  </si>
  <si>
    <t>6 Effective Ways to Manage Stress #massagebook #stress #healthandwellness #wellnessinmotion #mobiemassage #yyc #mentalhealth</t>
  </si>
  <si>
    <t>https://pbs.twimg.com/media/EOWS54qX4AEtYQc.jpg</t>
  </si>
  <si>
    <t>Copperfield, Calgary</t>
  </si>
  <si>
    <t>Wellness in Motion inc is one of Calgary's newest mobile services, offering mobile massage therapy with direct billing, and amazing beauty supplies.</t>
  </si>
  <si>
    <t>http://www.wellnessinmotion.ca</t>
  </si>
  <si>
    <t>https://pbs.twimg.com/media/EOWS2hKXkAIaTo2.jpg</t>
  </si>
  <si>
    <t>Ժҽղíտҽ ɾҽղҽҽ</t>
  </si>
  <si>
    <t>Happy Hump Day!! 💜 True!!! Don’t tell me that!! #Stress #DontLetItGetToYou #BabyYoda #Love #Truth</t>
  </si>
  <si>
    <t>https://www.instagram.com/p/B7Wm7WalxNj6p8yvh8TcxfkierA22l_E5hBLzI0/?igshid=pii90e9eia45</t>
  </si>
  <si>
    <t>Sweet Southern Princess👸🏽✨Daughter Sister God-Mother Niece &amp; Friend✨Lover of People &amp; Animals &amp; Music ✨Multiracial✨ Encourager of Love &amp; Peace💜✌🏼️🎶💋💖🙏🏼</t>
  </si>
  <si>
    <t>Patricia Bannan, RDN</t>
  </si>
  <si>
    <t>What’s the best advice to deal with #stress at #work? Find out my thoughts in this article from @LIVESTRONG_COM</t>
  </si>
  <si>
    <t>https://www.livestrong.com/article/13715223-how-to-deal-with-stress-at-work/</t>
  </si>
  <si>
    <t>Nutrition expert for TV &amp; Print, Author of Eat Right When Time Is Tight, Freelance Writer, Past CNN Reporter, Passionate about Health &amp; Wellness!</t>
  </si>
  <si>
    <t>http://www.patriciabannan.com</t>
  </si>
  <si>
    <t>tritiumDX - When you grow, we help you focus!</t>
  </si>
  <si>
    <t>How Successful Leaders Manage #Stress, Stay Balanced, and Find Their Focus:  #WellnessWednesday #businesstips #wellness</t>
  </si>
  <si>
    <t>https://loom.ly/g3N3c7U</t>
  </si>
  <si>
    <t>tritiumDX is your international #partner in #digitaltransformation at the intersection of sales, marketing, and technology for ScaleUps and Enterprises alike.</t>
  </si>
  <si>
    <t>http://www.tritiumdx.com</t>
  </si>
  <si>
    <t>anandaleeke</t>
  </si>
  <si>
    <t>#WellnessWednesday Video: Watch my #ThrivingMindfully as the REAL YOU video &amp; learn how to de-stress with the power of your breath. It takes less than 1-minute to practice my Make Your Breath Your BFF exercise. Tweet what happened when you try it!  #stress</t>
  </si>
  <si>
    <t>https://youtu.be/_SlQAeiGRso</t>
  </si>
  <si>
    <t>Award-Winning #Wellness Professional, Author &amp; Artist (Fmr Lawyer): I help you thrive w/ #mindfulness, #selfcare &amp; #creativity. Sign up http://eepurl.com/dFtWGb</t>
  </si>
  <si>
    <t>https://linktr.ee/anandaleeke</t>
  </si>
  <si>
    <t>Michelle</t>
  </si>
  <si>
    <t>“When we are motivated by goals that have deep meaning, by dreams that need completion, by pure love that needs expressing, then we truly live life.” – Greg Anderson #motivationquote #mindset #money #stress #blessed #millionaire #buildyourempire #motivate #believe</t>
  </si>
  <si>
    <t>https://pbs.twimg.com/media/EOWOTKLW4AYSM8x.jpg</t>
  </si>
  <si>
    <t>Consultant Author CEO AngelFaceMedia Certified LOA Experienced Expert Entrepreneur Marketing, TransformationCoaching StressManagement and Promotion, Advertising</t>
  </si>
  <si>
    <t>MindVisionCoach</t>
  </si>
  <si>
    <t>I love this! You must be committed. You must WANT the change for it to happen. What is the change that you are passionate about? 😃 #mindvisioncoach #coaching #CBT #NLP #change #CBC #stress #goals #procrastination #confidence #success #habits #hope</t>
  </si>
  <si>
    <t>https://pbs.twimg.com/media/EOWL_pHWkAEXdtt.png</t>
  </si>
  <si>
    <t>I help people find fulfilment and direction in their careers and personal lives by using a range of tools and techniques I Art lover I Dog walker</t>
  </si>
  <si>
    <t>http://sites.google.com/view/mindvisioncoaching</t>
  </si>
  <si>
    <t>Dr. Lisa Kaplin</t>
  </si>
  <si>
    <t>I’m removing the words, “I don’t have time for . . .” from my vocabulary. Life happens, the stomach flu happens, emergencies happen, and we have no control over most of it. #flexibility #stress #illness #emergencies #control</t>
  </si>
  <si>
    <t>https://goo.gl/3xve37</t>
  </si>
  <si>
    <t>https://pbs.twimg.com/media/EOWL_JDUYAA3gDF.png</t>
  </si>
  <si>
    <t>I'm a psychologist, professional coach &amp; speaker.I help motivated people overcome stress and overwhelm in order to find joy, success and meaning in their lives.</t>
  </si>
  <si>
    <t>http://www.lisakaplin.com</t>
  </si>
  <si>
    <t>“Don’t Have Time for Sitting Meditation? Try Mindfulness Driving Meditation”  #stress peace #love</t>
  </si>
  <si>
    <t>National Institute of Whole Health</t>
  </si>
  <si>
    <t>Most of us think of stress as the emotional conflicts we experience in our daily lives, but our emotions are just one category or one type of “event” that can cause #stress. So what exactly is stress, and where does it come from?  #wholehealth #health</t>
  </si>
  <si>
    <t>https://www.wholehealtheducation.com/living/2020/01/what-exactly-is-stress-and-where-does-it-come-from/</t>
  </si>
  <si>
    <t>https://pbs.twimg.com/media/EOWLCnHX0AIlXXt.jpg</t>
  </si>
  <si>
    <t>Wellesley, MA</t>
  </si>
  <si>
    <t>Since 1977, pioneers of Whole Health Education ® and Whole Person Health Care™ to prevent disease and improve wellness.</t>
  </si>
  <si>
    <t>http://www.wholehealtheducation.com/</t>
  </si>
  <si>
    <t>Rejuvenated Ltd</t>
  </si>
  <si>
    <t>If you’re looking to help manage your weight &amp; feel less sluggish, our Re-set is a pioneering formula that’s packed with essential herbs &amp;amp; active ingredients. It helps boost your metabolism, manage #stress &amp;amp; stabilise blood sugar levels. A winner!  #vegan</t>
  </si>
  <si>
    <t>http://ow.ly/wdU850xWdas</t>
  </si>
  <si>
    <t>https://pbs.twimg.com/media/EOWK1ADXUAApQ7l.jpg</t>
  </si>
  <si>
    <t>Award-winning ‘beauty from within’ supplements from British brand Rejuvenated.</t>
  </si>
  <si>
    <t>http://rejuvenated.com</t>
  </si>
  <si>
    <t>Godfrey Ifeanyi</t>
  </si>
  <si>
    <t>"A COMFORT ZONE is a behavioral space where your activities and behaviors fit a routine and pattern that minimizes #stress or risk" No one has ever #succeeded in that space so learn to #disrupt it as often as #possible.</t>
  </si>
  <si>
    <t>#success expert, Convener #project1000Uniben Executive director @IMPACTAFRICAIN1</t>
  </si>
  <si>
    <t>Exciting times! Introducing my very own Publication on : 'The Mind Coach Kit Bag' All my stories &amp; articles will soon be in one place &amp;amp; extra easy to find. Just 'Follow' me once you're there!  #stress #MentalHealthMatters #coaching</t>
  </si>
  <si>
    <t>http://Medium.com
https://medium.com/the-mind-coach-kit-bag</t>
  </si>
  <si>
    <t>https://pbs.twimg.com/media/EOWIs_cWAAAJ_qO.jpg</t>
  </si>
  <si>
    <t>Julia Grace McCammon</t>
  </si>
  <si>
    <t>What I Learned From Building a Unicorn: Be Challenged, Not Stressed. “How we perceive, frame and interact with the things that stress us can make quite a difference.” #awareness #stress #success</t>
  </si>
  <si>
    <t>http://bit.ly/35FLR0M</t>
  </si>
  <si>
    <t>https://pbs.twimg.com/media/EOWImxCW4AAN-WC.jpg</t>
  </si>
  <si>
    <t>Life Force Energy Healer, gifts validated and published in Int’l peer-reviewed science journals #Healing #Wellness #BiofieldEnergy #LifeForceEnergy</t>
  </si>
  <si>
    <t>https://www.JuliaGraceHealer.com</t>
  </si>
  <si>
    <t>How to cope with newsfeed #stress -  #anxiety #MentalHealth</t>
  </si>
  <si>
    <t>http://bit.ly/2kaU8my?utm_campaign=coschedule&amp;utm_source=twitter&amp;utm_medium=hanna_higher</t>
  </si>
  <si>
    <t>Karl Schaphorst</t>
  </si>
  <si>
    <t>It's always something. Remember, people's personal lives matter more. #personallives #perspective #stress</t>
  </si>
  <si>
    <t>https://buff.ly/2nPBN5c</t>
  </si>
  <si>
    <t>Sandler Training, Owner, Husband &amp; Dad, Triathlete, Disciple of Christ</t>
  </si>
  <si>
    <t>http://www.karlschaphorst.sandler.com</t>
  </si>
  <si>
    <t>Anxiety Free Entrepreneurs</t>
  </si>
  <si>
    <t>Have you joined the #Calmpreneur hive yet? Take our #stress assessment and follow the step-by-step to a calmer business!  #BusinessWoman #Anxiety</t>
  </si>
  <si>
    <t>https://calmpreneur.vipmembervault.com/products</t>
  </si>
  <si>
    <t>https://pbs.twimg.com/media/EOWHXZmW4AEgUos.jpg</t>
  </si>
  <si>
    <t>🙏🏻 On a calmpaign to do business differently 🚫 Grind &amp; hustle-free zone 🧘🏼‍♀️ Less stress, more calm 👑🐝 @suzannahbutcher 🏷 #anxiety #business #calm</t>
  </si>
  <si>
    <t>https://campsite.bio/calmpreneur</t>
  </si>
  <si>
    <t>Cost Plus Nutrition</t>
  </si>
  <si>
    <t>The Best Supplements To Grow Gorgeous Hair!  #Costplusnutrition #Folate #Shoplocal #Hair #Stress #HairLoss #CPNLife #Sanantonio</t>
  </si>
  <si>
    <t>https://go.costplus-nutrition.com/df873320</t>
  </si>
  <si>
    <t>https://pbs.twimg.com/media/EOWGIySX4AYz0Az.jpg</t>
  </si>
  <si>
    <t>San Antonio's original independent vitamin store. We offer vitamins, supplements, sports nutrition products and more. Our Staff does not work on commission!</t>
  </si>
  <si>
    <t>https://www.facebook.com/costplusnutrition/</t>
  </si>
  <si>
    <t>Jackie Siples</t>
  </si>
  <si>
    <t>Smoking cigarettes is like paying to have your life cut shorter.  Call Now:727-796-1932 #achieveawarenesshypnosis #life #saving #stress #quit #smoke #tampa #clearwater</t>
  </si>
  <si>
    <t>https://achieveawarenesshypnosis.com</t>
  </si>
  <si>
    <t>https://pbs.twimg.com/media/EOWFSl3U4AAYmHM.png</t>
  </si>
  <si>
    <t>Clearwater, FL</t>
  </si>
  <si>
    <t>Your thoughts are very powerful and have the capacity to determine how you live your life.</t>
  </si>
  <si>
    <t>http://achieveawarenesshypnosis.com</t>
  </si>
  <si>
    <t>FEMS</t>
  </si>
  <si>
    <t>Many biologic aspects are involved in cellular #ageing, including response to #stress. In this review, Dawes &amp; Perrone discussed the impact of stress events on ageing in #yeast. #FEMSJournals</t>
  </si>
  <si>
    <t>https://doi.org/10.1093/femsyr/foz085</t>
  </si>
  <si>
    <t>https://pbs.twimg.com/media/EOWBe5DXsAM7iDQ.jpg</t>
  </si>
  <si>
    <t>Federation of European Microbiological Societies Instagram: http://bit.ly/30Lrj4B | Facebook: http://bit.ly/2MIR42e | YouTube: http://youtube.com/FEMSTV</t>
  </si>
  <si>
    <t>http://www.fems-microbiology.org</t>
  </si>
  <si>
    <t>Vo</t>
  </si>
  <si>
    <t>#STRESS miss you bro #hbd</t>
  </si>
  <si>
    <t>snapchat/ mr1way</t>
  </si>
  <si>
    <t>Instagram &amp; snapChat @mr1way</t>
  </si>
  <si>
    <t>Take command of the things you have control over! #mentalhealth #anxiety #stress #depression #ptsd #psychology #lcsw #therapy #selfcare</t>
  </si>
  <si>
    <t>https://pbs.twimg.com/media/EOWD-9kWoAAVSnQ.jpg</t>
  </si>
  <si>
    <t>Shamika</t>
  </si>
  <si>
    <t>Did you know that just a very short period of time outside can reduce your levels of #anxiety, #stress and #depression? Even just a walk around the block will do the trick. Click the below to read more. 💕 HOL1980  #wellness #selfcare #mentalhealth</t>
  </si>
  <si>
    <t>https://houseoflaurelle1980.com/blog/Get-Out</t>
  </si>
  <si>
    <t>Living a lifestyle 💕 Blogger 💚 C. Creator 🤓 Handmade Shop 🖌 Click SHOP tab on site menu #HOL1980 #mentalhealth #wellnessblogger #handmade</t>
  </si>
  <si>
    <t>http://www.houseoflaurelle1980.com</t>
  </si>
  <si>
    <t>Cardio Exercises Boosts Brain Health, New Study Finds  . . . . #neurofeedback #biofeedback #cardio #training #exercise #brainhealth #braintraining #neuroplasticity #brainmap #brainscan #EEG #mentalhealth #brain #stress #mindfulness #healthymind</t>
  </si>
  <si>
    <t>http://ow.ly/3qTg50xWip2</t>
  </si>
  <si>
    <t>Ejder Sevgen Raif</t>
  </si>
  <si>
    <t>Learn how to correctly deal with #stress to help your #healthandwellbeing. RT @NHSuk: Stress is something that can affect us all at times. But the good news is that there are lots of simple steps you can take to deal with stress. Get started here:  #EveryMindMatters</t>
  </si>
  <si>
    <t>https://twitter.com/NHSuk/status/1217449307714002944
http://ow.ly/Ious30pLcGB</t>
  </si>
  <si>
    <t>pic.twitter.com/8P6d5hkmEa</t>
  </si>
  <si>
    <t>Stylist Magazine</t>
  </si>
  <si>
    <t>Sometimes – just sometimes – it really is better to stay home and do nothing. Just assk @ThisisDavina  #davinamccall #burnout #stress #dayoff #mindfulness #WednesdayWisdom</t>
  </si>
  <si>
    <t>https://buff.ly/2QU5hLi</t>
  </si>
  <si>
    <t>The weekly magazine for smart, successful, sophisticated women. Tweets on fashion, beauty, books, food &amp; fun stuff we love.</t>
  </si>
  <si>
    <t>http://www.stylist.co.uk</t>
  </si>
  <si>
    <t>PlanSource</t>
  </si>
  <si>
    <t>Starbucks is launching a new employee assistance program and #mentalhealth first aid training in the coming months. It will cover topics like life challenges, #stress management, physical #health, and many others. Check it out here -  #WellnessWednesday 💚</t>
  </si>
  <si>
    <t>http://bit.ly/2N6ejCD</t>
  </si>
  <si>
    <t>Better technology for a better benefits experience.</t>
  </si>
  <si>
    <t>https://plansource.com</t>
  </si>
  <si>
    <t>Greenleaf Medical Clinic</t>
  </si>
  <si>
    <t>#Study sheds light on link between #cannabis, #anxiety and #stress  #mentalhealth #medicalmarijuana</t>
  </si>
  <si>
    <t>http://ow.ly/oaxz50xVzqX</t>
  </si>
  <si>
    <t>Langley, British Columbia</t>
  </si>
  <si>
    <t>We are a specialty clinic assessing patients in Canada for the appropriateness of using medical cannabis to treat their symptoms. Call 1-877-513-4769</t>
  </si>
  <si>
    <t>http://www.greenleafmc.ca</t>
  </si>
  <si>
    <t>Manage Your Time to Help You Manage Your #Anxiety. New. ||  == #mentalhealth #gad #stress #timemanagement #mhsm #mhchat</t>
  </si>
  <si>
    <t>https://pbs.twimg.com/media/EOWBvnLW4AEbKue.jpg</t>
  </si>
  <si>
    <t>Relieve #Stress, #Anxiety &amp; more with a #CES Device. Get Proven Relief the Pharmaceutical-Free way! #DrugFree #SideEffectFree #AnxietyRelief #insomnia #Depression #ChronicPain #Pain #StressRelief #OasisPro #CESUltra #FisherWallaceStimulator</t>
  </si>
  <si>
    <t>https://www.drdiane.com/product-category/cranial-electrotherapy-stimulation-machines/</t>
  </si>
  <si>
    <t>Dorlee Michaeli</t>
  </si>
  <si>
    <t>Love the video of Holly playing with the ball launcher! ✅ How Marianna uses #stress techniques help her to stay in the moment stay and celebrate the time she has left with Holly. 🌺 Sending healing thoughts and best wishes to you ! 💐 #life RT @AuntieStress: It's been over 2 yrs. since Holly was diagnosed with a #tumour: . We've been giving her Spark and LifeGold from @PetWellbeing. I believe it's helping to keep my "4-legged trainer" in a job. :)</t>
  </si>
  <si>
    <t>https://twitter.com/auntiestress/status/1217160682304466944
http://auntiestress.com/2018/01/19/driving-miss-holly/</t>
  </si>
  <si>
    <t>#Psychotherapist (MBA, LCSW) #EMDR | Consultant | Writer | she/her; http://SocialWork.Career | #socialworker #digitalhealth #innovation</t>
  </si>
  <si>
    <t>http://www.dorleemichaeli.com</t>
  </si>
  <si>
    <t>eDocAmerica</t>
  </si>
  <si>
    <t>Physicians ages 40 to 54 experience a higher rate of #burnout than younger or older physicians...  #doctor #physicians #stress #worklife #mentalhealth</t>
  </si>
  <si>
    <t>https://www.wsj.com/articles/physician-burnout-widespread-especially-among-those-midcareer-report-says-11579086008</t>
  </si>
  <si>
    <t>Little Rock, AR</t>
  </si>
  <si>
    <t>Providing organizations unlimited internet, smartphone app, and telephonic access to physicians, psychologists, pharmacists, dentists, dietitians, and more...</t>
  </si>
  <si>
    <t>http://www.eDocAmerica.com</t>
  </si>
  <si>
    <t>Yvonne Martin London</t>
  </si>
  <si>
    <t>Struggling with #stress or #anxiety! Patrick McKeown is a world-renowned breathing expert, who has trained people with breathing techniques that lower stress levels, reduce overall anxiety, and improve physical wellbeing. @buteykoclinic #wednesdaywisdom</t>
  </si>
  <si>
    <t>https://pbs.twimg.com/media/EOV-P3vXsAIbApF.jpg</t>
  </si>
  <si>
    <t>Yvonne Martin is one of the UK's leading facialists and a notable expert within the beauty industry. Facebook &amp; Instagram: @yvonnemartinlondon</t>
  </si>
  <si>
    <t>http://www.yvonnemartin.co.uk</t>
  </si>
  <si>
    <t>Suzann Mullennix</t>
  </si>
  <si>
    <t>Do you have stress in your office?# #stress Aches &amp; pains from riding your desk chair? #aches #pains Massage may help, I would love to work with your teams. Massage in your office. #selfcare #wellness #wellbeing #massage #Grandville</t>
  </si>
  <si>
    <t>https://lnkd.in/e8FwdjP</t>
  </si>
  <si>
    <t>Michigan Licensed Massage Therapist, Certified Holistic Manual Lymphatic Drainage therapist - Vodder trained.</t>
  </si>
  <si>
    <t>If you don’t Draw Others In to your (un)busy life, you’ll feel isolated. Here’s how I... #busyness #timemanagement #GettinunBusy #stress #exhaustion #overwhelm #StressManagement #leadership #busy #SelfImprovement #PersonalDevelopment #entrepreneur #unbusy</t>
  </si>
  <si>
    <t>https://youtu.be/CFVEdp_8scY</t>
  </si>
  <si>
    <t>https://pbs.twimg.com/media/EOV9FpnXUAcoy5v.jpg</t>
  </si>
  <si>
    <t>Juanabiel</t>
  </si>
  <si>
    <t>Stress in the city: Mazda Adli at TEDxBerlin  via @YouTube #MentalHealth #Stress</t>
  </si>
  <si>
    <t>https://youtu.be/chmRjQP8-e0</t>
  </si>
  <si>
    <t>🇺🇸</t>
  </si>
  <si>
    <t>#mentalhealth #stress #depression #anxiety Herbal Healing for Women: Simple Home Remedies for Women of All Ages Reviews -</t>
  </si>
  <si>
    <t>https://pachaworld.org/mentalhealth-stress-depression-anxiety-herbal-healing-for-women-simple-home-remedies-for-women-of-all-ages-reviews</t>
  </si>
  <si>
    <t>https://pbs.twimg.com/media/EOV8WyFXUAEevNi.jpg</t>
  </si>
  <si>
    <t>Fabien Lamaze</t>
  </si>
  <si>
    <t>Some alarming results A new survey has found a high level of #stress among scientists, which many attribute to an atmosphere of pressure and #bullying . The survey, which was commissioned by the Wellcome Trust, surveyed more than 4,000 scientists</t>
  </si>
  <si>
    <t>https://pbs.twimg.com/media/EOV8VP4XUAIKJon.jpg</t>
  </si>
  <si>
    <t>Postdoctoral fellow @AwadallaLab and @OICR_news. Investigating Omics for biomarkers development|Evolutionary Medicine|Diagnosis|Treatment|AI</t>
  </si>
  <si>
    <t>Personal Zen</t>
  </si>
  <si>
    <t>Our past mistakes and wrong doings can often come back to haunt our thoughts. Unfortunately, regret and stress are too often part of how we relive these experiences. Here is a few steps to stop your thoughts spiraling out of control:  #stress #anxiety</t>
  </si>
  <si>
    <t>https://www.instagram.com/p/B7WX4iqAGWa/</t>
  </si>
  <si>
    <t>https://pbs.twimg.com/media/EOV63aZWoAAyHSB.jpg</t>
  </si>
  <si>
    <t>Evidence-based mind training app for reducing stress and anxiety. ✨</t>
  </si>
  <si>
    <t>https://apps.apple.com/us/app/personal-zen/id689013447</t>
  </si>
  <si>
    <t>MyProfsr</t>
  </si>
  <si>
    <t>Here to offer #academic #help &amp; #support to all #students 24 hours a day, 7 days a week⏰🤝😊 #exams #exam #stress #anxiety #gcses2020 #gcse #alevels2020 #alevels #revision #mocks #backtoschool2020 #parents #WednesdayMotivation</t>
  </si>
  <si>
    <t>https://pbs.twimg.com/media/EOV62DrWkAEuOpC.jpg</t>
  </si>
  <si>
    <t>An online tutoring platform where students can engage &amp; interact in live 1 to 1 online lessons with highly qualified tutors – anytime &amp; anywhere!</t>
  </si>
  <si>
    <t>http://myprofsr.com/</t>
  </si>
  <si>
    <t>Keystream</t>
  </si>
  <si>
    <t>A staggering 44% of adults regularly check work emails/work at night, the downside of being constantly connected. But, employers are better at giving staff a healthy work/life balance.  #mentalhealth #MIND #balance #stress #switchoff @BBCNews @MindCharity</t>
  </si>
  <si>
    <t>https://www.bbc.co.uk/news/business-51085719</t>
  </si>
  <si>
    <t>UK wide</t>
  </si>
  <si>
    <t>Recruiting #digital #PMO #BI #risk #governance &amp; corporate functions talent for #NHS #Healthcare #Government &amp; #Charity organisations</t>
  </si>
  <si>
    <t>http://www.key-stream.com</t>
  </si>
  <si>
    <t>Summit Educational</t>
  </si>
  <si>
    <t>While #SAT / #ACT Hybrid Tests can seem like a time-saver, in reality they usually cause more #stress and more work to figure out what #test is best for you. Read why we don't recommend them. #college</t>
  </si>
  <si>
    <t>http://bit.ly/2tb5mRR</t>
  </si>
  <si>
    <t>Test Prep Tutoring Programs Focusing on the Individual Student. SAT/PSAT, ACT, ISEE, SSAT</t>
  </si>
  <si>
    <t>http://mytutor.com/</t>
  </si>
  <si>
    <t>Cholesterol, Circulation, Cold/Flu, Diabetes/Sugar. Heal Yourself Natural. Shop Online at  or call us for more information: 1-877-626-4112 #Herbal #Natural #Teas #Health #Remedies #Free #Stress #Vitamins #MensHealth</t>
  </si>
  <si>
    <t>http://www.TheHerbalGardens.com
https://shr.link/xfkfb</t>
  </si>
  <si>
    <t>KelleyHolland</t>
  </si>
  <si>
    <t>Yes there is a reason there is a banana in the middle of the table during my @NJBIA podcast with @k8conroy, talking #women, #money, and #financial #stress...but you'll have to watch to find out:</t>
  </si>
  <si>
    <t>https://bit.ly/2FRtRWL</t>
  </si>
  <si>
    <t>https://pbs.twimg.com/media/EOV6vnlWAAArWEp.jpg</t>
  </si>
  <si>
    <t>NYC metro area</t>
  </si>
  <si>
    <t>Financial stress expert &amp; founder, Own Your Destiny Coaching. Longtime biz journalist. Fmr @NYT, @CNBC, @BusinessWeek, @MONEY. Mom, foodie, bookworm, traveler.</t>
  </si>
  <si>
    <t>http://ownyourdestinycoaching.com</t>
  </si>
  <si>
    <t>dan smith</t>
  </si>
  <si>
    <t>Do you have issues sleeping? CBD May help. Visit wellness garden medicinals and check out what we have to offer!  code DASMITH at check out save 10% #insomnia #icantsleep #CBD #cbdhealth #adaptogens #painrelief #anxiety #stress …</t>
  </si>
  <si>
    <t>http://wgmed.com/?p=r1WEKjn05CS
http://wgmed.com/blogs/cbd-blog</t>
  </si>
  <si>
    <t>yoga instructor @ majaka yoga</t>
  </si>
  <si>
    <t>7 Free Ways to #Relieve #Stress meditation #yoga</t>
  </si>
  <si>
    <t>https://pbs.twimg.com/media/EOV5s80WsAAPZwp.jpg</t>
  </si>
  <si>
    <t>7 Healthier Ways to Cope With Stress in 2020  #Boundaries #Burnout #Stress #Selfcare #BreakfastLeadership</t>
  </si>
  <si>
    <t>https://buff.ly/2TrXjuo</t>
  </si>
  <si>
    <t>https://pbs.twimg.com/media/EOV4RzWXUAEIYrT.jpg</t>
  </si>
  <si>
    <t>GAM Productions</t>
  </si>
  <si>
    <t>Did you know that, in some forms, stress can actually be advantageous? Please read more in the article featured herein. #WednesdayWisdom #Stress #Lifestyle @mindbodygreen</t>
  </si>
  <si>
    <t>https://bit.ly/35Si05v</t>
  </si>
  <si>
    <t>Penn, PA</t>
  </si>
  <si>
    <t>📷 on @Flickr, 🎥 on @YouTube. ✍️ and sports fan. Posts are not endorsements.</t>
  </si>
  <si>
    <t>https://www.youtube.com/user/usolympicfan1</t>
  </si>
  <si>
    <t>#NationalHatDay Please don't play with matches. And please give your system what in needs, #positives helping your body with #Organic #CBD 1 of Natures gifts. No #stress Sale @</t>
  </si>
  <si>
    <t>pic.twitter.com/Hr2GJC2HfQ</t>
  </si>
  <si>
    <t>NewcastleHypnotherapy</t>
  </si>
  <si>
    <t>Food &amp; Supplements for #anxiety #stress #depression #mentalhealth</t>
  </si>
  <si>
    <t>https://www.newcastle-hypnotherapy.com/food-supplements-anxiety-stress/?preview=true</t>
  </si>
  <si>
    <t>https://pbs.twimg.com/media/EOV1nRxX0AEo6jB.jpg</t>
  </si>
  <si>
    <t>http://www.newcastle-hypnotherapy.com/</t>
  </si>
  <si>
    <t>Lee Horton PhD</t>
  </si>
  <si>
    <t>How to Foster Employee Motivation  We offer Psychological Counseling. Visit us at  for more information. #LeeHortonPhD #stress #lakeland</t>
  </si>
  <si>
    <t>http://bit.ly/308bQwQ
http://www.counselinginmemphis.com</t>
  </si>
  <si>
    <t>Memphis, TN, US, 38119</t>
  </si>
  <si>
    <t>COUNSELING PSYCHOLOGIST IN MEMPHIS, TN.</t>
  </si>
  <si>
    <t>https://www.counselinginmemphis.com/</t>
  </si>
  <si>
    <t>Revisit #episode21 where we discuss #life in a #smallTown #familyDynamics and how to tackled #stress and #conflict</t>
  </si>
  <si>
    <t>https://soundcloud.com/thecuriosityhourpodcast/s01-e21-rebecca-arellano</t>
  </si>
  <si>
    <t>https://pbs.twimg.com/media/EOV0qmcXUAISjtZ.jpg</t>
  </si>
  <si>
    <t>#NationalHatDay Fight the good fight every moment, every minute, every day. And the fight gets easier by helping your body with #Organic #CBD 1 of Natures gifts. No #stress Sale @</t>
  </si>
  <si>
    <t>pic.twitter.com/rMr05uwIDV</t>
  </si>
  <si>
    <t>ADDICTED</t>
  </si>
  <si>
    <t>ADDICTED Flashback: The top 10 least stressful cities in the world &gt;  #weraddicted #stress</t>
  </si>
  <si>
    <t>https://www.weraddicted.com/the-top-10-least-stressful-cities-in-the-world/</t>
  </si>
  <si>
    <t>ADDICTED - the best in Music, Fashion, Travel, &amp; so much more. Get Addicted. Founded by @TheMaleAddict @TheNadiaE 📧 “name”@weraddicted.com</t>
  </si>
  <si>
    <t>http://www.weraddicted.com</t>
  </si>
  <si>
    <t>All Health Matters</t>
  </si>
  <si>
    <t>Line managers are often the best people to spot the symptoms of stress in their team. But to spot symptoms successfully, they need to know what they are looking for, and what to do about it.  #mentalhealth #stress #employeehealth</t>
  </si>
  <si>
    <t>http://bit.ly/2VrwSHo</t>
  </si>
  <si>
    <t>https://pbs.twimg.com/media/EOV0NsTWkAIhZgI.jpg</t>
  </si>
  <si>
    <t>Kent, Docklands, West London</t>
  </si>
  <si>
    <t>Helping businesses manage and maintain #employeehealth &amp; wellbeing with a personal touch. Fitness medicals, case management, pre-placement, DSE, wellbeing.</t>
  </si>
  <si>
    <t>http://www.allhealthmatters.co.uk</t>
  </si>
  <si>
    <t>NDSU Extension-Food</t>
  </si>
  <si>
    <t>In a recent #Diabetes #Prevention Program class we talked about #stress and it's impact on our #health. Constant stress can lead to #heart problems, headaches, migraines, back pain and ulcers. Research has also associated stress with a weak immune system.</t>
  </si>
  <si>
    <t>https://bit.ly/2Ntqmdn</t>
  </si>
  <si>
    <t>https://pbs.twimg.com/media/EOV0J6BWoAU-1Cl.jpg</t>
  </si>
  <si>
    <t>North Dakota</t>
  </si>
  <si>
    <t>Bringing researched-based information about food and nutrition to the people of North Dakota and beyond. NDSU is an EO/AA employer</t>
  </si>
  <si>
    <t>http://www.ag.ndsu.edu/food</t>
  </si>
  <si>
    <t>The better you feel, the better it gets. Why? UR mind is open to see opportunities. Get more info @  #stress #loa</t>
  </si>
  <si>
    <t>Happyness is about you and how you travel with todays problems and making them seem like no issue at all. #work #quoteoftheday #counselling #hcsmSA #southafrica #stress #help #anxiety #mindfulness</t>
  </si>
  <si>
    <t>https://pbs.twimg.com/media/EOTynDHWkAEVD48.jpg</t>
  </si>
  <si>
    <t>Lissa M. Cowan</t>
  </si>
  <si>
    <t>Finland Prime Minister’s Aspirational Goal Of A Six-Hour, Four-Day Workweek: Will It Ever Happen? via @forbes  #worklifebalance #thrive #overwork #stress</t>
  </si>
  <si>
    <t>https://www.forbes.com/sites/jackkelly/2020/01/08/finlands-prime-ministers-aspirational-goal-of-a-six-hour-four-day-workweek-will-this-ever-happen/#5819eeb63638</t>
  </si>
  <si>
    <t>Wakefield, Quebec</t>
  </si>
  <si>
    <t>Writer, ailurophile, bourbon imbiber. @CNFCollective Writing CNF book on climate. Heart Writing ™ teacher, #FireflySessions true story coach @DailyOm @Blisspot</t>
  </si>
  <si>
    <t>https://linktr.ee/lissamcowan</t>
  </si>
  <si>
    <t>Have California Car Burglaries Become an Epidemic?  #Love #stress #strife #faith #improve #emboldened #confidence #mature #maturity #patience #San #Francisco #positive #leadership #humility #servitude #parenting #Christian #Devotion #Bible #God #Christ</t>
  </si>
  <si>
    <t>https://youtu.be/YyNX9aWIhBw</t>
  </si>
  <si>
    <t>Katharina Heil</t>
  </si>
  <si>
    <t>Impressions of the EarlyCause kick-off meeting @UniBarcelona coordinated by @KarimLekadir EarlyCause will study the link between Early Life Stress and multimorbidity #stress #multimorbidity #healthy</t>
  </si>
  <si>
    <t>https://pbs.twimg.com/media/EOVzltdWoAEZqiH.jpg</t>
  </si>
  <si>
    <t>Barcelona, Spain</t>
  </si>
  <si>
    <t>@euCanSHare Project Manager - #EMA #President - linking scientists, developing projects and influencing Higher Education</t>
  </si>
  <si>
    <t>Psychother Psychosom</t>
  </si>
  <si>
    <t>#stress can affect bone structure  #mentalhealth #health</t>
  </si>
  <si>
    <t>https://www.karger.com/Article/FullText/503640</t>
  </si>
  <si>
    <t>https://pbs.twimg.com/media/EOVzMNRW4AAv0Xd.jpg</t>
  </si>
  <si>
    <t>Journal of controversial issue, innovations and original investigations. Home of innovative thinking at the interface between medical and behavioral science.</t>
  </si>
  <si>
    <t>http://www.karger.com/Journal/Home/223864</t>
  </si>
  <si>
    <t>Charlotte Ford</t>
  </si>
  <si>
    <t>Haven’t even started my postgrad yet because my enrolment is a mess. Can’t wait to see how this year goes. #stress #postgraduate</t>
  </si>
  <si>
    <t>pic.twitter.com/giZpquy5sz</t>
  </si>
  <si>
    <t>Wolverhampton, West Midlands,</t>
  </si>
  <si>
    <t>Writer &amp; library worker - West Midlands, UK. 🇬🇧 I'm just here trying to be creative 📝🖊️📚🎭🎨🧶🎮 #supportcreatives</t>
  </si>
  <si>
    <t>http://www.charlford.com</t>
  </si>
  <si>
    <t>Gabriel Constans</t>
  </si>
  <si>
    <t>Bob Stahl, best-selling author, "How wonderful that you can use this app daily to foster greater balance &amp; ease." #meditation #app #mindful #health #stress #relax #exercise #body #scan #apps #visual #screen #LetItBe #Android #meditate #GreatApp 💡  💡</t>
  </si>
  <si>
    <t>https://tinyurl.com/jt2ddcf</t>
  </si>
  <si>
    <t>https://pbs.twimg.com/media/EOVxpwkUYAAOAt4.jpg</t>
  </si>
  <si>
    <t>#Author, #screenwriter &amp; #parent. #Teacher of #mindfulness, #body &amp; #mental #health. #Writer #journalist &amp; #ukelele #lover.</t>
  </si>
  <si>
    <t>http://www.gogabriel.com</t>
  </si>
  <si>
    <t>Why Semiretirement is Better than #Retirement; medical research and my experience in this clip. #stress #overwork</t>
  </si>
  <si>
    <t>Wellness &amp; Purpose</t>
  </si>
  <si>
    <t>Is there a correlation between stressful events and illnesses? If so, which events are among the top ten causes of stress and are stressful events the only contributing factor to illnesses? Finally, what can we do to manage it when it affects our health? #stress #mentalhealth</t>
  </si>
  <si>
    <t>https://pbs.twimg.com/media/EOVw_bAXUAErpeJ.jpg</t>
  </si>
  <si>
    <t>We take a holistic approach to mind and body well-being alongside financial independence to unlock a full sense of wellness &amp; purpose http://www.wellnessandpurpose.com</t>
  </si>
  <si>
    <t>cieronduggan</t>
  </si>
  <si>
    <t>Glad today is over #stress</t>
  </si>
  <si>
    <t>High Wycombe</t>
  </si>
  <si>
    <t>MD of Event Protection Services Ltd (EPS) huge Wasps fan! GAB @cieronduggan</t>
  </si>
  <si>
    <t>http://www.eventprotectionservices.co.uk</t>
  </si>
  <si>
    <t>“The” Brian LeBlanc</t>
  </si>
  <si>
    <t>Good News for People with Persistent #Anxiety  #socialanxiety #wellbeing #health #spreading #stress #wellness #selfcare</t>
  </si>
  <si>
    <t>https://wb.md/35Xi5F1</t>
  </si>
  <si>
    <t>Pensacola, FL</t>
  </si>
  <si>
    <t>#LivingWell with #VascularDementia and #Alzheimers but not allowing my Diseases to define me! #seemenotmydisease #livelife #personcenteredfocus #ENDALZ</t>
  </si>
  <si>
    <t>http://abitofbriansbrilliance.com</t>
  </si>
  <si>
    <t>Enliven Essentials</t>
  </si>
  <si>
    <t>https://pbs.twimg.com/media/EOVuNa8XsAA6uCd.jpg</t>
  </si>
  <si>
    <t>Cedarhurst, NY, USA</t>
  </si>
  <si>
    <t>Premium Hemp oil products. Legal in all 50 states Feel Great. Feel Free.</t>
  </si>
  <si>
    <t>http://EnlivenEssentials.com</t>
  </si>
  <si>
    <t>Jessica Wright</t>
  </si>
  <si>
    <t>#BabyYoda #stress #lol Let’s just throw things 😜</t>
  </si>
  <si>
    <t>https://pbs.twimg.com/media/EOVti7VX4AMGsRC.jpg</t>
  </si>
  <si>
    <t>Nashville, Tennessee</t>
  </si>
  <si>
    <t>Tax Slayer💸|Sewist✂️📍|Lyric Lover🎶|Autism Mom💙|Cat(s) Mom😻|💔|Wanderlust🚎</t>
  </si>
  <si>
    <t>https://www.etsy.com/shop/SeamsSewWrightTN</t>
  </si>
  <si>
    <t>Fique Ligado</t>
  </si>
  <si>
    <t>https://buff.ly/2Q54Tbj</t>
  </si>
  <si>
    <t>https://pbs.twimg.com/media/EOVthU7X0AEeepG.jpg</t>
  </si>
  <si>
    <t>Battersea Massage &amp; Wellness</t>
  </si>
  <si>
    <t>Working in the office or behind the computer can lead to stiff neck, lower back #pain, sciatica or high level of #stress.😖 There are 3 tips I use to help me out! 1. Get regular brake away from desk 2. #Breathing 3. Move your body #selfcare #Wellbeing #mentalhealth #TuesdayTips</t>
  </si>
  <si>
    <t>https://pbs.twimg.com/media/EOVs3GKWoAA417d.jpg</t>
  </si>
  <si>
    <t>Advanced Clinical and Sports Massage Therapist located in Battersea. Specialising in Pain management, Body mobility and Chronic pain conditions.</t>
  </si>
  <si>
    <t>https://www.facebook.com/Battersea-Clinical-Massage-Therapy-Wellness-110377857032172/</t>
  </si>
  <si>
    <t>Ruth Randall Life Coaching and Employee Wellbeing</t>
  </si>
  <si>
    <t>Emotionally exhausted and burnt out? Have a read of my article on how you can move forward.  #stress #lifecoaching</t>
  </si>
  <si>
    <t>https://buff.ly/2MJ1QUg</t>
  </si>
  <si>
    <t>https://pbs.twimg.com/media/EOVr7YfWsAEDgzP.png</t>
  </si>
  <si>
    <t>Welwyn Garden City, East</t>
  </si>
  <si>
    <t>Life Coach. Mental Health and Employee Wellbeing Specialist. Walk and Talk Coaching. Walking for Wellbeing.</t>
  </si>
  <si>
    <t>https://www.ruthrandall.com</t>
  </si>
  <si>
    <t>Derek Clay</t>
  </si>
  <si>
    <t>#Nursing Kika is a full time job. We both haven’t slept in almost 13 hours due to #stress and her major #Surgery; she’s been up all night crying and shaking 🥺🥺😭</t>
  </si>
  <si>
    <t>pic.twitter.com/IqxN2FYh1p</t>
  </si>
  <si>
    <t>Beverly Hills, CA</t>
  </si>
  <si>
    <t>A Entertainer and a Sex Symbol that Lives for the Stage. Make every Dream come True. The more they Hate, The Harder I Go!!! INSTAGRAM : @derekclay_dmanfame</t>
  </si>
  <si>
    <t>Start smart by@PamFR</t>
  </si>
  <si>
    <t>A little bit of #stress can improve #performance by making you alert, excited, ready to act. From Rule 39</t>
  </si>
  <si>
    <t>http://ideashape.com/book</t>
  </si>
  <si>
    <t>Silicon Valley</t>
  </si>
  <si>
    <t>Practical guide for your success as new VP, Dir, or Mgr! 42 Rules for Your New Leadership Role by @PamFR. Tips &amp; Q&amp;A for execs, managers, MBAs, coaches.</t>
  </si>
  <si>
    <t>http://www.ideashape.com/book</t>
  </si>
  <si>
    <t>Wisniewski Chiropractic</t>
  </si>
  <si>
    <t>Managing your stress can be as easy as making an appointment with a chiropractor. Here’s how an adjustment can help relieve stress.  #GetAdjusted #ChiropracticCare #Stress</t>
  </si>
  <si>
    <t>http://bit.ly/2QV6p10</t>
  </si>
  <si>
    <t>https://pbs.twimg.com/media/EOVp3CWX4AAOwJZ.jpg</t>
  </si>
  <si>
    <t>Omaha, NE</t>
  </si>
  <si>
    <t>Wisniewski Chiropractic is part of Thrive Wellness network. Stop into Thrive's complete health center to start your wellness journey!</t>
  </si>
  <si>
    <t>https://www.wisniewskichiropracticomaha.com/</t>
  </si>
  <si>
    <t>evolve nurturing vit</t>
  </si>
  <si>
    <t>Feeling stressed try to do it all this January? A stress list might be just what you need  via: @ShineText #stress #tools #cope #strength #begoodtoothers #health #wellness @evolveNV @docrahim @dochorsting #docwhite #nancyna</t>
  </si>
  <si>
    <t>https://buff.ly/2YB3EUV</t>
  </si>
  <si>
    <t>https://pbs.twimg.com/media/EOVo8VPWsAEffDR.jpg</t>
  </si>
  <si>
    <t>Vancouver, BC</t>
  </si>
  <si>
    <t>Dedicated team-providing quality care that nurtures, empowers and educates in health and wellness.</t>
  </si>
  <si>
    <t>http://www.evolvevitality.com</t>
  </si>
  <si>
    <t>Think:Kids</t>
  </si>
  <si>
    <t>In this @nortoneducation invited blog post, Dr. Ablon discusses the incredible power schools and educators have to help students buffer #stress, build skills, and reduce challenging behavior in a #traumainformed way. Read more ~  ~ #SchoolDisciplineFix</t>
  </si>
  <si>
    <t>https://k-12talk.com/2020/01/09/trending-in-2020-school-discipline-is-trauma-insensitive-and-trauma-uninformed/</t>
  </si>
  <si>
    <t>Boston, MA</t>
  </si>
  <si>
    <t>A program at Mass. General Hospital &amp; home of #CollaborativeProblemSolving; Think:Kids teaches an effective approach to helping kids w/challenging behaviors.</t>
  </si>
  <si>
    <t>http://www.thinkkids.org</t>
  </si>
  <si>
    <t>Construction Rehab</t>
  </si>
  <si>
    <t>"Some trees can live for more than 1,000 years, and scientist think they've figured out why They drink water. They don't #stress. They mind their own business. Be like a tree, folks, and live forever" (@CNN) 👍🏻😃</t>
  </si>
  <si>
    <t>New Westminster</t>
  </si>
  <si>
    <t>Providing evidence based mental health &amp; substance use services to CLRA &amp; BC Building trades members and their families.</t>
  </si>
  <si>
    <t>http://constructionrehabplan.com/</t>
  </si>
  <si>
    <t>HealthyWomen.org</t>
  </si>
  <si>
    <t>Most people are underestimating the effects that #stress can have on overall health. Here's what you can do to manage it.</t>
  </si>
  <si>
    <t>https://bit.ly/2Ert0LP</t>
  </si>
  <si>
    <t>We are the nation’s leading not-for-profit, independent health &amp; wellness information source for women. | Tag #teamHealthyWomen #KeepTheCare #BeHealthiHer</t>
  </si>
  <si>
    <t>http://www.healthywomen.org/</t>
  </si>
  <si>
    <t>Finn (TheInFinncible) 🏳️‍🌈</t>
  </si>
  <si>
    <t>Feeling stressed? Here are my top tips to R.E.D.U.C.E those #stress leveles! #MentalHealth #WednesdayWisdom</t>
  </si>
  <si>
    <t>https://finlaygames.com/feeling-stressed-reduce-mange-mental-health</t>
  </si>
  <si>
    <t>Eastbourne, England</t>
  </si>
  <si>
    <t>Writer (Trans memoir in progress with @JKPGender). YouTuber. Blogger. @tedx Speaker. @OpenUniversity Ambassador &amp; BA Hons Open Student. He/Him</t>
  </si>
  <si>
    <t>https://linktr.ee/finntheinfinncible</t>
  </si>
  <si>
    <t>Eating for Pregnancy</t>
  </si>
  <si>
    <t>#Exercise, in any form, including lifting arm #weights, will increase your #energy and can help overcome #insomnia, #stress, #anxiety, and #depression. #EatingforPregnancy #health #fitness #motherhood #selfcare #pregnancy</t>
  </si>
  <si>
    <t>https://pbs.twimg.com/media/EOVmZR8XkAE-vnk.png</t>
  </si>
  <si>
    <t>Bethesda, MD</t>
  </si>
  <si>
    <t>The MOST comprehensive #research-based #nutrition guide and #cookbook covering baby's #development + mom's #health month by month plus 150 #recipes #pregnancy</t>
  </si>
  <si>
    <t>https://www.amazon.com/Eating-Pregnancy-Essential-Month-Month/dp/0738285102/ref=dp_ob_title_bk</t>
  </si>
  <si>
    <t>MedicalMarijuana.ca</t>
  </si>
  <si>
    <t>http://ow.ly/N0af50xVzJZ</t>
  </si>
  <si>
    <t>Voted #1 Marijuana Clinic in Canada! Connecting patients, licensed producers and doctors under Health Canada's ACMPR</t>
  </si>
  <si>
    <t>http://www.medicalmarijuana.ca</t>
  </si>
  <si>
    <t>World of Camping</t>
  </si>
  <si>
    <t>Anyone need one of these? #slowmotion #slow #tortoise #camping #campervan #stress #worldofcamping</t>
  </si>
  <si>
    <t>Tents, Awnings, Camping Equipment. Campervan, Motorhome and Caravan Accessories - With World of Camping you can get everything you need for your trip!</t>
  </si>
  <si>
    <t>http://www.worldofcamping.co.uk</t>
  </si>
  <si>
    <t>Live Smarter.</t>
  </si>
  <si>
    <t>Productive People are Stuck. Here's Why. - Venture Out - Jan 16, 2020 -  #livesmarter #lifehack #livebetter #happylife #smartliving #ventureout #productivity #hustle #riseandgrind #slay #grit #toxic #culture #healthimpacts #stress #hustleporn #checklist</t>
  </si>
  <si>
    <t>https://mailchi.mp/5e83efdfc0ca/venture-out-jan-16-2020</t>
  </si>
  <si>
    <t>I write for the Venture Out, where we discuss productivity culture and how to be positive. Join the conversation.</t>
  </si>
  <si>
    <t>https://www.theventureout.com</t>
  </si>
  <si>
    <t>Eddie Whittle</t>
  </si>
  <si>
    <t>Cancelled train this morning...last minute platform alteration &amp; 2 crammed carriages again tonight...@northernassist are you trying to finish me off....not sure how much longer I can cope with this all... getting to work shouldn’t be this hard! #NorthernFail #mentalhealth #stress</t>
  </si>
  <si>
    <t>basically complains about northern rail...normal guy who takes on abnormal challenges for charity raising over £40k for some amazing causes........</t>
  </si>
  <si>
    <t>http://www.madness4charity.co.uk</t>
  </si>
  <si>
    <t>Glenn Allen</t>
  </si>
  <si>
    <t>How to Manage an Employee with Depression: First, learn about the disorder.  #Health #Stress Reaction</t>
  </si>
  <si>
    <t>http://emberea.com/free
https://hbr.org/2020/01/how-to-manage-an-employee-with-depression?utm_source=dlvr.it&amp;utm_medium=twitter
http://Reflectoremberea.com/free</t>
  </si>
  <si>
    <t>https://pbs.twimg.com/media/EOVlhe3UcAEXCJH.jpg</t>
  </si>
  <si>
    <t>Saratoga Springs, NY</t>
  </si>
  <si>
    <t>25+ year #OD consultant. #cancer survivor. #Change is not a product. It's a process. #Speaker | #Mindfulness | #Leadership | #growthmindset | #HR | #Learning</t>
  </si>
  <si>
    <t>http://www.emberea.com</t>
  </si>
  <si>
    <t>Kim McGaw, MAPP</t>
  </si>
  <si>
    <t>Trying To Do It All? Four Steps To Help Women In Leadership Avoid Burnout via @forbes  #wellbeing #work-lifebalance #leadership #women #stress #burnout #resilience #thrive #coaching</t>
  </si>
  <si>
    <t>https://www.forbes.com/sites/forbescoachescouncil/2019/12/16/trying-to-do-it-all-four-steps-to-help-women-in-leadership-avoid-burnout/#426b0dd97083</t>
  </si>
  <si>
    <t>Texas and Ireland</t>
  </si>
  <si>
    <t>Developing leaders with humor + gamification + neuroscience = my special sauce ✨ Exec Coach &amp; Speaker: #creativity #mindset #identity • Love dogs, art, travel</t>
  </si>
  <si>
    <t>https://www.uniquelyhuman.co/founder</t>
  </si>
  <si>
    <t>Becki Gibson</t>
  </si>
  <si>
    <t>Ok so maybe giving up smoking at NY wasn’t a good idea. Day 15 cold turkey &amp; Day 15 still no striker signing is driving me up the wall! Help a ladies lungs out will ya and get someone signed #lufc #transferwindow #stress</t>
  </si>
  <si>
    <t>Leeds</t>
  </si>
  <si>
    <t>✌💋 music, horror films and all things LUFC. Insta - becki_gibson</t>
  </si>
  <si>
    <t>Jaroslav's Pen</t>
  </si>
  <si>
    <t>Plagued by the fear that you're nothing but a fraud? Worried that you can't rise to the occasion? As this #ShortStory by Jaroslav Hašek shows, impostor syndrome is a pervasive phenomenon (and has been for over a century)! #ShortStories #anxiety #stress</t>
  </si>
  <si>
    <t>https://talesfromjaroslav.wordpress.com/2018/04/06/the-apprentices-of-kobkan-shipping-company/</t>
  </si>
  <si>
    <t>New Prague, MN</t>
  </si>
  <si>
    <t>Translating untranslated tales by Czech author Jaroslav Hašek (1883-1923). #proletarian #fiction #anarchist #satire #Prague #history #literature #ShortStories</t>
  </si>
  <si>
    <t>https://talesfromjaroslav.wordpress.com</t>
  </si>
  <si>
    <t>Mark Fortier</t>
  </si>
  <si>
    <t>How to find #worklifebalance as a #busywoman. @MariaBartiromo interviews @RomiNeustadt author of You Can Have It All, Just Not At the Same Damn Time @PortfolioBooks on @FoxBusiness @MorningsMaria @FoxBusiness  #timemanagement #stress #HaveItAllSisterhood</t>
  </si>
  <si>
    <t>https://video.foxbusiness.com/v/6122854036001/</t>
  </si>
  <si>
    <t>Mark Fortier is founder of Fortier Public Relations, a PR firm specializing in #businessbooks and business #thoughtleadership.</t>
  </si>
  <si>
    <t>http://www.fortierpr.com</t>
  </si>
  <si>
    <t>Michael Thomas</t>
  </si>
  <si>
    <t>Sleep Better, Lead Better #health #sleep #sleepdisorders #insomnia #depression #anxiety #sleepbetter #mentalhealth #vc #corporatevc #stress #wellness #lead #healthylifestyle #fitness</t>
  </si>
  <si>
    <t>https://lnkd.in/gQMBk6M</t>
  </si>
  <si>
    <t>USA - EUROPE - AU - ASIA</t>
  </si>
  <si>
    <t>CORNELL Alum, VC @ Inova Health System, CEO-Appian Partners, Searching the globe for digital health &amp; pain treatment trends &amp; innovations</t>
  </si>
  <si>
    <t>http://www.inovapha.org</t>
  </si>
  <si>
    <t>Helene Segura, CPO®</t>
  </si>
  <si>
    <t>What’s the difference between wrestling and cable news networks?  #TimeManagement #Productivity #Organization #Wrestling #CableNews #WorkLifeBalance #Stress #QualityOfLife</t>
  </si>
  <si>
    <t>https://www.youtube.com/watch?v=og6wR5MUHeQ&amp;t=2s</t>
  </si>
  <si>
    <t>The Inefficiency Assassin TM ~ 🕗 Time Management Fixer 🕑 Author 🕑 Speaker 🕓 Tell your time what to do!</t>
  </si>
  <si>
    <t>https://www.HeleneSegura.com</t>
  </si>
  <si>
    <t>Bamboo Auctions</t>
  </si>
  <si>
    <t>Moving can be stressful! Here are some ways that can help you lessen the stress.  #stress #moving #tips</t>
  </si>
  <si>
    <t>https://buff.ly/36WzPBC</t>
  </si>
  <si>
    <t>Don't get gazumped. Don't let delays run your life. Fast, certain and transparent property transactions. #auction #PropTech</t>
  </si>
  <si>
    <t>http://www.bambooauctions.com</t>
  </si>
  <si>
    <t>https://pbs.twimg.com/media/EOViw1uXkAIInSF.jpg</t>
  </si>
  <si>
    <t>Level Up Coaching: Mike MacDonald</t>
  </si>
  <si>
    <t>Being In Control Of Your Business And Reduce Stress  #business #stress</t>
  </si>
  <si>
    <t>https://coachmikemacdonald.com/being-in-control-of-your-business-the-stressful-situations-you-can-find-yourself-in/</t>
  </si>
  <si>
    <t>https://pbs.twimg.com/media/EOVil9oWAAEiUcF.jpg</t>
  </si>
  <si>
    <t>Nerd, Gamer, #Marketing #Coach - Click Here For A Free On Demand Training On How To Get 10+ Leads Daily For Your Business http://CoachMikeMacDonald.com/LG</t>
  </si>
  <si>
    <t>http://www.coachmikemacdonald.com/</t>
  </si>
  <si>
    <t>Nebraska DHHS</t>
  </si>
  <si>
    <t>High levels of #stress can cause an episode or make symptoms worse for someone who already has mental illness. This is why managing stress is so important. We need to know the warning signs that stress levels are too high and learn healthy coping techniques. RT @NAMICommunicate: High levels of stress can also cause an episode or make symptoms worse for someone who already has mental illness. [...] In order to manage stress, we need to know the warning signs that stress levels are too high and learn healthy coping techniques."</t>
  </si>
  <si>
    <t>https://twitter.com/NAMICommunicate/status/1216795301589200901
https://bit.ly/2FI6bnM</t>
  </si>
  <si>
    <t>https://pbs.twimg.com/media/EOLs4MBWkAEWTYK.jpg</t>
  </si>
  <si>
    <t>Helping People Live Better Lives</t>
  </si>
  <si>
    <t>http://www.dhhs.ne.gov/</t>
  </si>
  <si>
    <t>Tim Bauer</t>
  </si>
  <si>
    <t>https://kingsumo.com/g/9agctd/giveaway-january-2020/1wv48j6</t>
  </si>
  <si>
    <t>STAR Services, Inc.</t>
  </si>
  <si>
    <t>New Blog Post | Stopped at the Train Tracks -  #blog #control #stress #stressmanagement</t>
  </si>
  <si>
    <t>https://www.starsvcs.com/blog/stopped-at-the-train-tracks</t>
  </si>
  <si>
    <t>St. Paul, MN</t>
  </si>
  <si>
    <t>STAR Services is a training, education, staffing, consulting and business development resource for social service agencies, schools, individuals, and families.</t>
  </si>
  <si>
    <t>http://www.starsvcs.com</t>
  </si>
  <si>
    <t>SCIATICA PAIN: Causes, Symptoms, Prevention and Treatment  #tagfire #lifestyle #health #healthcare #life #LOL #weightloss #stress #love #walking #anxiety #HealthyFood #HealthyLiving #healthy #wellbeing #takeoffpost #instalike #swag</t>
  </si>
  <si>
    <t>https://healthyfit07.blogspot.com/2019/11/sciatica-nerve-pain-treatment-at-home.html</t>
  </si>
  <si>
    <t>https://pbs.twimg.com/media/EOVhnxaXUAEA7RY.jpg</t>
  </si>
  <si>
    <t>Pavilion at The Park</t>
  </si>
  <si>
    <t>Happy New Year, Happy New You! Join us for a Reset &amp; Renew Wellbeing Evening Jan 21 at 7. If you want help with #IBS, #Diabetes #Stress #Anxiety #WeightManagement &amp;amp; have a desire to learn how to cook healthy meals and get your mojo back💪 This is for you!</t>
  </si>
  <si>
    <t>https://facebook.com/events/s/2020-reset-renew/676060446131391/?ti=cl</t>
  </si>
  <si>
    <t>https://pbs.twimg.com/media/EOVg7asWAAEuCD5.jpg</t>
  </si>
  <si>
    <t>Bedford Park</t>
  </si>
  <si>
    <t>Award-winning Park Cafe. Relaxed, remarkable, refreshing. Great food, coffee &amp; cake. Licensed. Open 9-6 daily. Evenings &amp; private parties @parksupperclub</t>
  </si>
  <si>
    <t>http://www.pavilion.attheparkbedford.co.uk</t>
  </si>
  <si>
    <t>SuccessWOW! - When Nothing's Worked</t>
  </si>
  <si>
    <t>Transform your subconscious dreams into your conscious reality! © #SuccessWOW #success #hypnosis #hypnotherapy #hypnotism #inspiration #motivation #mindfulness #meditation #anxiety #stress #depression #suicide #smoking #nicotine #addiction #eating #recovery #rehab #diet</t>
  </si>
  <si>
    <t>https://pbs.twimg.com/media/EOVghrpW4AUDMyn.jpg</t>
  </si>
  <si>
    <t>Salt Lake City, UT</t>
  </si>
  <si>
    <t>When Nothing Has Worked! Coaching, NLP, Hypnosis, Transformation Institute be your first choice today, rather than your last hope tomorrow!</t>
  </si>
  <si>
    <t>http://www.successwow.com</t>
  </si>
  <si>
    <t>B Grace Bullock, PhD</t>
  </si>
  <si>
    <t>Mindfulness-based therapies may help treat many mental health challenges. A new study investigates how compassion-focused therapies measure up. #mindfulness #compassion #self-compassion #research #Mentalhealth #depression #anxiey #stress</t>
  </si>
  <si>
    <t>https://www.gracebullock.com/post/mindfulness-compassion-therapies-ease-depression-anxiety-and-stress</t>
  </si>
  <si>
    <t>Organizational consultant|psychologist|scientist|educator|inspirational speaker|author of MINDFUL RELATIONSHIPS http://mindfulrelationships.me|writer at Mindful</t>
  </si>
  <si>
    <t>http://www.gracebullock.com</t>
  </si>
  <si>
    <t>Dr. Kaci</t>
  </si>
  <si>
    <t>Stress is unavoidable and each of us deals with it differently. Confronting your own responses to stress and working to choose HOW you handle it is difficult and must be done purposefully. #stress...itsakiller #perpetuallystressed RT @TEDTalks: Stress is unavoidable. Here's how to change the way you handle it:</t>
  </si>
  <si>
    <t>https://twitter.com/TEDTalks/status/1217100250390941699
http://t.ted.com/jWOOChH</t>
  </si>
  <si>
    <t>Dr. Kaci Deauquier Sheridan. Lover of diverse and innovative education for all &amp; professional righter of turned turtles</t>
  </si>
  <si>
    <t>Pivotal response training and its effectiveness webinar, coming soon!  #autism #specialneeds #asd #autismawareness #aba #behavior #parenting #sensory #stress @autismspeaks</t>
  </si>
  <si>
    <t>Http://www.zenfulkidstherapy.com</t>
  </si>
  <si>
    <t>https://pbs.twimg.com/media/EOVfivIX0AIBSg4.jpg</t>
  </si>
  <si>
    <t>Island Sports PT</t>
  </si>
  <si>
    <t>High levels of stress can have a variety of negative effects on the body. Physical therapy offers techniques to help decrease chronic stress and regain balance. Learn more, here:  #IslandSportsPhysicalTherapy #LongIsland #PhysicalTherapy #Stress</t>
  </si>
  <si>
    <t>http://ow.ly/gpEx50xPzRo</t>
  </si>
  <si>
    <t>https://pbs.twimg.com/media/EOVfgSxWsAABq-P.png</t>
  </si>
  <si>
    <t>East Northport, NY</t>
  </si>
  <si>
    <t>https://islandsportspt.com/</t>
  </si>
  <si>
    <t>6 psychologist-approved ways to use #stress to your advantage</t>
  </si>
  <si>
    <t>https://bit.ly/38dArTP</t>
  </si>
  <si>
    <t>Karl Sharman</t>
  </si>
  <si>
    <t>I’ve been proactively promoting this for a while now but here are 9 More Reasons Why Cybersecurity Stress Is an Industry Epidemic #cybersecurity #infosec #stress #mentalhealth</t>
  </si>
  <si>
    <t>https://buff.ly/2RfcHYz</t>
  </si>
  <si>
    <t>London &amp; New York</t>
  </si>
  <si>
    <t>I want to represent an idea that anything is possible | VP at @beechermaddenus | Host for @zero_hourpod | Big on Cyber, Data, Tech, Leadership &amp; Sport</t>
  </si>
  <si>
    <t>http://www.beechermadden.com</t>
  </si>
  <si>
    <t>InternationalFinance</t>
  </si>
  <si>
    <t>http://myf.mg/2l1E</t>
  </si>
  <si>
    <t>Parsippany, New Jersey Financial Services</t>
  </si>
  <si>
    <t>You did it, you made it to today. I know that struggle is real as I struggle with you all. Here is a hug to get you through the rest of the day and week. #YourLifeMatters #SQUISHtheStigma #Depression #Anxiety #Stress</t>
  </si>
  <si>
    <t>pic.twitter.com/K14Wz9sOIB</t>
  </si>
  <si>
    <t>DoctorQualityCBDOil.com</t>
  </si>
  <si>
    <t>💧 Dr. Frank Talks 𝗖𝗕𝗗 𝗢𝗶𝗹 𝗳𝗼𝗿 𝗜𝗻𝗳𝗹𝗮𝗺𝗺𝗮𝘁𝗶𝗼𝗻  . #DoctorQualityCBDoil #cbd #cbdoil #inflammation #pain #asthma #jointpain #arthritis #rheumatoidarthritis #insomnia #stress #anxiety #insomnia #diabetes</t>
  </si>
  <si>
    <t>http://bit.ly/CBDforInflam</t>
  </si>
  <si>
    <t>https://pbs.twimg.com/media/EMKlE_gXUAE7ppE.jpg</t>
  </si>
  <si>
    <t>Full spectrum up to 3,500mg. 4.9 Star Rating. #wholesalecbdoil #chiropractor #physician #CBDGummies #CBDSkinCare #CBDoilforDogs #dogs #cats #cbd #cbdoil #hemp</t>
  </si>
  <si>
    <t>http://Www.DoctorQualityCBDoil.com</t>
  </si>
  <si>
    <t>Keva Mack, BS, LMT, HHP</t>
  </si>
  <si>
    <t>I have openings for massage on Friday afternoon at The Summit &amp; Saturday morning at The Epic. Lymphatic Drainage, Yoni Steams &amp;amp; Reiki is also available. Call or Text 817-668-5382 to book your session. #openings #dfw #massage #pain #stress #lymphaticdrainage #reiki #ikevamack</t>
  </si>
  <si>
    <t>https://pbs.twimg.com/media/EOVeijMWsAAW_lP.jpg</t>
  </si>
  <si>
    <t>Grand Prairie, TX</t>
  </si>
  <si>
    <t>Licensed Massage Therapist &amp; Board Certified Holistic Health Practitioner #massagetherapy #lymphaticdrainage #mindbodyhealing #yonisteams #cupping #reiki .</t>
  </si>
  <si>
    <t>http://KevaMack.com</t>
  </si>
  <si>
    <t>Dramantram</t>
  </si>
  <si>
    <t>#Stress, in everyday terms, is a feeling that people have when they are overloaded &amp; struggling to cope with demands-work, relationships &amp;amp; other situations. Today at #WittyWednesday,we discussed various causes &amp;amp; signs of stress and most importantly how to manage it by ourselves.</t>
  </si>
  <si>
    <t>https://pbs.twimg.com/media/EOVdK-JUwAEqO14.jpg</t>
  </si>
  <si>
    <t>New Delhi, India</t>
  </si>
  <si>
    <t>Best digital marketing &amp; video production agency in south delhi!!</t>
  </si>
  <si>
    <t>http://www.dramantram.com</t>
  </si>
  <si>
    <t>Indiana Chamber</t>
  </si>
  <si>
    <t>LAST CALL: Tomorrow, our BOOST soft skills training focuses on #stress and time management. Attend the 1/16 #workshop to better understand how to plan for, strategize and achieve a greater sense of balance in every aspect of your life!</t>
  </si>
  <si>
    <t>https://www.indianachamber.com/event/boosttime/</t>
  </si>
  <si>
    <t>https://pbs.twimg.com/media/EOVbhVzW4AA0IDZ.jpg</t>
  </si>
  <si>
    <t>We partner with 25,000 members and investors – representing over four million Hoosiers – to cultivate a world-class environment and provide economic prosperity.</t>
  </si>
  <si>
    <t>http://www.indianachamber.com</t>
  </si>
  <si>
    <t>Developing a better understanding of what anxiety is — and how to manage it — can be key to living a better life. #anxiety #ptsd #stress #mindfulness #changingbrainhealth #mentalhealth #psychology #depression</t>
  </si>
  <si>
    <t>https://hubs.ly/H0mywbQ0</t>
  </si>
  <si>
    <t>Mistral Dawn</t>
  </si>
  <si>
    <t>This #Moment...  #BookBoost #coping #stress #survival #stressfulmoment #time #RightNow #mind</t>
  </si>
  <si>
    <t>http://mistralkdawn.blogspot.com/2015/10/this-moment.html?spref=tw</t>
  </si>
  <si>
    <t>https://pbs.twimg.com/media/CRCPITNW8AAgTXc.jpg</t>
  </si>
  <si>
    <t>In #Fairie, where else? ;-)</t>
  </si>
  <si>
    <t>#Fantasy #Romance #Novelist #Author of the #Spellbound #Hearts #series #Please #spay or #neuter your #pets! :-) #RRBC</t>
  </si>
  <si>
    <t>http://mistralkdawn.blogspot.com/</t>
  </si>
  <si>
    <t>LivingBetter50</t>
  </si>
  <si>
    <t>We live in a time where stress and anxiety are an every day part of life. Consider trying some of these natural ways to calm your mind when you feel overwhelmed. #Anxiety #Natural #Stress #Calm #MentalHealth</t>
  </si>
  <si>
    <t>http://ow.ly/C3NS50xWav1</t>
  </si>
  <si>
    <t>A Website for Women 50+ - Covering topics women love from Beauty-to-Business. http://livingbetter50.com/ Facebook: https://www.facebook.com/LivingBetter50</t>
  </si>
  <si>
    <t>http://livingbetter50.com/</t>
  </si>
  <si>
    <t>Evette Rose</t>
  </si>
  <si>
    <t>5 EFFECTIVE Ways To STOP a Panic Attack Immediately Watch here 👉  #MetaphysicalAnatomyTechnique #EvetteRose #EvetteRoseEvents #FindingYourOwnVoice #MATTechnique #panicattack #stoppanicattack #Transformation #stress</t>
  </si>
  <si>
    <t>https://youtu.be/Bl2Ie-JNupQ</t>
  </si>
  <si>
    <t>Location: Global Citizen</t>
  </si>
  <si>
    <t>Founder Metaphysical Anatomy, Author, Speaker, Life Coach, Podcasting, Location Free!</t>
  </si>
  <si>
    <t>https://www.metaphysicalanatomy.com/</t>
  </si>
  <si>
    <t>#Stress makes us go through #life semiconscious. To wake up, take a slow deep breath, become aware of your #body and feel the #emotions within you.</t>
  </si>
  <si>
    <t>http://bit.ly/2I6Oltc</t>
  </si>
  <si>
    <t>Kristen Wilson Day</t>
  </si>
  <si>
    <t>Visceral Fat &amp; Type 2 #Diabetes: What's the Connection? By @SupplementPlace  As you strive to be all things to all people, your stress hormones are busy packing away dangerous levels of fat around your internal organs. #stress #health</t>
  </si>
  <si>
    <t>https://buff.ly/2rn9VXT</t>
  </si>
  <si>
    <t>https://pbs.twimg.com/media/EOVZYSxW4AUjYrg.png</t>
  </si>
  <si>
    <t>Get online visibility with SEO &amp; PPC. Digital boss babe. Rita Connoisseur! Love shooting M&amp;P Pro! #2A #Trump http://NakedNailNinja.com fun nail polish strips.</t>
  </si>
  <si>
    <t>https://www.AVisualBusiness.com</t>
  </si>
  <si>
    <t>Allan Rogers, PhD</t>
  </si>
  <si>
    <t>Is your child stressed out at school?  #stress #parenting</t>
  </si>
  <si>
    <t>http://bit.ly/1F3SYy3</t>
  </si>
  <si>
    <t>I teach Psychology at Ryerson and work as a therapist in private practice. Interested in #art &amp; #psychology, see my posts on 'Psychology of Art' (link below)</t>
  </si>
  <si>
    <t>http://www.naturibeauty.com/</t>
  </si>
  <si>
    <t>MindMojo</t>
  </si>
  <si>
    <t>If you are looking to make a positive change to your health you might find it surprising that #meditation can help. Meditation gives us the chance to process stress &amp; anxiety so that we feel calmer and more likely to sleep uninterrupted.  #selfcare #stress</t>
  </si>
  <si>
    <t>http://ow.ly/lsAq50xQpek</t>
  </si>
  <si>
    <t>https://pbs.twimg.com/media/EOVZBLAXkAEoBlY.jpg</t>
  </si>
  <si>
    <t>Meditation made simple. Alleviate stress, reduce anxiety, improve productivity, sleep better, feel happier. Book your FREE introduction with us today. #MindMojo</t>
  </si>
  <si>
    <t>http://www.mindmojo.co/</t>
  </si>
  <si>
    <t>Talk to Lauren</t>
  </si>
  <si>
    <t>Be gentle with yourself. Be kind to yourself. #talk2lauren #laurenpresutti #mentalhealth #mentalillness #psychology #socialwork #counseling #therapist #psychotherapist #counselor #anxiety #depression #stigma #suicide #psychiatry #stress #stressrelief #mindfulness</t>
  </si>
  <si>
    <t>https://pbs.twimg.com/media/EOVYkoOW4AAU1-7.jpg</t>
  </si>
  <si>
    <t>Grand Rapids, Michigan</t>
  </si>
  <si>
    <t>Hi I’m Lauren – a lifelong learner, daughter, sister, friend, wheelchair-user, advocate, and psychotherapist. Let’s talk. http://www.laurenpresutti.com</t>
  </si>
  <si>
    <t>http://www.laurenpresutti.com</t>
  </si>
  <si>
    <t>https://pbs.twimg.com/media/EOVYutHWkAENZzi.jpg</t>
  </si>
  <si>
    <t>hothotbaby</t>
  </si>
  <si>
    <t>Relax Place Waterfall Therapy Asian Massage Spa Mays Landing NJ Call 609-837-0749 #massage #spa #therapy #waterfallspa #waterfallmassage #MaysLanding #NJ #relax #stress #healing #refresh #asianmassage #FullBodyMassage #bodyrub #massagemayslanding,</t>
  </si>
  <si>
    <t>http://waterfall-therapy-day-spa.business.site</t>
  </si>
  <si>
    <t>https://pbs.twimg.com/media/EOVYr5SX4AER5Hn.jpg</t>
  </si>
  <si>
    <t xml:space="preserve">NY NY PA CT MD VA </t>
  </si>
  <si>
    <t>m&amp;it magazine</t>
  </si>
  <si>
    <t>Minimising the impact of business travel stress on event organisers  @CapTravelEvents #stress #EventProfs #MICE #events #meetings #venues #conference</t>
  </si>
  <si>
    <t>https://bit.ly/2uOLuUZ</t>
  </si>
  <si>
    <t>m&amp;it is the best read magazine by UK event organisers, looking at meetings and events destinations, case studies, strategies &amp; news. Instagram: @catpublications</t>
  </si>
  <si>
    <t>http://www.meetpie.com</t>
  </si>
  <si>
    <t>ProfileTree</t>
  </si>
  <si>
    <t>How to manage stress at your business? Tips from Sean Connolly.  #stress ProfileTree #interview #TV #business</t>
  </si>
  <si>
    <t>https://www.youtube.com/watch?v=S1mqsLU3X0g&amp;t=532s</t>
  </si>
  <si>
    <t>Belfast, Northern Ireland</t>
  </si>
  <si>
    <t>Helping build your brand online. #ContentMarketing via video-written-audio and a little magic 🙂Love #SocialMedia, #SEO &amp; Web http://profiletree.com/blog</t>
  </si>
  <si>
    <t>http://www.profiletree.com</t>
  </si>
  <si>
    <t>Sometimes it feels like it is us vs the world but when you have that one person that will talk to you and take that feeling away from you, this makes you feel safe. #work #quoteoftheday #counselling #hcsmSA #southafrica #stress #help #anxiety #mindfulness</t>
  </si>
  <si>
    <t>https://pbs.twimg.com/media/EOTxLzhXsAEmmOD.jpg</t>
  </si>
  <si>
    <t>Lilly Asian Massage Spa Call 609-893-5559 Browns Mills NJ #Massage #Asianmassage #Spa #Brownsmills #Brownsmillsmassage #Bodywork #Bodyrub #Asianspa #Relax #Refresh #Stress #Fullbodymassage #Lillyasianmassage,</t>
  </si>
  <si>
    <t>http://massage-spa-browns-mills-nj-lilly-acupressure.business.site</t>
  </si>
  <si>
    <t>https://pbs.twimg.com/media/EOVYGnkWsAE2u8z.jpg</t>
  </si>
  <si>
    <t>Relax Place Lee Therapy Asian Massage spa Deptford, NJ Call 856-845-2888 #massage #spa #therapy #goldenmassage #Deptford #Westville #NJ #relax #stress #healing #refresh #asianmassage #FullBodyMassage #bodyrub,</t>
  </si>
  <si>
    <t>http://lee-therapy.business.site</t>
  </si>
  <si>
    <t>https://pbs.twimg.com/media/EOVXdDRX4AA-2nC.jpg</t>
  </si>
  <si>
    <t>gerry melino</t>
  </si>
  <si>
    <t>PP4 deficiency leads to DNA replication #stress that impairs #immunoglobulin class switch efficiency... the full paper is on #CellDeath&amp;Differentiation</t>
  </si>
  <si>
    <t>https://go.nature.com/2Nj1TY4</t>
  </si>
  <si>
    <t>https://pbs.twimg.com/media/EOK_tOPWAAMoi33.jpg</t>
  </si>
  <si>
    <t>Scientists #Cancer #Biochemistry. Editor "Cell Death Differentiation" @SpringerNature &amp; @CDDpress. Academician Lincei European. Rome TorVergata &amp; MRC Cambridge</t>
  </si>
  <si>
    <t>Steve Jones</t>
  </si>
  <si>
    <t>How controlled breathing helps elite athletes – and you can benefit from it too  by @davshearer #HRV #Biofeedback #breathing #stress #business #leadership</t>
  </si>
  <si>
    <t>https://buff.ly/35Ey8rR</t>
  </si>
  <si>
    <t>https://pbs.twimg.com/media/EOVXSKmWoAEVI0d.jpg</t>
  </si>
  <si>
    <t>We only got one planet</t>
  </si>
  <si>
    <t>Technologist with #sales head. Wearer of many hats. #SocialSelling #EmployeeAdvocacy #Biofeedback Rugby ref &amp; part-time farmer.</t>
  </si>
  <si>
    <t>https://kilfrew.com</t>
  </si>
  <si>
    <t>Crowd Ranger</t>
  </si>
  <si>
    <t>Feel calm and focused, naturally Doppel has been shown to reduce #stress and increase #focus. Its natural effect works within moments.</t>
  </si>
  <si>
    <t>https://doppel.kckb.st/f15d52be</t>
  </si>
  <si>
    <t>World</t>
  </si>
  <si>
    <t>Promote #Kickstarter #Indiegogo &amp; any other crowdfunding campaign. Reach more potential backers for your Kickstarter/Indiegogo #CrowdfundingCampaign. DM us.</t>
  </si>
  <si>
    <t>https://crowdranger.com</t>
  </si>
  <si>
    <t>Relax Place Ginza Asian Massage spa Atlantic City, NJ Call 609-441-0505 #massage #spa #therapy #ginzamassage #AtlanticCity #NJ #relax #stress #healing #refresh #asianmassage #FullBodyMassage #bodyrub,</t>
  </si>
  <si>
    <t>https://pbs.twimg.com/media/EOVVRgJXkAIk0xE.jpg</t>
  </si>
  <si>
    <t>https://pbs.twimg.com/media/EOVVH8mWkAE0dJh.jpg</t>
  </si>
  <si>
    <t>Durham Psychotherapy - Fe Robinson</t>
  </si>
  <si>
    <t>As the new year gets underway, stresses and strains may once more come to the fore. Here’s a short piece from #happiful about how to help yourself when you feel the demands are beyond your capacity to respond.  #stress #anxiety</t>
  </si>
  <si>
    <t>https://happiful.com/how-to-create-a-plan-to-address-stress/</t>
  </si>
  <si>
    <t>Durham, England</t>
  </si>
  <si>
    <t>Supporting you in living well, whatever life brings. Psychotherapy, EMDR, Couples Counselling &amp; Supervision. I love meeting people, learning, nature &amp; my family</t>
  </si>
  <si>
    <t>http://www.ferobinsonpsychotherapy.co.uk</t>
  </si>
  <si>
    <t>Tracy McCown LaFon</t>
  </si>
  <si>
    <t>Frankly, we all get knocked down with this one. Time to find the cure! Too-Much-To-Do Flu #stress #overworked #exhausted #workingmom #career #needavacation</t>
  </si>
  <si>
    <t>https://icedkarmacoffee.blogspot.com/2020/01/too-much-to-do-flu.html</t>
  </si>
  <si>
    <t>wilmington, nc</t>
  </si>
  <si>
    <t>Professional writer &amp; editor. Love family, people, life, photos, quirky views, &amp; sports. Living healthy! Wolf Preservation matters!</t>
  </si>
  <si>
    <t>http://icedkarmacoffee.blogspot.com/</t>
  </si>
  <si>
    <t>Partners For Youth</t>
  </si>
  <si>
    <t>#BellLetsTalk day falls just after HS exams in NB! We remember how tough this time of year can be for students and hope that you follow along with us as we discuss #mentalhealth #stress and #coping on Social Media leading up to January 29th.</t>
  </si>
  <si>
    <t>https://www.facebook.com/pfyouthnb/photos/a.433545190110592/1752817461516685/?type=3&amp;theater</t>
  </si>
  <si>
    <t>https://pbs.twimg.com/media/EOVSyJNWoAEcBmu.jpg</t>
  </si>
  <si>
    <t>New Brunswick, Canada</t>
  </si>
  <si>
    <t>Champions of youth engagement for 25 years | Champions de l'engagement jeunesse depuis 25 ans</t>
  </si>
  <si>
    <t>http://www.partnersforyouth.ca</t>
  </si>
  <si>
    <t>EP 480 – Weedless Wednesday. Smoking is still a major issue and addiction within our families and workplaces. Listen to today’s Hot Tips For Celebrating #WeedlessWednesday. #stress #resiliency #mentalhealth #quitsmoking #smokefree #healthygenerations</t>
  </si>
  <si>
    <t>https://www.podbean.com/eu/pb-iccyf-cc5808#.Xh8wxKlePeE.twitter</t>
  </si>
  <si>
    <t>Red Moll</t>
  </si>
  <si>
    <t>.@Lee4NED please will you help your desperate constituents and join the @loanchargeAPPG ? #LoanCharge #mentalhealth #stress @LCAG_2019</t>
  </si>
  <si>
    <t>Creating a garden where none was before ... and protesting about unfair retrospective taxation - would rather be gardening ....</t>
  </si>
  <si>
    <t>TRUCE Spa</t>
  </si>
  <si>
    <t>We all realize working long hours can take its toll on us emotionally and physically😧. Now, a recent study highlighted in this article by @mindbodygreen shows that doing so may actually cause high blood pressure.  #wellness #stress #selfcare #healthyliving</t>
  </si>
  <si>
    <t>https://soo.nr/GX1L</t>
  </si>
  <si>
    <t>https://pbs.twimg.com/media/EOVSiOkW4AQZ0Ao.jpg</t>
  </si>
  <si>
    <t>Bellevue, WA, US, 98004</t>
  </si>
  <si>
    <t>Journey to TRUCE, a revitalizing vacation for your senses, body and mind.</t>
  </si>
  <si>
    <t>http://www.trucespa.com/</t>
  </si>
  <si>
    <t>Zen Medica</t>
  </si>
  <si>
    <t>Our very own #fullspectrumhempoil #cbd in the 750 mg and 1500 mg have been passionately embraced by all those who had tried it! Grown on a NYS licensed farm using only #organic farming practices. #thirdpartytesting on every batch. #stress #pain #sleep @zenmedicanyc #upperwestside</t>
  </si>
  <si>
    <t>https://pbs.twimg.com/media/EOVSdPoWsAIEjeX.jpg</t>
  </si>
  <si>
    <t>134 West 72nd Street, NYC</t>
  </si>
  <si>
    <t>We offer the highest standards in alternative medicine and nutrition. We feature a variety of supplements, homeopathic &amp; herbal remedies for holistic wellness.</t>
  </si>
  <si>
    <t>http://www.facebook.com/ZenMedica</t>
  </si>
  <si>
    <t>Jenn Rozon</t>
  </si>
  <si>
    <t>In their drive to support others, HR professionals too often neglect their own development and challenges. HR stress levels are increasing, and more varied and holistic HR development is required to keep pace with changing needs. @HRMcLeanCo #HR #stress</t>
  </si>
  <si>
    <t>President at McLean &amp; Company</t>
  </si>
  <si>
    <t>http://www.mcleanco.com</t>
  </si>
  <si>
    <t>Lauren A. Zimmaro, PhD</t>
  </si>
  <si>
    <t>6 simple ways to make the most of your stress and use it to help (not hurt!) you! ⁦@DrStevenStein⁩ ⁦@mindbodygreen⁩ #stress #stressmanagement</t>
  </si>
  <si>
    <t>https://www.mindbodygreen.com/articles/psychologist-approved-ways-to-use-your-stress-to-your-advantage</t>
  </si>
  <si>
    <t>Clinical Health Psychology Postdoc @ Fox Chase. Psycho-oncology Researcher. Yoga Teacher. Health, Wellness, &amp; Resilience Advocate. View are my own.</t>
  </si>
  <si>
    <t>Joshua W.</t>
  </si>
  <si>
    <t>Stress is not good for the Brain. #quote #quoteoftheday #quotes #stress #anxiety</t>
  </si>
  <si>
    <t>https://pbs.twimg.com/media/EOVRn_GU8AAZ3aO.jpg</t>
  </si>
  <si>
    <t>Founder of @smartobrain_. | #selfimprovement #BrainHealth #nootropics #lawofattraction #loa #life #manifestation. Founder of https://smartobrain.com</t>
  </si>
  <si>
    <t>https://smartobrain.com</t>
  </si>
  <si>
    <t>1romancatholic</t>
  </si>
  <si>
    <t>For those feeling #stress and/or #anxiety, here is a #prayer 🙏🏻💕 #stressed #anxious</t>
  </si>
  <si>
    <t>https://pbs.twimg.com/media/EOVQm-3WoAcN5OS.jpg</t>
  </si>
  <si>
    <t>❤️#Catholic Tweets ❤️Wife; mom of 4 ❤️4 grandbabies👶🏻👶🏻👶🏻👶🏻 #Christian #RomanCatholic #Catholic #Jesus #God #Saints #Eucharist #prolife #marian</t>
  </si>
  <si>
    <t>http://1RomanCatholic.blogspot.com</t>
  </si>
  <si>
    <t>Stress is bit of a beast these days, what with careers, money, relationships, politics and everything else besides.. This'll help. Here are 5 effective ways to manage #stress #therapy #stressmanagement #relax</t>
  </si>
  <si>
    <t>https://tonyburkinshaw.co.uk/5-effective-ways-to-manage-stress/</t>
  </si>
  <si>
    <t>https://pbs.twimg.com/media/EOVQfgdXkAM-cjA.jpg</t>
  </si>
  <si>
    <t>"Eat Healthy, Stay Healthy!"  #MentalHealth #meditation #Stress</t>
  </si>
  <si>
    <t>https://pbs.twimg.com/media/EOVQLoPWoAAX5EE.jpg</t>
  </si>
  <si>
    <t>LNCHC</t>
  </si>
  <si>
    <t>3rd hour of TODAY takes a minute to practice mindful meditation  via @TODAYshow #mentalhealth #mindfullness #stress #anxiety</t>
  </si>
  <si>
    <t>https://www.today.com/video/3rd-hour-of-today-takes-a-minute-to-practice-mindful-meditation-76802117863</t>
  </si>
  <si>
    <t>Huntersville, NC 28078</t>
  </si>
  <si>
    <t>OUR MISSION is to create a medical home for the uninsured families and individuals in the communities that we serve.</t>
  </si>
  <si>
    <t>http://www.lnchc.org</t>
  </si>
  <si>
    <t>Psychiatric Times</t>
  </si>
  <si>
    <t>‘Safety Signals’ May Help Slow Down Anxiety  via @YalePsych #anxiety #stress #mentalhealth</t>
  </si>
  <si>
    <t>https://m.yale.edu/dq7</t>
  </si>
  <si>
    <t>Cranbury, NJ</t>
  </si>
  <si>
    <t>Premiere online and print content, written by and for #mentalhealth care physicians and professionals. Questions? DM @LaurieEMartin. Div, @MJHLifeSciences</t>
  </si>
  <si>
    <t>http://www.psychiatrictimes.com</t>
  </si>
  <si>
    <t>VRA UK</t>
  </si>
  <si>
    <t>A #disabled manager at a health-food retailer was constructively unfairly dismissed after the chain failed to provide her with additional support, a tribunal has ruled. #vocrehab #wellbeing #stress</t>
  </si>
  <si>
    <t>https://www.peoplemanagement.co.uk/news/articles/holland-and-barrett-constructively-unfairly-dismissed-disabled-manager</t>
  </si>
  <si>
    <t>The VRA is a muti-disciplinary UK wide organisation supporting and promoting all those working in vocational rehabilitation.</t>
  </si>
  <si>
    <t>http://vrassociationuk.com</t>
  </si>
  <si>
    <t>Cup Of Joe Canada</t>
  </si>
  <si>
    <t>In other words, caregiving is getting in the way of women excelling in the workforce #Discuss #Choice #Priorities #Freedom #Family #Stress #RatRace #Fear  via @torontostar</t>
  </si>
  <si>
    <t>https://www.thestar.com/politics/political-opinion/2020/01/14/heres-why-men-still-get-paid-more-than-women.html</t>
  </si>
  <si>
    <t>Cup of Joe will be a direct line to real issues with real people.</t>
  </si>
  <si>
    <t>http://www.cupofjoecanada.com</t>
  </si>
  <si>
    <t>LoveArtPix</t>
  </si>
  <si>
    <t>"haunting suffocation.." #art #artist #bespoke #bespokeart #haunted #haunting #suffocation #fear #stress #dark #hands #blackandwhite #bandw #fear #scream #anxiety #darkart #darkartists #pictureedit #original…</t>
  </si>
  <si>
    <t>https://www.instagram.com/p/B7WEpHTjuHn/?igshid=vhh2hn38tufm</t>
  </si>
  <si>
    <t>creative designer #mentalhealthadvocate</t>
  </si>
  <si>
    <t>RE/MAX 365 McLain Realty Team</t>
  </si>
  <si>
    <t>This can be a stressful time of year, so here are three tips to help you cope and overcome stress and make it a jollier holiday season. Happy holidays from our family to yours! #Stress #Life #RealEstate #Grateful #meditate #lawofattraction #StressFree2020</t>
  </si>
  <si>
    <t>http://vid.us/jloj5v</t>
  </si>
  <si>
    <t>#Proud #Owner of RE/MAX 365 and #TeamLeader of McLain Realty Team. http://SearchAllNJhomes.com #REMAX365 #Exclusive #GuaranteedSaleProgram and #2yearloveitorleaveit 📈</t>
  </si>
  <si>
    <t>http://www.SearchAllNJhomes.com</t>
  </si>
  <si>
    <t>Michelle Lin</t>
  </si>
  <si>
    <t>Modern life is stressful. Love this visual guide to gaining balance and being proactive around #stress. #WednesdayWisdom #mentalhealth #wellness #mindbodysoul (Repost @crazyheadcomics on IG)</t>
  </si>
  <si>
    <t>https://pbs.twimg.com/media/EOVNOGjUcAEG4l8.jpg</t>
  </si>
  <si>
    <t>Digital Program Director @iHeartMedia, world traveler, UCSB/NYU alum, and mama of one teen + one feisty dog. Views &amp; opinions are my own.</t>
  </si>
  <si>
    <t>Martin at mglHR</t>
  </si>
  <si>
    <t>Managing and reducing #stress in the #workplace</t>
  </si>
  <si>
    <t>http://ow.ly/jppA50xVgKA</t>
  </si>
  <si>
    <t>https://pbs.twimg.com/media/EOVNFCDWkAAZoV9.jpg</t>
  </si>
  <si>
    <t>#Cheltenham, #UK</t>
  </si>
  <si>
    <t>Great team of professionals offering effective Human Resources services to organisations of all sizes &amp; sectors. Posts shouldn't be viewed as legal advice. #HR</t>
  </si>
  <si>
    <t>http://www.mglhr.com</t>
  </si>
  <si>
    <t>.@happifulhq have some great tips on how to manage #stress that you can put into practice right now.  #WellbeingWednesday</t>
  </si>
  <si>
    <t>https://happiful.com/10-ways-to-tackle-stress-right-now/</t>
  </si>
  <si>
    <t>Noel Blanco, DO</t>
  </si>
  <si>
    <t>13 Benefits of #Yoga That Are Supported by #Science "Incorporating it into your routine can help enhance your #health, increase #strength and #flexibility and reduce symptoms of #stress, #depression and #anxiety."  via @healthline</t>
  </si>
  <si>
    <t>https://www.healthline.com/nutrition/13-benefits-of-yoga?utm_medium=social&amp;utm_source=twitter&amp;utm_campaign=social-sharebar-referred-desktop</t>
  </si>
  <si>
    <t>Geisinger #Physiatrist resident| #LatinXinMedicine|#veteran|#americanninjawarrior|#runner|#yogi| #HIIT|Opinions are mine and do not reflect Geisinger.</t>
  </si>
  <si>
    <t>https://blog.drnoelblanco.com/</t>
  </si>
  <si>
    <t>David Roberts</t>
  </si>
  <si>
    <t>These Essential Oils Are Backed By Science To Help Relieve Anxiety And Stress #Nutrition #EssentialOils #Anxiety #Stress via</t>
  </si>
  <si>
    <t>http://twinybots.ch
https://www.womenshealthmag.com/health/a30201911/essential-oils-for-anxiety/</t>
  </si>
  <si>
    <t>Poole, Dorset</t>
  </si>
  <si>
    <t>Interested in ecological issues, climate change, renewable energy and building a safer, more energy efficient future for our kids.</t>
  </si>
  <si>
    <t>"Never apologize for showing feelings. When you do so, you apologize for truth." #nevergiveup #liveoutloud #successquote #successful #selfesteem #selfaware #selfcarefirst #motivationquote #mindset #money #stress #blessed #millionaire #buildyourempire #motivate #believe</t>
  </si>
  <si>
    <t>https://pbs.twimg.com/media/EOVL4cqXkAAcaKj.jpg</t>
  </si>
  <si>
    <t>HAWL</t>
  </si>
  <si>
    <t>Catching up on @BBCtheArchers Neil should nip down to Tony and borrowing some of his Arnica and Hypericum for the tail-biting #pigs. Also get some #stress remedies for them. Mind you, best bet is to put the pigs outside though but Neil knows that, right?</t>
  </si>
  <si>
    <t>https://www.bbc.co.uk/sounds/play/m000d1v7</t>
  </si>
  <si>
    <t>Wiltshire</t>
  </si>
  <si>
    <t>Teaching the use of homeopathy on the farm since 2001. Courses designed by farmers, for farmers.</t>
  </si>
  <si>
    <t>http://www.hawl.co.uk</t>
  </si>
  <si>
    <t>BEST OF ME NLP</t>
  </si>
  <si>
    <t>16 Days left to book up. Learn to take care of "you"! #offer #NLP #hypnotherapy #lifecoaching #stress #anxiety #depression #Health #Happiness #Mindfulness #BOMnlp #Rickmansworth RT @bestofmeNLP: 17 Days left to book up and start to make a difference to your mind health. Your Mind needs care too! #offer #NLP #hypnotherapy #lifecoaching #stress #anxiety #depression #Health #Happiness #Mindfulness #BOMnlp #Rickmansworth</t>
  </si>
  <si>
    <t>https://twitter.com/bestofmeNLP/status/1217052434180210693</t>
  </si>
  <si>
    <t>https://pbs.twimg.com/media/EOPWvF-WAAA61r0.jpg</t>
  </si>
  <si>
    <t>When the "Best of You" refuses to surface, I can help. Whether it because of stress, anxiety, self-esteem, confidence, fear, phobias, direction, balance.</t>
  </si>
  <si>
    <t>http://www.bestofmenlp.com</t>
  </si>
  <si>
    <t>HSYRSMI</t>
  </si>
  <si>
    <t>3 exams down one more to go, revising like a ninja 🤪 Shout out to CFAVs and cadets that have got exams or assessments this week, we’ve got this!!!! 👊🏻 #goingfurther #knowledge #stress</t>
  </si>
  <si>
    <t>Yorkshire and The Humber, Engl</t>
  </si>
  <si>
    <t>RSMI Samantha Robinson, RSM for Humberside and South Yorkshire Army Cadet Force. All views and opinions are my own.</t>
  </si>
  <si>
    <t>http://www.army.cadets.co.uk</t>
  </si>
  <si>
    <t>The Prewitt Group</t>
  </si>
  <si>
    <t>During the holidays and the advent of a new year, #stress can be an unwelcome guest. A few tips for stress management can help.</t>
  </si>
  <si>
    <t>http://bit.ly/2THcC3I</t>
  </si>
  <si>
    <t>We are a family owned and operated Independent Insurance Agency with more than 40 years experience in the industry.</t>
  </si>
  <si>
    <t>https://prewitt.group/</t>
  </si>
  <si>
    <t>"This, in turn, leads to creating a more successful business. The right tools can help entrepreneurs work through #stress, rather than work in spite of it." - @KathleenStetson &amp; @TriciaCotter have similar conclusions with #DrHelenaLass in @thrive:</t>
  </si>
  <si>
    <t>https://thriveglobal.com/stories/redefining-startup-culture-with-positive-mental-health-habits/</t>
  </si>
  <si>
    <t>I was a mix of surprised and sad by the scale of this. I know when I am stressed the temptation for a beer or gin is high. What about for you? #Employees #Work #Stress</t>
  </si>
  <si>
    <t>https://pbs.twimg.com/media/EOVK60TWkAAfxJu.png</t>
  </si>
  <si>
    <t>Dave Stephens</t>
  </si>
  <si>
    <t>Learn how to improve how you react to #stress:</t>
  </si>
  <si>
    <t>https://stephensgroup.synduit.com/LEKS0001</t>
  </si>
  <si>
    <t>https://pbs.twimg.com/media/EOVKyrJUEAYfEH8.jpg</t>
  </si>
  <si>
    <t>Schuylkill County, PA</t>
  </si>
  <si>
    <t>Small town guy with many experiences-father, golf, big city, diabetes, divorce, real estate -who wants to help others by paying forward.</t>
  </si>
  <si>
    <t>http://stephensgrouptraining.com/</t>
  </si>
  <si>
    <t>MedReps.com</t>
  </si>
  <si>
    <t>25% of employees have quit their job over work-related #stress. Don’t be the manager that causes your team to bail! [@wrike]</t>
  </si>
  <si>
    <t>https://bit.ly/2FEWRRC</t>
  </si>
  <si>
    <t>https://pbs.twimg.com/media/EOVKx61X0AA9NFa.jpg</t>
  </si>
  <si>
    <t>Alpharetta, Georgia</t>
  </si>
  <si>
    <t>We are the medical sales industry's largest job board for #meddevice, #pharmaceutical, and #biotech #sales jobs.</t>
  </si>
  <si>
    <t>http://www.MedReps.com</t>
  </si>
  <si>
    <t>Miami ObGyn Center</t>
  </si>
  <si>
    <t>#Anxiety during #pregnancy can be worrisome, but there are plenty of ways to address the #stress!</t>
  </si>
  <si>
    <t>http://mvnt.us/m1082544</t>
  </si>
  <si>
    <t>Kendall, FL</t>
  </si>
  <si>
    <t>Our mission is to promote the health of our patients by providing innovative health care of the highest quality, that is comprehensive and personalized.</t>
  </si>
  <si>
    <t>http://www.miami-obgyn.com</t>
  </si>
  <si>
    <t>B-Town Express</t>
  </si>
  <si>
    <t>#HashtagHealth : Five effective tips to loose extra weight fast! #WeightLoss #Exersice #Cardio #Yoga #Diet #PracticalMindset #Motivation #MentalHealth #Stress #BodyGoals #Asanas #PhsycialHealth #LooseWeight #Fitness #Transformation</t>
  </si>
  <si>
    <t>http://btownexpress.com/2020/01/15/hashtaghealth-five-effective-tips-to-lose-extra-weight-fast/</t>
  </si>
  <si>
    <t>Your one stop destination for all the latest news and gossips!</t>
  </si>
  <si>
    <t>http://btownexpress.com</t>
  </si>
  <si>
    <t>Global School Play</t>
  </si>
  <si>
    <t>Schools can make #play a part of their daily structure; better put, their UN-structure! Join almost a quarter MILLION kids already signed up for #GSPD2020 on 2.5.20! #playmatters #education #childhood #mentalhealth #stress #anxiety #kids #students #freeplay #getoutside #edchat RT @KimberlyEHart: Play is more than "just play". It demands the "acquisition of a complex set of skills ~ making agreements with others as equals, stepping into an imagined structure, and accepting that structure even when things don’t go your way." (Bornstein, 2011) #Playmatters</t>
  </si>
  <si>
    <t>https://twitter.com/kimberlyehart/status/1217198472434196481</t>
  </si>
  <si>
    <t>https://pbs.twimg.com/media/EORbj0UW4AALGBi.jpg</t>
  </si>
  <si>
    <t>72 Nations in 2019</t>
  </si>
  <si>
    <t>Play Their Way-Global School Play Day-Feb 5, 2020. A day to bring awareness to the importance of unstructured play without adult direction. #GSPD2020 #GSPD2019</t>
  </si>
  <si>
    <t>http://www.globalschoolplayday.com</t>
  </si>
  <si>
    <t>Melissa Stefanski</t>
  </si>
  <si>
    <t>The latest  daily!  Thanks to @JanLeeHypnosis @SethCotlar @hdhrml #wellness #stress</t>
  </si>
  <si>
    <t>http://Know-Stress-Zone.com
http://know-stress-zone.com/stress-management-news.html</t>
  </si>
  <si>
    <t>Huntersville, NC</t>
  </si>
  <si>
    <t>BS &amp; MA in Psychology, McGill University. Certified hypnotherapist via NGH. Director of http://Know-Stress-Zone.com #stress #stressmanagement #hypnosis #relaxation</t>
  </si>
  <si>
    <t>http://Know-Stress-Zone.com</t>
  </si>
  <si>
    <t>Bookkeeping &amp; Business Etc.</t>
  </si>
  <si>
    <t>Stay Organized All Year Long Not Just At Tax Time  #Stress #Time #Bookkeeping #taxes</t>
  </si>
  <si>
    <t>https://lttr.ai/MMAt</t>
  </si>
  <si>
    <t>https://pbs.twimg.com/media/EOVGR7WXUAINBq1.jpg</t>
  </si>
  <si>
    <t>Priceville ON</t>
  </si>
  <si>
    <t>We provide bookkeeping and business services to small business owner's and entrepreneurs Supporting Small Businesses Everywhere! We serve clients across Canada</t>
  </si>
  <si>
    <t>https://www.bookkeepingandbusinessetc.com</t>
  </si>
  <si>
    <t>Ann Latham</t>
  </si>
  <si>
    <t>This is Your Only #Life. Are You Putting Yourself First? -&gt;  #clarity #PutYourselfFirst #BestLife #Leadership #WorkLifeBalance #balance #stress #health #wellbeing</t>
  </si>
  <si>
    <t>http://bit.ly/2N7hyuF</t>
  </si>
  <si>
    <t>https://pbs.twimg.com/media/EOVGNZXWoAAE4eM.jpg</t>
  </si>
  <si>
    <t>Strategic clarity expert, @Forbes expert blogger, keynote speaker, author "The Clarity Papers."</t>
  </si>
  <si>
    <t>http://www.uncommonclarity.com</t>
  </si>
  <si>
    <t>Teresa Tomeo</t>
  </si>
  <si>
    <t>TUNE IN NOW!! here  #AveMariaRadio Catholic Connection host @TeresaTomeo with guest Katie Prejean McGrady #Catholic #stress #anxiety #mentalhealth issues</t>
  </si>
  <si>
    <t>http://ow.ly/k82c30q9dcl</t>
  </si>
  <si>
    <t>https://pbs.twimg.com/media/EOVGLI6X4AAsLSW.jpg</t>
  </si>
  <si>
    <t>#Catholic #Media Expert, #BeyondSunday Author/Speaker, host of @AveMariaRadio #EWTN “Catholic Connection” &amp; @EWTN TV Show “The Catholic View for #Women”</t>
  </si>
  <si>
    <t>http://TeresaTomeo.com</t>
  </si>
  <si>
    <t>OmahaPTInstitute</t>
  </si>
  <si>
    <t>How to make stress your friend!!! It's worth listening to...we promise!  #science #stress #painneuroscience #physicaltherapy #omaha #physicaltherapist #PTomaha #bestPTomaha #bestPTclinicomaha #familyowned #family</t>
  </si>
  <si>
    <t>http://ow.ly/S2u850wWgYW</t>
  </si>
  <si>
    <t>https://pbs.twimg.com/media/EOVD-F7WsAAO2FR.png</t>
  </si>
  <si>
    <t>144th &amp; Dodge</t>
  </si>
  <si>
    <t>The coolest physical therapy clinic in Omaha!</t>
  </si>
  <si>
    <t>http://www.omahapti.com</t>
  </si>
  <si>
    <t>VTX app</t>
  </si>
  <si>
    <t>Looking to improve mental fatigue, anxiety, depression, high-stress or brain health? Here are some supplements that can help. #anxiety #depression #mentalhealth #stress #addictiontreatrment #recovery #verifytx RT @KetamineWellnes: It's time to close the nutrient gap in our lives and perform and feel our best. Connect with a KWC Clinical Administrator and learn how nutraceuticals and supplements, can help you today.</t>
  </si>
  <si>
    <t>https://twitter.com/KetamineWellnes/status/1217446986091311106
https://www.entrepreneur.com/article/342941</t>
  </si>
  <si>
    <t>Delray Beach, FL</t>
  </si>
  <si>
    <t>#VerifyTX provides Instant #InsuranceVerification anytime, anywhere directly from our #application so you can admit clients faster and easier! #SaaS #HealthIT</t>
  </si>
  <si>
    <t>http://verifytx.com</t>
  </si>
  <si>
    <t>Sankalpa</t>
  </si>
  <si>
    <t>The vital health benefits of nature in documented research, a reminder as we lose many precious parts of our environment. #nature #ecopsychology #health #wellbeing #research #safety #stress #nervoussystem</t>
  </si>
  <si>
    <t>https://buff.ly/2R8a0aW</t>
  </si>
  <si>
    <t>Auroville, south India</t>
  </si>
  <si>
    <t>Art therapy and creative empowerment programs, mainly with village youth and women.</t>
  </si>
  <si>
    <t>http://www.sankalpajourneys.com/</t>
  </si>
  <si>
    <t>𝘾𝙖𝙧𝙡 𝙍𝙞𝙤𝙪𝙭</t>
  </si>
  <si>
    <t>#CareerAdvice #stress #PMQA Project Management Q&amp;A: How to Deal with Burnout: How do you raise the issue of burnout with a PM supervisor who constantly stretches the team? How can you do this without fear of being labelled a troublemaker and…</t>
  </si>
  <si>
    <t>http://dlvr.it/RN5FTz</t>
  </si>
  <si>
    <t>https://pbs.twimg.com/media/EOVDEU6UUAswAaw.png</t>
  </si>
  <si>
    <t>Halifax, Nova Scotia, Canada</t>
  </si>
  <si>
    <t>Leader working at #Adaptavist and loving the Atlassian Ecosystem - #JIRA, #Confluence, #Bitbucket, #Marketplace, #scriptrunner, #tm4j, etc...</t>
  </si>
  <si>
    <t>Robin Lines Associates</t>
  </si>
  <si>
    <t>Understanding the signs of stress better equips you to know when you're dealing with too much. Being able to take a step back from time to time to recharge can have massive benefits for your overall health and your productivity. #Stress #MentalHealth</t>
  </si>
  <si>
    <t>https://robinlines.com/blog/combating-stress-in-business</t>
  </si>
  <si>
    <t>Experienced Business Consultants, specialising in leadership, sales and negotiation training. We provide services to #B2B or #B2C organisations.</t>
  </si>
  <si>
    <t>http://robinlines.com</t>
  </si>
  <si>
    <t>Chloe Cuthbert</t>
  </si>
  <si>
    <t>“Ghosting isn’t the answer, you need to haunt your life” — @ccuthbertauthor  #stress #mentalhealth #anxiety #advice #relationships</t>
  </si>
  <si>
    <t>https://link.medium.com/LTdxTyyQg3</t>
  </si>
  <si>
    <t>North Carolina, USA</t>
  </si>
  <si>
    <t>I write about sex, sexuality, being a woman, mental health &amp; more| Memoir available NOW! https://www.amazon.com/dp/B082KRQ1WR</t>
  </si>
  <si>
    <t>https://medium.com/@ccuthbertauthor</t>
  </si>
  <si>
    <t>FN-MNGMT</t>
  </si>
  <si>
    <t>Life gets overwhelming for everyone sometimes; Breathe, #Listen to your inner voice #ReachOut for Help, manage to control your #Stress &amp; #Anxiety - your #MentalHealth &amp;amp; #MentalHealthMatters</t>
  </si>
  <si>
    <t>https://youtu.be/Jkc6SGj9uyQ</t>
  </si>
  <si>
    <t>We're members of the Fedra Nation family. Keeping you posted and updated with the Fedras and their latest musical projects. @stefanifedra @fedrasmusic 🇨🇦</t>
  </si>
  <si>
    <t>https://www.instagram.com/fedra_nation/</t>
  </si>
  <si>
    <t>Liz Makin</t>
  </si>
  <si>
    <t>Are you feeling stressed or do you want to know more about stress management? Why not try our online course?  #stressmanagement #stress #reducestress</t>
  </si>
  <si>
    <t>http://makinithappen.co.uk/onlinecourses/Stress-management-for-life-how-to-reduce-and-manage-stress</t>
  </si>
  <si>
    <t>Stamford, Lincolnshire, UK</t>
  </si>
  <si>
    <t>Personalised business coaching, business mentoring &amp; stress management for business owners, directors, managers &amp; professionals #business #mentor #coach #stress</t>
  </si>
  <si>
    <t>http://makinithappen.co.uk</t>
  </si>
  <si>
    <t>Body Co.</t>
  </si>
  <si>
    <t>S T R E S S In this video I demonstrate a quick an easy technique that you can use anywhere to have an immediate impact on down regulating your nervous system and decrease your stress.  #stress #breath #wellness #health #yyz #JunctionTO #bodycotoronto</t>
  </si>
  <si>
    <t>https://soo.nr/TnYx</t>
  </si>
  <si>
    <t>https://pbs.twimg.com/media/EOVAdVfXsAAWCEA.jpg</t>
  </si>
  <si>
    <t>2968 Dundas Street West</t>
  </si>
  <si>
    <t>Holistic healthcare for the whole family in the heart of the Junction. Physiotherapy, massage therapy, osteopathy, nutrition, paediatric &amp; pelvic health.</t>
  </si>
  <si>
    <t>http://bodycotoronto.com</t>
  </si>
  <si>
    <t>Monkey Puzzle</t>
  </si>
  <si>
    <t>Email can be a huge source of #stress in modern working life, but it doesn’t have to be that way. Why daily messaging has become so toxic – and what emerging tech is doing to stem the tide.  #burnout #timemanagement #timetochange #wednesdaymotivation</t>
  </si>
  <si>
    <t>http://ow.ly/rS1R50xORSG</t>
  </si>
  <si>
    <t>Master your mind for #Life and #Leadership. Internationally recognised #training, #coaching and #personaldevelopment for individual and #business #success.</t>
  </si>
  <si>
    <t>http://www.monkeypuzzletraining.co.uk</t>
  </si>
  <si>
    <t>Calmer</t>
  </si>
  <si>
    <t>Do you want to change your relationship with #stress? RT @ariannahuff: How are you changing your relationship with stress this decade?</t>
  </si>
  <si>
    <t>https://twitter.com/ariannahuff/status/1216546157448638465
https://buff.ly/39THeTZ</t>
  </si>
  <si>
    <t>Award-winning Mental Health &amp; Wellbeing training organisation, empowering entrepreneurs, freelancers &amp; business teams. Founded by @TaniaDiggory #ReigniteProject</t>
  </si>
  <si>
    <t>http://www.thisiscalmer.com</t>
  </si>
  <si>
    <t>LA Bryce</t>
  </si>
  <si>
    <t>23 Stress Hacks That Will Actually Change Your Life  via @JMPoff #Stress #SelfCare #SelfImprovement</t>
  </si>
  <si>
    <t>https://www.buzzfeed.com/jonmichaelpoff/stress-hacks-that-will-actually-change-your-life?utm_source=dynamic&amp;utm_campaign=bfsharetwitter</t>
  </si>
  <si>
    <t>https://pbs.twimg.com/media/EOU_TvvXkAEfGKZ.jpg</t>
  </si>
  <si>
    <t>I write m/m Contemporary Romance with a splash of Suspense. I believe LOVE comes in all different packages &amp; each should be wrapped in a ribbon &amp; cherished.</t>
  </si>
  <si>
    <t>http://labryce.com</t>
  </si>
  <si>
    <t>https://pbs.twimg.com/media/EOU-Ip1X0AMSKki.jpg</t>
  </si>
  <si>
    <t>Revealed Projects</t>
  </si>
  <si>
    <t>#Stress is a part of most of our lives, but we can choose how we respond to it. @childline give some great tips on staying #calm  Visit our website to find out more about our #stress and #coping workshops -  #wellnesswednesday</t>
  </si>
  <si>
    <t>https://buff.ly/2SuozrL
https://buff.ly/2H5TuGj</t>
  </si>
  <si>
    <t>https://pbs.twimg.com/media/EOU96u9WoAAA-5_.jpg</t>
  </si>
  <si>
    <t>Weston-super-Mare, England</t>
  </si>
  <si>
    <t>Revealed Projects aims to inspire young people to be confident in who they are and develop skills to build healthy relationships in all aspects of their lives.</t>
  </si>
  <si>
    <t>https://www.revealedprojects.org.uk/</t>
  </si>
  <si>
    <t>Horizon Network</t>
  </si>
  <si>
    <t>You wear lots of #hats; let Horizon ease your #stress with a fast, reliable and #secure #FiberNetwork for your business. Happy #NationalHatDay!</t>
  </si>
  <si>
    <t>http://ow.ly/TOBe50xRuwe</t>
  </si>
  <si>
    <t>https://pbs.twimg.com/media/EOU9iznWkAAwpE3.jpg</t>
  </si>
  <si>
    <t>Columbus, OH</t>
  </si>
  <si>
    <t>100% Fiber Optic Provider. Customized Solutions. Bandwidth w/o Borders.</t>
  </si>
  <si>
    <t>http://www.horizonconnects.com</t>
  </si>
  <si>
    <t>Ron Carucci</t>
  </si>
  <si>
    <t>Want to become more resilient? Know yourself well. Recognize when you've fallen into ambivalence and go back to first principles, and more via @HarvardBiz:  #leadership #mindset #stress</t>
  </si>
  <si>
    <t>http://bit.ly/2VEAWV7</t>
  </si>
  <si>
    <t>https://pbs.twimg.com/media/EOU9UKfX4AEhWWe.jpg</t>
  </si>
  <si>
    <t>Owner/consultant @Navalent. Best selling Author (Amazon#1 Rising to Power) dad of 2, 2xTEDx, HBR &amp; Forbes contributor, MG100, featured in Fortune, Inc, MSNBC</t>
  </si>
  <si>
    <t>http://www.navalent.com</t>
  </si>
  <si>
    <t>Chris Graffagnino</t>
  </si>
  <si>
    <t>There’s no pill or cream that replaces a good night’s sleep. Stress kills! Sleep it off 🛌 #sleep #stress #unwind #HumpDayMotivation #success #entrepreneur</t>
  </si>
  <si>
    <t>Settle For Success! God, Family, Entrepreneur/Most Interesting Man IG/fb:@iamchrisgraff / Live your best #entrepreneurlife !</t>
  </si>
  <si>
    <t>http://www.iamchrisgraff.com</t>
  </si>
  <si>
    <t>Recruitinggym</t>
  </si>
  <si>
    <t>Another fabulous course we have going live this Jan! How to manage #Stress and #MentalHealth within your #Recruitment teams. We'll be running this for the first time here in #Bristol on 30th January with the lovely @ClareDavis_ More info:  #Recruitment</t>
  </si>
  <si>
    <t>http://bit.ly/2FT3eka</t>
  </si>
  <si>
    <t>https://pbs.twimg.com/media/EOU9FvXWkAAUV5Q.jpg</t>
  </si>
  <si>
    <t>Bristol, England</t>
  </si>
  <si>
    <t>Alex has helped 000's of #recruiters and 00's #leaders of recruiting teams hit their targets. He loves sharing tips and tactics to help recruiters succeed.</t>
  </si>
  <si>
    <t>https://recruitinggym.com</t>
  </si>
  <si>
    <t>Essential Site Skills Ltd</t>
  </si>
  <si>
    <t>Check out the innovative stress indicator tool which can be used when assessing the risk to employees as part of management standards. Sign up for a demo...  #stress #mentalhealth #management #WednesdayWisdom #news</t>
  </si>
  <si>
    <t>https://books.hse.gov.uk/bookstore.asp?FO=1359081</t>
  </si>
  <si>
    <t>https://pbs.twimg.com/media/EOU9FP1WkAAfpvJ.jpg</t>
  </si>
  <si>
    <t>0115 8970 529</t>
  </si>
  <si>
    <t>Essential Site Skills Ltd (ESS) are a UK leading provider of Construction, Workplace and Health &amp; Safety Training and NVQ qualifications.</t>
  </si>
  <si>
    <t>http://www.essentialsiteskills.co.uk</t>
  </si>
  <si>
    <t>Edward G. Walters</t>
  </si>
  <si>
    <t>I admit. I'm not "usually" stressed, but when I am...I AM! :-) Check out this #blog from my #work. It's 7 smart ways to outsmart the #stress in your life when it rears it's head. #bcbsm</t>
  </si>
  <si>
    <t>https://sprou.tt/173jP3m76T6</t>
  </si>
  <si>
    <t>Detroit, MI</t>
  </si>
  <si>
    <t>I'm a hybrid of #Communications, #Marketing, and all things #Creative. Follow me, and let's have a bit of fun.</t>
  </si>
  <si>
    <t>http://edwardgwalters.com</t>
  </si>
  <si>
    <t>Venerate Behavioral Services</t>
  </si>
  <si>
    <t>Stress can be a problem in recovery from addiction and may lead to relapse if not properly managed. One of the ways that you can reduce and control stress is by exercising. #Stress #MentalHealth</t>
  </si>
  <si>
    <t>https://pbs.twimg.com/media/EOINbU4UcAAUL7N.jpg</t>
  </si>
  <si>
    <t>Edmond, Oklahoma 73013</t>
  </si>
  <si>
    <t>We are a full service Home Care company that is accredited by CHAP for Home Health Care and CARF for Mental Health and Substance Abuse Care.</t>
  </si>
  <si>
    <t>http://www.veneratecares.com/</t>
  </si>
  <si>
    <t>Ron Huxley</t>
  </si>
  <si>
    <t>Why do some people bounce back from #traumatic #stress and others continue to #suffer ? We call this #resiliency ... learn more free at  #familyhealer</t>
  </si>
  <si>
    <t>http://TraumaToolbox.com
https://www.instagram.com/p/B7V8A9-A1W4/?igshid=ks54x3nss9gn</t>
  </si>
  <si>
    <t>ÜT: 36.853329,-119.784539</t>
  </si>
  <si>
    <t>Ron Huxley's blogs trauma-informed care, adoption, parenting and inner healing.</t>
  </si>
  <si>
    <t>http://RONHUXLEY.COM</t>
  </si>
  <si>
    <t>LISA EBERSOLE DEMPSEY</t>
  </si>
  <si>
    <t>Happy Wednesday everyone! My stress level might be alleviated either way I'm thinking. 😜 #wednesday #stress For all your real estate needs contact me at 864 621 9933 #lisaebersolescrealtor #lisadempseyscrealtor #lisaebersoledempsey #dempseypropertiesllc #inmansc</t>
  </si>
  <si>
    <t>https://pbs.twimg.com/media/EOU8MakXkAEKDnh.jpg</t>
  </si>
  <si>
    <t>Inman-Greenville-Spartanburg</t>
  </si>
  <si>
    <t>Greenville Spartanburg SC Realtor®, Owner/DEMPSEY Properties LLC EXPERIENCE matters! Call Lisa Ebersole Dempsey 864 621 9933 First time buyer expert!</t>
  </si>
  <si>
    <t>http://www.greenville-spartanburgrealestate.com</t>
  </si>
  <si>
    <t>RelaxIntuit.com</t>
  </si>
  <si>
    <t>Stress Tip: Every day, find 6 things that make smile and say, "Wow!" -Award-winning author, Susie Mantell  [ GOLDEN BRIDGE in VIETNAM ] Thx @walkwithnature1 #architecture #bridge #genius #artist #design #creativity #imagination #stress #relax #mentalhealth</t>
  </si>
  <si>
    <t>http://www.relaxintuit.com</t>
  </si>
  <si>
    <t>https://pbs.twimg.com/media/EOU65Y0X4AAkBUE.jpg</t>
  </si>
  <si>
    <t>U.S.</t>
  </si>
  <si>
    <t>Award-Winning #Meditation CD by #StressRelief Expert Susie Mantell Soothes Sleep &amp; Depression--Mayo Clinic-Betty Ford-Canyon Ranch,Fortune 500.Amazon Bestseller</t>
  </si>
  <si>
    <t>http://www.Relaxintuit.com</t>
  </si>
  <si>
    <t>Feel Good Therapies - Norfolk</t>
  </si>
  <si>
    <t>Is January getting on your nerves? There are some everyday practices which, when done regularly, can be effective in improving your mood and develop a stronger resilience to stress. More in Blog  #fgtnorfolk #Wellbeing #Norwich #TherapistsConnect #stress</t>
  </si>
  <si>
    <t>http://bit.ly/3acLRc3</t>
  </si>
  <si>
    <t>https://pbs.twimg.com/media/EOU60QoXUAEWyMB.png</t>
  </si>
  <si>
    <t>Norwich</t>
  </si>
  <si>
    <t>A Norwich holistic therapist passionate about guiding people in navigating their own path to feeling good.</t>
  </si>
  <si>
    <t>http://www.fgt-norfolk.co.uk</t>
  </si>
  <si>
    <t>MedicineNet.com</t>
  </si>
  <si>
    <t>True or false: #Stress can make your #hair fall out? #HairLoss</t>
  </si>
  <si>
    <t>https://buff.ly/2Nkh03l</t>
  </si>
  <si>
    <t>https://pbs.twimg.com/media/EOU6QOOXkAA9ecX.jpg</t>
  </si>
  <si>
    <t>http://MedicineNet.com provides easy-to-read, in-depth medical &amp; health information for consumers produced by U.S. board-certified physicians.</t>
  </si>
  <si>
    <t>http://www.medicinenet.com</t>
  </si>
  <si>
    <t>B-Secur</t>
  </si>
  <si>
    <t>Using #AI and #biometrics to enhance exam proctoring "Trying to make supervised examinations a less intimidating experience, biometric proctoring leverages #wearable hardware. Smartwatches can track movements, #ECG and #stress to indicate abnormalities."</t>
  </si>
  <si>
    <t>https://buff.ly/2RmQgRd</t>
  </si>
  <si>
    <t>https://pbs.twimg.com/media/EOU47TZX0AECG3o.jpg</t>
  </si>
  <si>
    <t>Using the heart to enable secure health and wellness insights in the connected world #ecg #biometrics #wellness #automotive</t>
  </si>
  <si>
    <t>http://www.b-secur.com/</t>
  </si>
  <si>
    <t>~Go with the Flow~</t>
  </si>
  <si>
    <t>#R&amp;R #Rest&amp;amp;Relaxation the potent #Healer *Go with the Flow ~ Massage* Counter-balance #Stress with #Relaxation #Massage #IndianHeadMassage #Reflexology #HolisticFacials #Wellbeing #SelfLove #SelfCare…</t>
  </si>
  <si>
    <t>https://www.instagram.com/p/B7V6IsQBhom/?igshid=1sjt45t0vfhjg</t>
  </si>
  <si>
    <t>Massage Therapist: combining deep relaxation with a thorough, therapeutic treatment. #AwardWinning #Natural #Skincare for all the family #Weleda online shop</t>
  </si>
  <si>
    <t>https://www.gowiththeflowmassage.net</t>
  </si>
  <si>
    <t>Jude Jennison</t>
  </si>
  <si>
    <t>Podcast 53: Susan Gee on wellbeing, stress and psychological health in the workplace:  #Stress #YorkshireWater #podcast #Leadership #uncertainty</t>
  </si>
  <si>
    <t>https://lttr.ai/ML4r</t>
  </si>
  <si>
    <t>https://pbs.twimg.com/media/EOU4aumXsAExBiF.png</t>
  </si>
  <si>
    <t>Warwickshire, England</t>
  </si>
  <si>
    <t>Leadership development with horses for senior leaders and executive teams. Author, Conference Speaker. Leading through uncertainty podcast host</t>
  </si>
  <si>
    <t>http://www.judejennison.com</t>
  </si>
  <si>
    <t>Life Extension</t>
  </si>
  <si>
    <t>Stressed? Learn the dietary and lifestyle changes that can help relieve #stress here! #wellness #lifestyle #health</t>
  </si>
  <si>
    <t>Ft. Lauderdale, FL</t>
  </si>
  <si>
    <t>The science of a healthier life, made easy! Life Extension combines 40 years of experience to give you the latest innovations in nutrition, science and health.</t>
  </si>
  <si>
    <t>http://www.lifeextension.com</t>
  </si>
  <si>
    <t>Ronald</t>
  </si>
  <si>
    <t>How to Stop Thinking About #Work at 3am #Stress #StressManagement #Sleep #Psychology #Business #WellBeing #HealthyLiving</t>
  </si>
  <si>
    <t>https://hbr.org/2019/12/how-to-stop-thinking-about-work-at-3am?utm_medium=email&amp;utm_source=newsletter_daily&amp;utm_campaign=mtod_notactsubs&amp;deliveryName=DM64153</t>
  </si>
  <si>
    <t>Illinois, USA</t>
  </si>
  <si>
    <t>Consultant MBA. Finance, Acctg, Mgmt, Leadership, Politics, Religion. Egalitarian, LGBT. Lang: 🇺🇸🇳🇱🇩🇪🇫🇷. 📚🗽🏳️‍🌈 #Warren2020 #FBR #Equality4All 🚫💩</t>
  </si>
  <si>
    <t>Sinclair Wellbeing and Training Solutions</t>
  </si>
  <si>
    <t>12.8 million working days were lost last year due to work-related stress, depression or anxiety. Are you doing all you can to ensure your staff are supported? #stressatwork #preventative #stress #support #training</t>
  </si>
  <si>
    <t>https://pbs.twimg.com/media/EOU0vYIX0AEtM4T.jpg</t>
  </si>
  <si>
    <t>We focus on putting the client first, we design and deliver a range of training courses to fit the needs of the client.</t>
  </si>
  <si>
    <t>Social Anxiety 88</t>
  </si>
  <si>
    <t>#Stress is something that is an outside thing. Stress is an #anxiety.</t>
  </si>
  <si>
    <t>Follow us for motivational quotes related to anxiety and useful tips for anxiety management</t>
  </si>
  <si>
    <t>http://bit.ly/socanxietysystem</t>
  </si>
  <si>
    <t>Prof. Arun Kumar वाघचौरे</t>
  </si>
  <si>
    <t>Three teaching mindsets to let go of in 2020 #Education #burnout #stress #teaching via</t>
  </si>
  <si>
    <t>http://twinybots.ch
https://inservice.ascd.org/three-teaching-mindsets-to-let-go-of-in-2020/</t>
  </si>
  <si>
    <t>Committed to help you achieve your goals. Teacher + Trainer + Entrepreneur (Faculty at Welingkar + Edupreneur at http://Classesnotes.com), GTD trainer</t>
  </si>
  <si>
    <t>http://tigri.in</t>
  </si>
  <si>
    <t>Julie Cavese</t>
  </si>
  <si>
    <t>#wednesdaymorning I don’t want to get up today. #stress #depression #ChronicPain #winter #SAD</t>
  </si>
  <si>
    <t>Buffalo, NY</t>
  </si>
  <si>
    <t>Cancer Survivor, Call Center Agent, Aunt, Outdoor/Animal/Music Lover, Invisible Disability Advocate, Bravo/HGTV/Travel Channel/E!/LivePD Fan. 🌊Proud Resister</t>
  </si>
  <si>
    <t>MindBodyMen</t>
  </si>
  <si>
    <t>10 days till Mind Body Men's #free #workshop #davidlloyd #miltonkeynes. Reserve your place now!  #stress #stressrelief #MentalHealthMatters #MentalHealthAwareness #mentalhealth #wellbeing #nervousystem #science #spirituality</t>
  </si>
  <si>
    <t>http://www.mindbodymen.co.uk</t>
  </si>
  <si>
    <t>pic.twitter.com/qjuoUnKXxQ</t>
  </si>
  <si>
    <t xml:space="preserve">Milton Keynes </t>
  </si>
  <si>
    <t>Empowering &amp; Releasing Men &amp; Women from Stress. mindbodymen@mail.com</t>
  </si>
  <si>
    <t>Veterans Next Step</t>
  </si>
  <si>
    <t>Need a Holistic Therapist in the Leeds area? Use @Stephen40059367 and Think Veteran! 🌐  #VeteransBizHour #Therapist #Stress</t>
  </si>
  <si>
    <t>https://bit.ly/2P8BScL</t>
  </si>
  <si>
    <t>https://pbs.twimg.com/media/EOUysvzWAAMLcV9.jpg</t>
  </si>
  <si>
    <t>Provides a website where the public can search across the UK for the veterans with the skills and trades they need</t>
  </si>
  <si>
    <t>http://www.veteransnextstep.co.uk</t>
  </si>
  <si>
    <t>Julie Griffiths</t>
  </si>
  <si>
    <t>If you tend to bring your work worries home with you then this will help you avoid that. Here's how to turn off work thoughts once you get home. #stress #stressmanagement #worklifebalance</t>
  </si>
  <si>
    <t>https://www.ted.com/talks/guy_winch_how_to_turn_off_work_thoughts_during_your_free_time</t>
  </si>
  <si>
    <t>Scotland, United Kingdom</t>
  </si>
  <si>
    <t>Social media services for small businesses that want to make a big impact - esp in #wellbeing and #coaching. Trained in #socialmedia and #digitalstrategy.</t>
  </si>
  <si>
    <t>http://www.ohmywordsocialmedia.com</t>
  </si>
  <si>
    <t>Jane Hyun</t>
  </si>
  <si>
    <t>I like this statement for responding to teens "first let's settle your glitter" - begs the question: is it as effective for boys? @pfagell #teens #stress #wellbeing @ldamour RT @JMWiener: Check out this article. Relevant to ⁦@Pfagell⁩ presentation today:  via @NYTimes #nysmsa ⁦@NYSMSA⁩</t>
  </si>
  <si>
    <t>https://twitter.com/JMWiener/status/1217111882718380032
https://www.nytimes.com/2019/02/12/well/family/how-to-help-teens-weather-their-emotional-storms.html?smid=nytcore-ios-share</t>
  </si>
  <si>
    <t>USA, &amp; Travels Around the World</t>
  </si>
  <si>
    <t>Leadership Strategist #Innovativeleader #Global #CulturalFluency,Growing Purposeful Org's, Author Of #Flex &amp; #BambooCeiling, GlobalGurus|Seeing the Possibility</t>
  </si>
  <si>
    <t>http://www.hyunassociates.com</t>
  </si>
  <si>
    <t>Registration Open - Life Skills Online  It is a FREE programme, which can help you learn practical skills to help cope with #stress #anxiety or #depression.</t>
  </si>
  <si>
    <t>https://pbs.twimg.com/media/EOUveHUXkAA9MHF.png</t>
  </si>
  <si>
    <t>Carers in Bristol</t>
  </si>
  <si>
    <t>Just can not get the family working as a unit #pranichealing #mcks #stressfree #stressrelief #stress</t>
  </si>
  <si>
    <t>https://pbs.twimg.com/media/EOUvYkvW4AMC4Xo.jpg</t>
  </si>
  <si>
    <t>Bringing together a carer and person requiring care in #southville &amp; #bristol. Website available soon listing available #carers and persons requiring care.</t>
  </si>
  <si>
    <t>http://www.facebook.com/pg/Carers-in-Bristol-242186219595548</t>
  </si>
  <si>
    <t>Stress at work can make you feel like its never going to finish, Take the steps to plan out your day in order to have a productive day. #work #quoteoftheday #counselling #hcsmSA #southafrica #stress #help #anxiety #mindfulness</t>
  </si>
  <si>
    <t>https://pbs.twimg.com/media/EOTt9_hXkAM1tZh.jpg</t>
  </si>
  <si>
    <t>New: Associations of cardiorespiratory #fitness, #sleep &amp; physiological responses to #stress in women. Results suggest that CRfitness may be protective against the deleterious effects of stress via improved #SleepQuality.  #SportScience #MentalHealth</t>
  </si>
  <si>
    <t>https://www.tandfonline.com/doi/abs/10.1080/17461391.2020.1716855</t>
  </si>
  <si>
    <t>FINNOVATE - Your Financial Coach</t>
  </si>
  <si>
    <t>Fix your goals and start taking baby steps towards it rather than worrying. Let's Finnovate your financial problems today! #personalfinance #financialplanning #goals #letsfinnovate #tax #investments #finances #financecoach #financefreedom #money #workload #stress #wedding</t>
  </si>
  <si>
    <t>https://pbs.twimg.com/media/EOUurBDWkAIOvfL.jpg</t>
  </si>
  <si>
    <t>#Disclaimer : Mutual Fund investments are subject to market risks, read all scheme related documents carefully.</t>
  </si>
  <si>
    <t>http://www.finnovate.in</t>
  </si>
  <si>
    <t>NO LABEL Studios</t>
  </si>
  <si>
    <t>"Levelling up, doing your best work and letting go of those jobs you dislike is going to be beneficial for your business – and your mental health."  #Marketing #Scaleyouragency #Stress #Wordpress #WebAgency</t>
  </si>
  <si>
    <t>https://links.nolabel.studio/1AWr</t>
  </si>
  <si>
    <t>https://pbs.twimg.com/media/EOUsgKCW4AELgcc.jpg</t>
  </si>
  <si>
    <t>We help overburdened marketers reduce their workload by creating amazing websites together.</t>
  </si>
  <si>
    <t>https://nolabelstudios.co.uk</t>
  </si>
  <si>
    <t>Alex Coleman</t>
  </si>
  <si>
    <t>Interesting article which highlights some important (and worrying!) points: Researchers facing ‘shocking’ levels of stress, survey reveals  #worklifebalance #science #stress</t>
  </si>
  <si>
    <t>https://www.theguardian.com/society/2020/jan/15/researchers-facing-shocking-levels-of-stress-survey-reveals?CMP=share_btn_tw</t>
  </si>
  <si>
    <t>Munich</t>
  </si>
  <si>
    <t>Postdoc at TUM, Germany (PhD at JIC, UK). Research interests in plant-pathogen/insect interactions. Enjoy science, travelling, sport, good food &amp; fine ale!</t>
  </si>
  <si>
    <t>Techedo Technologies</t>
  </si>
  <si>
    <t>#STRESS_MANAGEMENT_FOR_STUDENTS How to to remove your #Stress related to #Exam or #Study or #Exam_Result read this beautiful Article about #Students</t>
  </si>
  <si>
    <t>http://studychandigarh.com/stress-management-for-students/</t>
  </si>
  <si>
    <t>Chandigarh, India</t>
  </si>
  <si>
    <t>We are here By name of Techedo Technology and we provide Chandigarh's Best Service and Courses for Students.</t>
  </si>
  <si>
    <t>https://techedo.com/</t>
  </si>
  <si>
    <t>Learning how to deal with #stress and how to avoid #burnout is necessary for all employees. Try this Free Mini Training &amp; Stress Test right now:  #MentalHealthAtWork</t>
  </si>
  <si>
    <t>https://wellnessorbit.com/trainings/free-mini-training-focus-stress-reduction</t>
  </si>
  <si>
    <t>https://pbs.twimg.com/media/EOUpEZKXUAM5Ld6.jpg</t>
  </si>
  <si>
    <t>Holistic yoga and massage with Alyson</t>
  </si>
  <si>
    <t>Interested in techniques for having less #stress in your life &amp; learning more about stress and the body? Check out my 'Living with less stress' workshop Sat 29th Feb, 10-1, Wellness Centre #Dumfries See:  #Wellbeing #Health #Anxiety #BreatheMoveRelax</t>
  </si>
  <si>
    <t>https://alysonyoga.wordpress.com/workshops/</t>
  </si>
  <si>
    <t>https://pbs.twimg.com/media/EOUogbYWkAAhf_h.jpg</t>
  </si>
  <si>
    <t>Dumfries, Scotland</t>
  </si>
  <si>
    <t>Yoga teacher &amp; massage therapist, Dumfries. Member FHT. Interest in ⏬stress &amp; pain. 🏴󠁧󠁢󠁳󠁣󠁴󠁿 FB: @alysonyoga Insta: alysonyogamassage</t>
  </si>
  <si>
    <t>https://alysonyoga.wordpress.com/</t>
  </si>
  <si>
    <t>Do you have a disability and does it affect how much you’re paid? Latest figures from @ONS suggest the answer is yes...  #disability #paygap #mentalhealth #stress #wellbeing #equality #inclusion #diversity</t>
  </si>
  <si>
    <t>https://bddy.me/2tjJGTt</t>
  </si>
  <si>
    <t>https://pbs.twimg.com/media/EOUobb1WsAEf3PP.jpg</t>
  </si>
  <si>
    <t>According to @Cigna "91% agree that colleagues’ #stress impacts the workplace with a higher degree of negative impacts such as a depressing atmosphere and lowering morale." Source:  Take a free #StressTest:</t>
  </si>
  <si>
    <t>http://wellbeing.cigna.com/360Survey_Report.pdf
https://wellnessorbit.com/trainings/free-mini-training-focus-stress-reduction</t>
  </si>
  <si>
    <t>https://pbs.twimg.com/media/EOUoaT0XsAEEOzG.jpg</t>
  </si>
  <si>
    <t>"One of the greatest threats to workplace safety may be from an unexpected source: #stress."  #Burnout</t>
  </si>
  <si>
    <t>https://psychologicalscience.org/observer/burnout-and-the-brain</t>
  </si>
  <si>
    <t>McLean Mills</t>
  </si>
  <si>
    <t>Stressed? The power of doing this one thing will amaze you  #stress #career</t>
  </si>
  <si>
    <t>https://www.inc.com/peter-economy/one-amazingly-powerful-way-to-beat-stress-at-work.html</t>
  </si>
  <si>
    <t>Career Coach, Entrepreneur, and HR Professional</t>
  </si>
  <si>
    <t>Fiona Wood</t>
  </si>
  <si>
    <t>Here are a few tips that will help you prevent, battle and relieve financial stress and avoid all those nasty health risks that come with it.  @niharikaverma95 #stress #FinancialHealth2020 #health</t>
  </si>
  <si>
    <t>https://www.thepinkvelvetblog.com/2020/01/prevent-financial-stress.html</t>
  </si>
  <si>
    <t>I'm in love with good coffee, croissants and fashion magazines. In spare time I play tennis and travel around the world.</t>
  </si>
  <si>
    <t>https://highstylife.com/</t>
  </si>
  <si>
    <t>CounsellingDirectory</t>
  </si>
  <si>
    <t>Our bodies show #stress in many different ways, from mood changes to physical pain and digestive issues 😰 Knowing when your body is telling you to take a break is essential in giving yourself that much needed headspace. Find out how you can manage stress:</t>
  </si>
  <si>
    <t>https://www.counselling-directory.org.uk/stress.html</t>
  </si>
  <si>
    <t>https://pbs.twimg.com/media/EOUlBdTX0AM0Aat.jpg</t>
  </si>
  <si>
    <t>Supporting you with your mental health. Connecting you with qualified counsellors and therapists since 2005 ✨ Part of the @happifulhq family ❤️</t>
  </si>
  <si>
    <t>https://www.counselling-directory.org.uk/</t>
  </si>
  <si>
    <t>Isla Flood</t>
  </si>
  <si>
    <t>Just had a fab session with Jas from #kooth @XenZone_UK with @SolihullCollege #ESOL learners, such a useful tool and session on #stress</t>
  </si>
  <si>
    <t>https://pbs.twimg.com/media/EOUiR9IXUAAAJSj.jpg</t>
  </si>
  <si>
    <t>ESOL teacher, co-ordinator, teaching and learning coach, mother, interested in ESOL, foundation learning and technology</t>
  </si>
  <si>
    <t>https://sites.google.com/view/islaflood/home</t>
  </si>
  <si>
    <t>thethriveteam</t>
  </si>
  <si>
    <t>Today we’re delivering our first open @MHFAEngland 2 day course of 2️⃣0️⃣2️⃣0️⃣. Here’s our trainer @ClareDavis_ explaining #stress in a very imaginative way using buckets and 🎾as her props. Great work Clare 👍🏻</t>
  </si>
  <si>
    <t>https://pbs.twimg.com/media/EOUiPPMWkAYzWJw.jpg</t>
  </si>
  <si>
    <t>West Sussex</t>
  </si>
  <si>
    <t>Search &amp; selection is at the heart of what we do, discovering #highperforming #leaders. Also providing a range of #coaching and #MentalHealthFirstAid training.</t>
  </si>
  <si>
    <t>http://www.thethriveteam.co.uk</t>
  </si>
  <si>
    <t>Larimar Massage Wellness</t>
  </si>
  <si>
    <t>With the help of #corporate #massage sessions like mobile #chairmassages, each of your employees can reduce the amount of #stress that they face daily at their #workplace. Visit:  📞(678) 770-4766 #bodymassage #onsitechairmassage</t>
  </si>
  <si>
    <t>https://bit.ly/2u00bnF</t>
  </si>
  <si>
    <t>https://pbs.twimg.com/media/EOUiFL6U4AEN0rA.jpg</t>
  </si>
  <si>
    <t>Atlanta, Georgia, United State</t>
  </si>
  <si>
    <t>Larimar Massage Wellness offers massage services like #mobile, #corporate &amp; #onsite #chair #massages, #body #massage in Atlanta.</t>
  </si>
  <si>
    <t>https://larimarmassagewellness.com/</t>
  </si>
  <si>
    <t>Fiona Ibbetson</t>
  </si>
  <si>
    <t>5 top tips for managing stress :  #stress #entrepreneur</t>
  </si>
  <si>
    <t>http://www.getaheadva.com/5-top-tips-managing-stress/</t>
  </si>
  <si>
    <t>Manages team of virtual assistants, providing business support for business owners in Leeds &amp; Wakefield #admin #socialmedia #PR #business #support</t>
  </si>
  <si>
    <t>http://www.getaheadva.com</t>
  </si>
  <si>
    <t>Fort Lauderdale Behavioral Wellness</t>
  </si>
  <si>
    <t>“Your fitness is 100% mental. Your body won't go, where your mind doesn't push it." #Wednesdaywisdom #mentalhealth #attitude #depression #anxiety #love #mentalillness #quotes #life #mentalhealthawareness #stress #selfcare #health #fortlauderdalebehavioralwellness #FBW #FL</t>
  </si>
  <si>
    <t>https://pbs.twimg.com/media/EOUht_wWkAEgUFz.png</t>
  </si>
  <si>
    <t>2501 East Commercial Blvd #211, Fort Lauderdale, FL 33308</t>
  </si>
  <si>
    <t>We are board-certified psychiatrists who specialize in the evaluation and treatment of mental disorders. https://www.fortlauderdalebehavioral.com/</t>
  </si>
  <si>
    <t>https://www.fortlauderdalebehavioral.com/</t>
  </si>
  <si>
    <t>Peter Economy</t>
  </si>
  <si>
    <t>The Leadership Guy on INC. Bestselling author. Ghostwriter. More than 2M copies served. Check out my next book “Wait, I’m the Boss?!?" (March 2020 Career Press)</t>
  </si>
  <si>
    <t>https://www.inc.com/author/peter-economy</t>
  </si>
  <si>
    <t>Let's Talk Mental Health</t>
  </si>
  <si>
    <t>📣 New Podcast! "New Year, New You, Why?" on @Spreaker #depression #goals #mentalhealth #newyear2020 #personaldevelopment #purpose #resolutions #selfcare #selfhelp #stress #wellbeing</t>
  </si>
  <si>
    <t>https://www.spreaker.com/user/rawyetreal/newyear-newyou-why?autoplay=1</t>
  </si>
  <si>
    <t>Towcester, England</t>
  </si>
  <si>
    <t>Public Speaker, Veteran &amp; runs Podcast Show - Let's Talk Mental Health. My aim is to Inspire, Educate &amp; Empower people to better manage their own Mental Health</t>
  </si>
  <si>
    <t>http://www.360-wellbeing.co.uk</t>
  </si>
  <si>
    <t>Martha Forlines</t>
  </si>
  <si>
    <t>Use Curiosity to Break a Bad Habit |  #habits #inclinations #stress</t>
  </si>
  <si>
    <t>http://ow.ly/cZ2A50xVXoO</t>
  </si>
  <si>
    <t>Metro Atlanta, Georgia</t>
  </si>
  <si>
    <t>Trusted advisor to leaders of others. Leadership Coach and Consultant, Author and speaker.</t>
  </si>
  <si>
    <t>http://marthaforlines.com</t>
  </si>
  <si>
    <t>Foundation4Fortitude</t>
  </si>
  <si>
    <t>How Writing a 'Stress List' Helps Me Feel Less Overwhelmed  #Stress #Anxiety #LifeLessons #PersonalDevelopment #PersonalGrowth #MentalHealth #Health #Fortitude #WednesdayMotivation #CollegeLife #StudentLife #CollegeStudents #College #Students #Goals2020</t>
  </si>
  <si>
    <t>https://advice.shinetext.com/articles/how-writing-a-stress-list-helps-me-feel-less-overwhelmed/</t>
  </si>
  <si>
    <t>Jacksonville, FL</t>
  </si>
  <si>
    <t>#Nonprofit 501c3 #charity educating &amp; empowering young #CollegeWomen in #Florida #Jacksonville #Jax #ilovejax #Scholarships #Opportunity #Leadership #WatchMe</t>
  </si>
  <si>
    <t>http://foundationforfortitude.org/</t>
  </si>
  <si>
    <t>ADHD Naturally</t>
  </si>
  <si>
    <t>Want an online medical marijuana card recommendation? Use @prestodoctor! They're quick, easy, give FREE custom treatment plans, and have super nice doctors!! Get your card today!  5257669 #cannabis #medicalcard #cbd4adhd #adhdhelp #anxiety #stress</t>
  </si>
  <si>
    <t>https://prestodoctor.com/#_l_1og</t>
  </si>
  <si>
    <t>This page was created to celebrate the amazing traits of kids with ADHD/ADD, Dyslexia. These kids are modern day superheroes!!</t>
  </si>
  <si>
    <t>https://www.adhd-naturally.com</t>
  </si>
  <si>
    <t>Garin Rouch MCIPD MSc. FLPI</t>
  </si>
  <si>
    <t>Research by @wellcometrust finds ‘shocking’ levels of #stress amongst #science researchers 2/3 have witnessed bullying or harassment 70% of the scientists said they are #stressed every work day  #science #hr #mentalhealth</t>
  </si>
  <si>
    <t>https://buff.ly/2Ref11S</t>
  </si>
  <si>
    <t>https://pbs.twimg.com/media/EOUfgwNWoAEy7aw.jpg</t>
  </si>
  <si>
    <t>I'm the Leadership &amp; Organisation Development/Design Director for Outstand &amp; @CIPD Central London Digital Engagement Lead | @cipd_clb</t>
  </si>
  <si>
    <t>If someone did not fall in #love does not mean that he did not had #opportunity, nor that he was not #tempted, but he just could not bring himself to #yield to the #temptation. #Motorism #Life #Quote #Philosophy #Quotes #Wise #Wisdom #Motivation #Inspiration #Frustration #Stress</t>
  </si>
  <si>
    <t>https://pbs.twimg.com/media/EOUeLe9UEAAs3yB.jpg</t>
  </si>
  <si>
    <t>Essential Oils w/ Kristina</t>
  </si>
  <si>
    <t>Uses &amp; tips with the beautiful &amp;amp; effective essential oils in your Mac-Daddy, Premium Starter Kit. 😍 #essentialoils #wellnessmatters #lavender #stress</t>
  </si>
  <si>
    <t>https://pbs.twimg.com/media/EOUdlvBXkAE3iZO.jpg</t>
  </si>
  <si>
    <t>Faith❤️Family💜Friends🌺Fun😂 Essential Oils Dist.🌿#essentialoils #youngliving Referral #2976358</t>
  </si>
  <si>
    <t>https://oily.life/abundantlife</t>
  </si>
  <si>
    <t>Cumbria, Northumberland, Tyne and Wear NHS FT</t>
  </si>
  <si>
    <t>A UK study suggests one in six women who lose a baby in early pregnancy experiences long-term symptoms of post traumatic #stress #PTSD</t>
  </si>
  <si>
    <t>https://www.bbc.co.uk/news/health-51093999</t>
  </si>
  <si>
    <t>North East England</t>
  </si>
  <si>
    <t>Cumbria, Northumberland, Tyne and Wear NHS Foundation Trust is one of the UK's largest mental health, learning disabilities and neurological care providers.</t>
  </si>
  <si>
    <t>http://www.cntw.nhs.uk/</t>
  </si>
  <si>
    <t>Rahul Jain</t>
  </si>
  <si>
    <t>#healthandwellness session to deal with #stress cc @anshuljain1982 @Being_IR @bhupsvyas @shivdev_jamwal @StayFit04ever @sangeeta140213 @RituSha69938500 @ZakZain2 @Sharad__Lambe @ca_senapati @VINODKUMARGAN81 @SunilSingroha3 @Jeevarajpillai @saurabhag22 @Abhay284 @singh8_subash</t>
  </si>
  <si>
    <t>https://pbs.twimg.com/media/EOUcxn7U8AALXfE.jpg</t>
  </si>
  <si>
    <t>#SocialMedia enthusiast #creative #HR Professional with diversified industry exp. in #APAC, #Speaker Certified #Coach #Mentor #Reiki Master #Top100HRInfluencer</t>
  </si>
  <si>
    <t>http://in.linkedin.com/in/rahuljain77</t>
  </si>
  <si>
    <t>Our head of hair is our crowning glory, the thought of losing handfuls of hair is enough to set off the sirens in anyone's head. So what could be the causes of fall out?  #SkinOnline #SkinOnlineBlog #hair #hairloss #hormones #stress</t>
  </si>
  <si>
    <t>http://ow.ly/BChx30kxSda</t>
  </si>
  <si>
    <t>https://pbs.twimg.com/media/EOUawqvWsAMaf7I.jpg</t>
  </si>
  <si>
    <t>CHARIS</t>
  </si>
  <si>
    <t>Signs you are getting past your ego. #Trauma #Stress #Anxiety #Depression #MentalHealth #MentalHealthAwareness #SelfSupport #SelfCare #PositiveMindset #Hope #Recovery #Selflove #SuicidePrevention #Counselling #StopTheStigma #SupportDoNotPunish #Empathy #CharisHealthcare</t>
  </si>
  <si>
    <t>https://pbs.twimg.com/media/EOUaIb4XUAA6QeD.jpg</t>
  </si>
  <si>
    <t>Jos, Nigeria</t>
  </si>
  <si>
    <t>http://www.charishealthcare.org/</t>
  </si>
  <si>
    <t>Here are some tips to help with emotional regulation. #EmotionalInteligence #Trauma #Stress #Anxiety #Depression #MentalHealth #MentalHealthAwareness #SelfSupport #PositiveMindset #Hope #Recovery #SelfLove #SuicidePrevention #Counselling #SelfCare #Empathy #CharisHealthcare</t>
  </si>
  <si>
    <t>https://pbs.twimg.com/media/EOUZ3plX4AAwkhA.jpg</t>
  </si>
  <si>
    <t>How to Prevent and Battle Health Risks That Come with Financial Stress  via @niharikaverma95 #financialstress #stress #stressmanagement #health #healthrisks #mentalhealth</t>
  </si>
  <si>
    <t>Yellowday Training</t>
  </si>
  <si>
    <t>Can anyone become more resilient to #stress? Yes! Some are naturally resilient, however most of us have to work at it. Read our blog below &amp; if you want to see more, then join us in #Southampton for our first #seminar of 2020! Get in touch for details</t>
  </si>
  <si>
    <t>https://www.yellowday.co.uk/how-to-build-resilience/</t>
  </si>
  <si>
    <t>Yellowday is all about providing really great training for individuals and teams within organisations,enhancing confidence and business performance!</t>
  </si>
  <si>
    <t>http://www.yellowday.co.uk</t>
  </si>
  <si>
    <t>Like to learn practical tips to reduce some of the symptoms associated with #anxiety #stress or #depression? Sign up now  It's a free, 6 week course, available nationwide.</t>
  </si>
  <si>
    <t>http://bit.ly/AwareLSP</t>
  </si>
  <si>
    <t>https://pbs.twimg.com/media/EOUXG0sWAAERHuy.png</t>
  </si>
  <si>
    <t>Contribution Compass</t>
  </si>
  <si>
    <t>Article we shared on #LinkedIn - worth a read around #stress in the #workplace</t>
  </si>
  <si>
    <t>https://www.linkedin.com/feed/update/urn:li:activity:6623163895030910976</t>
  </si>
  <si>
    <t>Designed for business focused on maximising contribution &amp; maximising return</t>
  </si>
  <si>
    <t>http://www.contributioncompass.com/</t>
  </si>
  <si>
    <t>Arica Hart</t>
  </si>
  <si>
    <t>Stress and Hair Loss  #stress #hairloss #Trending</t>
  </si>
  <si>
    <t>https://www.stylesbyaricahart.com/2015/02/stress-and-hair-loss.html#.Xh7yj9FHPLY.buffer</t>
  </si>
  <si>
    <t>https://pbs.twimg.com/media/EOUVxp-X4AAKi2h.jpg</t>
  </si>
  <si>
    <t>Blogger | Hair Designer | Management | Marketing | Founder of @InveigleMagazi1 http://www.inveiglemagazine.com/ &amp; http://StylesbyAricaHart.com Fashion, Hair &amp; Beauty</t>
  </si>
  <si>
    <t>https://www.stylesbyaricahart.com/</t>
  </si>
  <si>
    <t>RawlesPsych</t>
  </si>
  <si>
    <t>👉🏽RPS NEWS:👈🏽 "When the One You Love Is Depressed! 10 ways to support your depressed loved one. Read this from @PsychToday  ⠀ 😥#Stress or #anxious?😯 Contact ⠀ #mentalhealth #relationships #love #depression #757⠀</t>
  </si>
  <si>
    <t>https://www.psychologytoday.com/us/blog/mental-health-nerd/201911/when-the-one-you-love-is-depressed
http://Rawlespsych.com</t>
  </si>
  <si>
    <t>https://pbs.twimg.com/media/EOUT0VyX4AA0Z-W.jpg</t>
  </si>
  <si>
    <t>Licensed Clinical #Psychologist #Author #Speaker #Professor #HumanSecurity #mentalhealth #trauma #stafftraining #StanfordAlumni #Firefighter (Retired Captain)</t>
  </si>
  <si>
    <t>http://DrPortiaRawles.com</t>
  </si>
  <si>
    <t>Vitals Klinic</t>
  </si>
  <si>
    <t>Vitiligo patches may result in higher levels of depression and social anxiety. Book your appointment: To know more, visit us:  #Bangalore #Vitals_Klinic #Vitiligo #Vitiligo_Treatment #Stress Feel free to message us for queries.</t>
  </si>
  <si>
    <t>https://www.vitalsklinic.com/book-appointment
https://www.vitalsklinic.com/skin-discoloration-pigmentation</t>
  </si>
  <si>
    <t>https://pbs.twimg.com/media/EOUSUJmVUAAJn5n.jpg</t>
  </si>
  <si>
    <t>Experts in niche Dermatology VITAL KLINIC is a right place to cure various types of #Skin #Hair_Problems</t>
  </si>
  <si>
    <t>http://vitalsklinic.com/</t>
  </si>
  <si>
    <t>#Stress #Management Tip Two - #Change your #Scene. Change your #Mood. Take time out however busy you are - go for a walk, make a call to a friend, look at something beautiful. It will give you some breathing space and alleviate stress levels. @Ramh_scotland @MsMcCready</t>
  </si>
  <si>
    <t>https://pbs.twimg.com/media/EOUSNBOWsAAMEM2.jpg</t>
  </si>
  <si>
    <t>Inveigle Magazine - Lifestyle, Fashion &amp; Beauty</t>
  </si>
  <si>
    <t>How to Safely Eliminate Work Stress  #stress #stressmanagement #BusinessMan</t>
  </si>
  <si>
    <t>https://www.inveiglemagazine.com/2019/09/how-to-safely-eliminate-work-stress.html#.Xh7uxm8IiBs.buffer</t>
  </si>
  <si>
    <t>https://pbs.twimg.com/media/EOUSGABWoAEHC1L.jpg</t>
  </si>
  <si>
    <t>Nationwide</t>
  </si>
  <si>
    <t>A lifestyle, fashion &amp; beauty magazine. Hair, Fitness, Health, Social Science.</t>
  </si>
  <si>
    <t>http://www.inveiglemagazine.com/</t>
  </si>
  <si>
    <t>Dr Alexey Kulikov</t>
  </si>
  <si>
    <t>People experiencing vital exhaustion, commonly referred to as #burnout syndrome that is typically caused by prolonged and profound #stress at work or home have 20% higher risk of developing atrial fibrillation.</t>
  </si>
  <si>
    <t>https://www.escardio.org/The-ESC/Press-Office/Press-releases/Burnout-linked-with-irregular-heartbeat</t>
  </si>
  <si>
    <t>Geneva, Switzerland</t>
  </si>
  <si>
    <t>External Relations Officer @WHO, @UN Task Force on #NCDs. Support countries achieve #UHC and #health related #SDGs. PhD MPH MD. All tweets are my own.</t>
  </si>
  <si>
    <t>Caveolin 1 impairs PKA-DRP1-mediated remodelling of ER #mitochondria communication during the early phase of ER #stress... the full paper is own #CellDeath&amp;Differentiation!</t>
  </si>
  <si>
    <t>https://go.nature.com/2tUJObY</t>
  </si>
  <si>
    <t>https://pbs.twimg.com/media/EOK-TgcWsAAMra8.jpg</t>
  </si>
  <si>
    <t>Ashley Lodge</t>
  </si>
  <si>
    <t>Join me today for a 30 min Q&amp;A on #Mindfulness I'll be speaking to @LauraSummersNow at @BookMachine about how it can help manage #anxiety and #stress at work. #mentalhealth #Wellbeing #WednesdayWisdom #wellness Register here:</t>
  </si>
  <si>
    <t>https://bookmachine.org/2020/01/09/wednesday-wisdom-mindfulness-at-work/</t>
  </si>
  <si>
    <t>Mindfulness &amp; Wellbeing Lead and Senior Product Manager at Pearson UK. Run my own consultancy: Mindfulness &amp; Coaching</t>
  </si>
  <si>
    <t>http://www.mindfulnessandcoaching.co.uk</t>
  </si>
  <si>
    <t>“How to overcome workplace #stress with #mindfulness meditation”  meditation #health #wellness</t>
  </si>
  <si>
    <t>💖Linsey Hinton Landy💖</t>
  </si>
  <si>
    <t>Youngest is off school sick not long back from Drs he's got a swollen ear drum and his other symptoms are all stress and anxiety. #autism #pathway #anxiety #sick #stress #school xx</t>
  </si>
  <si>
    <t>Liverpool, England</t>
  </si>
  <si>
    <t>💖Tattooed Wife/Mum💖2 Beautiful Boys💖1 Aspergers/Anxiety,Sleep disorders/OCD💖1 Anxiety&amp;awaiting diagnosis.SPD?PDA?💖LFC⚽</t>
  </si>
  <si>
    <t>Researchers facing ‘shocking’ levels of stress, survey reveals  #Stress #SalivaryCortisol #Researchers #PhD #MentalHealth</t>
  </si>
  <si>
    <t>Annette J Beveridge</t>
  </si>
  <si>
    <t>Don't feel stressed, take action. Here's the first step. The 7 Day #Stress Busting Action Plan. Psst. Get if for FREE.</t>
  </si>
  <si>
    <t>http://bit.ly/2FO9EBm</t>
  </si>
  <si>
    <t>Editor - http://creative1publishing.com Book Publicist, Book Promo, Author, Writer, Story teller, Veggie. Yoga,Meditation and theatre addict.</t>
  </si>
  <si>
    <t>http://5reasonstoread.com</t>
  </si>
  <si>
    <t>Isaak by StatusToday</t>
  </si>
  <si>
    <t>Happy #WellnessWednesday - Seven ways to reduce workplace #stress via @thriveglobal #HRTech #Management #Tips #ai #artificialintelligence #machinelearning #datascience #deeplearning #futureofwork #automation #technology #hrtech #analytics</t>
  </si>
  <si>
    <t>https://pbs.twimg.com/media/EOUM9X9WsAIsOjb.jpg</t>
  </si>
  <si>
    <t>Isaak is an AI that gives people analytics to drive organizational change.</t>
  </si>
  <si>
    <t>http://www.statustoday.com</t>
  </si>
  <si>
    <t>Clevertouch</t>
  </si>
  <si>
    <t>How the right use of technology can reduce stress levels of teachers  #edtech #teaching #tech #stress #mentalhealth #avtweeps</t>
  </si>
  <si>
    <t>https://www.clevertouch.com/uk/latest-stories/blogs/how-the-right-use-of-technology-can-reduce-stress-levels-of-teachers?utm_source=twitter&amp;utm_medium=social&amp;utm_campaign=myclevertouch&amp;utm_content=articles</t>
  </si>
  <si>
    <t>https://pbs.twimg.com/media/EOUJijyX0AEZvTk.png</t>
  </si>
  <si>
    <t>Official Twitter account for the multi award winning Clevertouch Collaborative Interactive Displays for corporate, education, and government #ProAV #Clevertouch</t>
  </si>
  <si>
    <t>http://www.clevertouch.com</t>
  </si>
  <si>
    <t>Dr David Hardman</t>
  </si>
  <si>
    <t>Rampant bullying in the research community: bad for the victims and bad for science. And driven by target culture.  #stress #bullying #health #mentalhealth</t>
  </si>
  <si>
    <t>Psychologist. Senior Research Analyst / TSSA rep at Rail Safety and Standards Board. Trade Union Liaison Officer at West Ham CLP. Opinions my own.</t>
  </si>
  <si>
    <t>Dee Wilkinson</t>
  </si>
  <si>
    <t>A Surprising Way to Help Your Body Manage #Stress -  #GoogleAlerts #stressmanagement #stress #mentalhealth #essentialoils</t>
  </si>
  <si>
    <t>https://goo.gl/alerts/ia3za</t>
  </si>
  <si>
    <t>Dee specialises in GP coaching as well as SWC's expertise in Leadership &amp; Mgmt, Exec Coaching &amp; Training</t>
  </si>
  <si>
    <t>http://www.southwestcoaching.co.uk</t>
  </si>
  <si>
    <t>Private renting is making millions of people ill with almost half of England’s 8.5 million renters experiencing stress or anxiety and a quarter made physically sick as a result of their housing. #MentalHealth #Stress #Anxiety #HousingCrisis #Private</t>
  </si>
  <si>
    <t>https://www.theguardian.com/society/2020/jan/15/private-renting-making-millions-sick-england-poll</t>
  </si>
  <si>
    <t>It is a honor! #Goodmorning #Caregivers #Stress #Burnout #Alzheimer #Babyboomers #Caring #Familycaregivers #Healthcare #Selfcare #Comeoutreach #Youarenotalone #SHARKSyouth #Endurance</t>
  </si>
  <si>
    <t>https://pbs.twimg.com/media/EOUGGo9X4AMSLl3.jpg</t>
  </si>
  <si>
    <t>JanetFig</t>
  </si>
  <si>
    <t>Stop #Stress! Consume more greens. DYK that leafy greens can aid #Relaxation?</t>
  </si>
  <si>
    <t>http://hlty.us/7L8j</t>
  </si>
  <si>
    <t>https://pbs.twimg.com/media/EOUE41FXsAExo4N.jpg</t>
  </si>
  <si>
    <t>#Marketing • #Content • #Nutrition My 30+ years of experience in MAR/PR/COMM shaped my prof side, my 15-year health journey teaches me more! #Cancer_Thriver</t>
  </si>
  <si>
    <t>"No more morning madness."  #Stress #Logistics #Blog #Dance #backtoschool</t>
  </si>
  <si>
    <t>https://lttr.ai/MLli</t>
  </si>
  <si>
    <t>https://pbs.twimg.com/media/EOUE4vKX4AIikDx.jpg</t>
  </si>
  <si>
    <t>Awesome Home</t>
  </si>
  <si>
    <t>Home Decorating Ideas Farmhouse # Outdoor showers #this #your #luxury #with #stress</t>
  </si>
  <si>
    <t>https://ift.tt/2tjfeJ9</t>
  </si>
  <si>
    <t>Awesome Home Design Ideas and Decor</t>
  </si>
  <si>
    <t>VoluntaryActionLeeds</t>
  </si>
  <si>
    <t>Are you dealing with increased workloads and #stress ? Our Positively Dealing with Stress course on 29 January will show you how to manage stress effectively. More info and registration here:  #ThirdSector #Leeds</t>
  </si>
  <si>
    <t>https://data.val.org.uk/civicrm/event/info?id=1423&amp;reset=1</t>
  </si>
  <si>
    <t>https://pbs.twimg.com/media/ENSBvzsWkAE11O7.png</t>
  </si>
  <si>
    <t>Leeds, West Yorkshire</t>
  </si>
  <si>
    <t>Official Twitter account of Voluntary Action Leeds (VAL). We provide support services and specialist advice to organisations and community groups across Leeds.</t>
  </si>
  <si>
    <t>http://doinggoodleeds.org.uk</t>
  </si>
  <si>
    <t>Who is to Blame for Emotional Outbursts at Work? -  #GoogleAlerts #stressmanagement #stress #mentalhealth</t>
  </si>
  <si>
    <t>https://goo.gl/alerts/xFgPR</t>
  </si>
  <si>
    <t>It’s ok not to be ok! Our national infoline is open Monday to Friday 9.30am-5.30pm, call 03444 775 774 today to find out how we can provide support for #anxiety, #stress and anxiety based #depression through our discounted therapy services and supportive membership offer!</t>
  </si>
  <si>
    <t>#ErectileDysfunction is common, particularly in #men over 40. It's usually nothing to worry about &amp; is often due to #stress, #tiredness, #anxiety or #drinking too much #alcohol. But, if it happens more often, speak to us @pschemist as #WednesdayWisdom &amp;amp; treatment is available.</t>
  </si>
  <si>
    <t>https://pbs.twimg.com/media/EOUBd1IXkAcBC33.jpg</t>
  </si>
  <si>
    <t>MJY. NA8U90</t>
  </si>
  <si>
    <t>Stress.. 😥 #stress #스트레스 #하.. #FD #rx7 #MAZDA #jdm #NeedforSpeed</t>
  </si>
  <si>
    <t>https://pbs.twimg.com/media/EOT_6siUcAEwlvs.jpg</t>
  </si>
  <si>
    <t>🇰🇷 Lv.20 환영합니다~ Well come ~ いらっしゃいませ~</t>
  </si>
  <si>
    <t>Trevor - Enterprise XD Design</t>
  </si>
  <si>
    <t>Get out the #wine and get in the #bath! #Relax with our DrinksBath range, #3Dprinted to order in our #Etsy store in many colours (JANUARY2020=20% off)  #KingOf #Shower #Beer #Coffee #Stress #Gifts #Home #プレゼント #落ち着け #ストレス #ワイン #ハンドメイド</t>
  </si>
  <si>
    <t>http://www.etsy.com/uk/shop/enterprisexddesign</t>
  </si>
  <si>
    <t>https://pbs.twimg.com/media/EOT_PEGWoAEJOQz.jpg</t>
  </si>
  <si>
    <t>Halstead, England</t>
  </si>
  <si>
    <t>I’m Trevor, #KingOf winner and maker of things to make people happy. All DMs &amp; messages always welcome 🤗 LINE ID: bloozsingahh</t>
  </si>
  <si>
    <t>Instead of ignoring the signs of stress, learning to recognise them is the first step to relieving the tension. #stress #calm #relax #brauercalm #brauer #wellbeing #mentalhealth</t>
  </si>
  <si>
    <t>http://bit.ly/2PUaaSK</t>
  </si>
  <si>
    <t>https://pbs.twimg.com/media/EOT-vJVWsAEl_IL.png</t>
  </si>
  <si>
    <t>[AD] Getting Serious About Stress  #stress #selfcare</t>
  </si>
  <si>
    <t>https://goo.gl/FPvvb4</t>
  </si>
  <si>
    <t>https://pbs.twimg.com/media/EOT92giX0AECIgV.jpg</t>
  </si>
  <si>
    <t>Princess, The Tower</t>
  </si>
  <si>
    <t>“I want my old brain back, the one that was sharp as a tack, good at remembering precise details, and always confident in a debate because I trusted my memory so thoroughly.”  @AbandonPretense #anxiety #stress #brainfog #chronicillness #spoonie</t>
  </si>
  <si>
    <t>https://buff.ly/2OxfBq7</t>
  </si>
  <si>
    <t>The Tower</t>
  </si>
  <si>
    <t>Chronic Pain Healing Portal for everyone affected by severe #chronicpain &amp; #chronicillness—particularly Complex Regional Pain Syndrome #CRPS #RSD #Fibromyalgia.</t>
  </si>
  <si>
    <t>http://princessinthetower.org/</t>
  </si>
  <si>
    <t>https://pbs.twimg.com/media/EOT8ZsJWsAAD25W.jpg</t>
  </si>
  <si>
    <t>https://pbs.twimg.com/media/EOT8VaoXkAAgbGu.jpg</t>
  </si>
  <si>
    <t>YSJU Chaplaincy</t>
  </si>
  <si>
    <t>#Exams? Take a deep breath, relax and focus #WednesdayWisdom #university #stress #exams #York #chaplaincy #support #space #quiet #peace #calm #ThoughtOfTheDay @YorkStJohn @YSJSU</t>
  </si>
  <si>
    <t>https://pbs.twimg.com/media/EOT6LGCX0AAJwND.jpg</t>
  </si>
  <si>
    <t>York, UK</t>
  </si>
  <si>
    <t>The Chaplaincy welcomes all staff and students regardless of faith, race or sexuality. Encouraging, listening, and being there. Open minds and open hearts.</t>
  </si>
  <si>
    <t>http://www.yorksj.ac.uk/chaplaincy/chaplaincy.aspx</t>
  </si>
  <si>
    <t>Chakra Corporate Ltd</t>
  </si>
  <si>
    <t>Build resilience. Life is filled with ups and downs. People who are resilient can bounce back from those downs. They overcome adversity, no matter how terrible or traumatizing. #JanuaryMotivation #Motivation #MentalHealth #WellatWork #Depression #Stress #Anxiety #Training</t>
  </si>
  <si>
    <t>https://pbs.twimg.com/media/EOT4cekX0AU2wAI.jpg</t>
  </si>
  <si>
    <t>Welcome to Chakra: A unique mental strength training programme, designed to increase stress-resilience and destigmatise mental health issues in the workplace</t>
  </si>
  <si>
    <t>http://www.chakracorporate.co.uk</t>
  </si>
  <si>
    <t>Gin Lalli</t>
  </si>
  <si>
    <t>"The one who tells the story rules the world" Stories help enormously in improving your #mentalhealth. Stories activate parts of your brain to #empathise, improves human connections, buffers #self-esteem and enhances our #mood.  #Anxiety #Stress</t>
  </si>
  <si>
    <t>https://www.bbc.co.uk/ideas/videos/how-stories-shape-our-minds/p07h9t70?playlist=the-extraordinary-human-brain</t>
  </si>
  <si>
    <t>Solution Focused Psychotherapist in Edinburgh. Former Optometrist, now a Specialist in Anxiety, Depression, Stress and Sleep. gin@ginlalli.com</t>
  </si>
  <si>
    <t>http://www.ginlalli.com</t>
  </si>
  <si>
    <t>Come along to Arbour Park Slough or Newbury Town Hall at 6.30pm this evening for our #FREE Stress Less Workshops which will teach you ways to manage #stress over the next 4 weeks! Check out our website for more information.</t>
  </si>
  <si>
    <t>https://pbs.twimg.com/media/EOT4bOrXkAADvdA.png</t>
  </si>
  <si>
    <t>21st Century Child</t>
  </si>
  <si>
    <t>Great morning spent with @q3langley Excellence Leaders discussing the issues young people face and what parents and carers need to know #mentalhealth #stress #bodyimage #socialmedia #theenvironment #support #strongersandwell</t>
  </si>
  <si>
    <t>Young people are experiencing new challenges every day. Sandwell’s 21st Century Child programme works with young people &amp; parents/carers to help keep them safe</t>
  </si>
  <si>
    <t>Sabina</t>
  </si>
  <si>
    <t>"The Water Warts virus can be caught at any time of the year and spreads quickly amongst children and adults."  #Stress #Skincare #UKMumSquad #Parenting</t>
  </si>
  <si>
    <t>https://lttr.ai/MLaf</t>
  </si>
  <si>
    <t>https://pbs.twimg.com/media/EOT2LoyW4AAnu-4.png</t>
  </si>
  <si>
    <t>Peterborough, UK</t>
  </si>
  <si>
    <t>Blogger, freelance writer, wife, step-mum and mum to four amazing children (my Beans) #PRfriendly</t>
  </si>
  <si>
    <t>https://about.me/mummymatters</t>
  </si>
  <si>
    <t>5bestthings.com</t>
  </si>
  <si>
    <t>10 Holiday Tips and Tricks for a #Stress Free #Season</t>
  </si>
  <si>
    <t>http://bit.ly/2NqqQAM</t>
  </si>
  <si>
    <t>5BestThings works to take highest trust to users , and this what we are working on , Finally it's your website Visit https://5bestthings.com/</t>
  </si>
  <si>
    <t>https://5bestthings.com/</t>
  </si>
  <si>
    <t>Ruth: The Time Fairy</t>
  </si>
  <si>
    <t>We all have stress in our lives. Learn to change negative #stress into a positive.</t>
  </si>
  <si>
    <t>https://pbs.twimg.com/media/EOT1lo1WsAAC7n4.jpg</t>
  </si>
  <si>
    <t>Southam, Warwickshire</t>
  </si>
  <si>
    <t>* Personal concierge * Personal assistant * Helping people find time for the important things in life.</t>
  </si>
  <si>
    <t>http://www.thetimefairy.co.uk/bookings</t>
  </si>
  <si>
    <t>Jayne L</t>
  </si>
  <si>
    <t>sky #high #prices and #poor living #conditions causing #stress and #anxiety Renting conditions making millions sick or suffer stress or anxiety</t>
  </si>
  <si>
    <t>https://www.theguardian.com/society/2020/jan/15/private-renting-making-millions-sick-england-poll?CMP=share_btn_tw</t>
  </si>
  <si>
    <t>Leicester</t>
  </si>
  <si>
    <t>Leicester, Socialist .Former Community Worker F**ked Up Feisty &amp; Proud of it/ #Fibro, #Sjorgens, &amp; #ChronicIllness #MentalHealth #Equality</t>
  </si>
  <si>
    <t>http://jaynelinney.wordpress.com</t>
  </si>
  <si>
    <t>Besides making you forget where you put your keys, stress can also have a dramatic impact on your health.#stress</t>
  </si>
  <si>
    <t>Ashish Bedekar</t>
  </si>
  <si>
    <t xml:space="preserve">APAC </t>
  </si>
  <si>
    <t>http://in.linkedin.com/in/ashishrbedekar Ashish Bedekar. Personal account. Views need not represent my employer's views. RT's are not endorsements.</t>
  </si>
  <si>
    <t>http://ashishbedekar.brandyourself.com/</t>
  </si>
  <si>
    <t>Norma Esler</t>
  </si>
  <si>
    <t>"You need to know exactly what you want."  #HomeFreeMedia #Goals #BusinessGoals #Stress</t>
  </si>
  <si>
    <t>https://lttr.ai/MLXB</t>
  </si>
  <si>
    <t>https://pbs.twimg.com/media/EOTyT9RXUAAEmHB.jpg</t>
  </si>
  <si>
    <t>http://normaesler.com</t>
  </si>
  <si>
    <t>Craig Heimbichner</t>
  </si>
  <si>
    <t>Not sleeping...can anyone relate? #insomnia #stress #travel #bugsbunny #whatever #hello</t>
  </si>
  <si>
    <t>https://pbs.twimg.com/media/EOTxg3pVAAAxckt.jpg</t>
  </si>
  <si>
    <t>Award-winning author and musician, screenwriter, actor, producer, multiple Hall of Fame-inducted martial artist, poet.</t>
  </si>
  <si>
    <t>http://m.imdb.com/name/nm4874657/</t>
  </si>
  <si>
    <t>IBDrelief</t>
  </si>
  <si>
    <t>#Tips for reducing stress with IBD. We asked for your top tips and we were sent this great one. What are your tips for coping with stress and IBD? Add them below and we’ll share the best… #IBD #crohns #UC #colitis #spoonie #crohnswarrior #crohnsandcolitis #stress #selfcare</t>
  </si>
  <si>
    <t>https://pbs.twimg.com/media/EOTxgwgWoAAPwbq.jpg</t>
  </si>
  <si>
    <t>Helping people live with #IBD | Website &amp; resources for people with ulcerative colitis &amp; Crohn's disease #UC #ulcerativecolitis #colitis #CrohnsDisease #crohns</t>
  </si>
  <si>
    <t>http://www.ibdrelief.com</t>
  </si>
  <si>
    <t>Mike Kaiser</t>
  </si>
  <si>
    <t>Be the Best that You can be  #Stress #Rut #Smile</t>
  </si>
  <si>
    <t>https://lttr.ai/MLVv</t>
  </si>
  <si>
    <t>https://pbs.twimg.com/media/EOTw_OzX4AcZnw9.png</t>
  </si>
  <si>
    <t>Random Musings from Mike</t>
  </si>
  <si>
    <t>https://jmkthought.blogspot.com/</t>
  </si>
  <si>
    <t>Ashish Bhalla</t>
  </si>
  <si>
    <t>HRZone: January is one of the most stressful months of the year for many, but what can we learn from other European countries about stress management at work? GemmaLeighRob offers some useful insights:  #stress #mentalhealth</t>
  </si>
  <si>
    <t>https://buff.ly/2YpKQdI</t>
  </si>
  <si>
    <t>https://pbs.twimg.com/media/EOP8y2pWkAEAWuv.jpg</t>
  </si>
  <si>
    <t>Noida, India</t>
  </si>
  <si>
    <t>Recruitment Lead for USA &amp; India Staffing for Software, Business &amp; Infrastructure division for HCL Technologies Ltd (@hcltech) #HumanResources #Technology</t>
  </si>
  <si>
    <t>Robert Lutz</t>
  </si>
  <si>
    <t>Acupuncture for better #sleep. Contact for more info. robert@holistic-alternatives.us texts welcome: (631) 232-7978  #insomnia #bettersleep #cantsleep #acupunctureforsleep #stress #stressrelief #naturalstressrelief #stressed #acupuncture #acupuncturist</t>
  </si>
  <si>
    <t>https://holistic-alternatives.us/what-we-treat/insomnia/</t>
  </si>
  <si>
    <t>https://pbs.twimg.com/media/EOTuDl0WsAEpgB9.jpg</t>
  </si>
  <si>
    <t>Huntington, NY</t>
  </si>
  <si>
    <t>Holistic Alternatives "Feel Better Naturally" LI's Holistic Medicine &amp; Healing Center. $ Most Insurances Accepted.</t>
  </si>
  <si>
    <t>https://holistic-alternatives.us/</t>
  </si>
  <si>
    <t>“Want to learn mindfulness, but short on time? New online course. Free preview.”  #stress #meditation #peace mindfulness #relax</t>
  </si>
  <si>
    <t>bamba bathily</t>
  </si>
  <si>
    <t>Dakar,Senegal</t>
  </si>
  <si>
    <t>||follow me, it's the easiest way to know me 🙃🙂 | ||Security GEEK💻🛡️||Entrepreneur👨‍💻👨‍💻 ||🌐👨‍💻🛡️IT Cybersecurity Awareness 🛡️||</t>
  </si>
  <si>
    <t>#Massagetherapy can relieve all sorts of ailments – from physical pain, to #stress and #anxiety.  #ThaiMassage</t>
  </si>
  <si>
    <t>Engage! Workplace Wellbeing</t>
  </si>
  <si>
    <t>“34% of employees indicate they’ve felt unwell because of work-related #stress.”  #employeeengagement #employeewellness #wellbeing #wellbeingwednesday</t>
  </si>
  <si>
    <t>https://www.keepthefaith.co.uk/2019/12/31/managing-wellbeing-at-work/</t>
  </si>
  <si>
    <t>#Wellbeing workshops for #employeeengagement. Helping teams to #thrive by creating #happiness &amp; #resilience #socialpassionproject #livelaughbounce #toolboxtalks</t>
  </si>
  <si>
    <t>http://www.discoveryourbounce.com/forbusiness/</t>
  </si>
  <si>
    <t>Belgravia Centre</t>
  </si>
  <si>
    <t>Struggling Being Back at Work? Find Out How a Malfunctioning Body Clock Can Lead to Thinning Hair &gt;&amp;gt;  #hairloss #hairgrowth #belgraviacentre #sleep #cantsleep #backtowork #hairlosshelp #thinninghair #stress #stressedout #stressed #bodyclock</t>
  </si>
  <si>
    <t>http://bit.ly/CircadianRhythmHairLoss</t>
  </si>
  <si>
    <t>https://pbs.twimg.com/media/EOTq0PVXsAEawk9.jpg</t>
  </si>
  <si>
    <t>The UK’s leading hair loss clinic. Hair loss treatment for men and women: banish baldness, rectify a receding hairline &amp; treat thinning with a proven approach.</t>
  </si>
  <si>
    <t>http://www.belgraviacentre.com</t>
  </si>
  <si>
    <t>Anxiety and depression are the most common problems, with around 1 in 10 people affected at any one time. #Anxiety #Stress #MentalHealth Let's Talk, Let's Support</t>
  </si>
  <si>
    <t>https://qoo.ly/33utwd</t>
  </si>
  <si>
    <t>Maria L Fuentes</t>
  </si>
  <si>
    <t>🇬🇧 Do you sometimes wonder if you are you stressed or anxious? #hypnotherapy #relaxation #eft #emdr #anxiety #therapy #stress #mindfulnessmeditation #healing #stressmanagement #Bexhill #london #uk #colombia #Spain #kenia #socialanxiety #anxietyrelief #eastbourne #brighton</t>
  </si>
  <si>
    <t>pic.twitter.com/V5xM9RchDr</t>
  </si>
  <si>
    <t>http://hypnosissouthlondon.co.uk</t>
  </si>
  <si>
    <t>kamna chhibber</t>
  </si>
  <si>
    <t>Explore the rhythms of life and manage your #stress with @aleenali01 this Saturday at @fmri_official in this initiative by @fortis_hospital and @sheroes! #MentalHealthMatters #wellness #WednesdayMotivation RT @dr_samirparikh: #exploreartherapy with @aleenali01 - a workshop on #stressmanagement at @fmri_official . A @fortis_hospital and @sheroes initiative. For more information log on to SHEROES or write to mentalhealth@fortishealthcare.com. #mindspace</t>
  </si>
  <si>
    <t>https://twitter.com/dr_samirparikh/status/1215484620541698048</t>
  </si>
  <si>
    <t>https://pbs.twimg.com/media/EN5EeC7W4AAvwOn.jpg</t>
  </si>
  <si>
    <t>Delhi</t>
  </si>
  <si>
    <t>Clinical #Psychologist, writer, author, speaker, #mentalhealth advocate. Head - Mental Health and Behavioral Sciences, Fortis Healthcare</t>
  </si>
  <si>
    <t>http://www.fortishealthcare.com/india/clinical-speciality/mental-health-and-behavioural-sciences-268</t>
  </si>
  <si>
    <t>BLOOD FURY ART</t>
  </si>
  <si>
    <t>Weekly Animation 02: This week got me like..... — Main Voice/Music: @watakawatakanaka - Additional Voices/Animation: @bloodfuryart — #weeklyanimation #weeklyanimation2020 #thingaweek #animationaweek #stress #anxiety #depression #mentalhealth #worklifebal…</t>
  </si>
  <si>
    <t>http://bit.ly/30mbpio</t>
  </si>
  <si>
    <t>https://pbs.twimg.com/media/EOTnqFHWsAEzbZN.jpg</t>
  </si>
  <si>
    <t>That's #Fury, not #Furry.</t>
  </si>
  <si>
    <t>http://bloodfurycomic.tumblr.com</t>
  </si>
  <si>
    <t>https://pbs.twimg.com/media/EOTmCHrWoAU1do7.png</t>
  </si>
  <si>
    <t>Kelly Hainsworth</t>
  </si>
  <si>
    <t>BBC News - Miscarriage can lead to 'long-term post-traumatic stress'  #miscarriage #stress #bereavement</t>
  </si>
  <si>
    <t>Leicestershire</t>
  </si>
  <si>
    <t>Reflexologist in Leicestershire. Founder of #lovereflexology @lovereflex. Business Mentor to Complementary Health Practitioners and @GaryBarlow fan :-)</t>
  </si>
  <si>
    <t>http://www.kellyhainsworth.com</t>
  </si>
  <si>
    <t>Although you may try to follow all the good-sleep rules—shutting off your screens, slipping under the sheets in a cool room, you may still spend hours staring up at the ceiling, worrying about work, family &amp; more  #SleepRenewal #SleepDisorders #stress</t>
  </si>
  <si>
    <t>http://ow.ly/HsU630pOCIG</t>
  </si>
  <si>
    <t>https://pbs.twimg.com/media/EOTjxeqXsAAgh9P.jpg</t>
  </si>
  <si>
    <t>Val Trudy</t>
  </si>
  <si>
    <t>Being half way through the working week is often thought provoking. Are you struggling with your #energy #stress #stressmanagement or #Wellbeing Maybe #CBD #CBDoil #Cannabidiol could be part of the solution for your needs? @canaxen  #wise #WednesdayWisdom</t>
  </si>
  <si>
    <t>http://www.canaxen.com</t>
  </si>
  <si>
    <t>OAP looking to make a few bob! Middlesex, UK. Passionate about life, I enjoy a healthy diet and all things related to CBD or cannabidiol.</t>
  </si>
  <si>
    <t>OfficialLutrell_CEO</t>
  </si>
  <si>
    <t>#Cardio reduces #stress and #helps you #sleep better. Why am I not running right now again?</t>
  </si>
  <si>
    <t>My name is Lutrell. I believe that Hard Work is the way to change your life! Become a CEO of your life &amp; Create Everyone An Opportunity.</t>
  </si>
  <si>
    <t>bobbi bates</t>
  </si>
  <si>
    <t>http://hlty.us/7LYQ</t>
  </si>
  <si>
    <t>https://pbs.twimg.com/media/EOTgkpyXkAAtJpg.jpg</t>
  </si>
  <si>
    <t>Saskatoon, Saskatchewan</t>
  </si>
  <si>
    <t>Green Star Naturals</t>
  </si>
  <si>
    <t>“Why do I #vape #cannabis? Because it helps with my #stress and #anxiety. I would rather have something natural help me than some sort of man made that has side effects and is addicting.” ✊🌿#CannabisCommunity #Oregon</t>
  </si>
  <si>
    <t>https://pbs.twimg.com/media/EOTgYkJVAAAEwmo.jpg</t>
  </si>
  <si>
    <t>Oregon, USA</t>
  </si>
  <si>
    <t>OLCC Licensed Processor - Products only available in OLCC licensed dispensaries -NOTHING AVAILABLE FOR SALE ONLINE</t>
  </si>
  <si>
    <t>https://www.greenstargrowing.com/</t>
  </si>
  <si>
    <t>We are the champions, but the door prize may be better: Michelin chefs discover fame comes with strings as bad as overcooked pasta  @FL_Street #michelin2020 #chef #restaurants #mentalhealth #stress</t>
  </si>
  <si>
    <t>https://www.cnn.com/travel/article/why-michelin-chefs-return-stars/index.html</t>
  </si>
  <si>
    <t>https://www.podbean.com/eau/pb-iccyf-cc5808</t>
  </si>
  <si>
    <t>Carré des Jardiniers</t>
  </si>
  <si>
    <t>"Households are more aware of the benefits of #plants like air cleansing, #stress reduction and boosting #creativity." #trend #greencity #landscaping #flowers #plants 👉  👉 @gardenmedia</t>
  </si>
  <si>
    <t>http://ow.ly/r7ZN50xDlFv</t>
  </si>
  <si>
    <t>https://pbs.twimg.com/media/EOTc_oAWAAAPEFb.jpg</t>
  </si>
  <si>
    <t>Lyon, France</t>
  </si>
  <si>
    <t>Le concours « Carré des Jardiniers » a lieu tous les deux ans à @Paysalia. #CDJ #CDJ21 Thème 2021 : Bientôt révélé</t>
  </si>
  <si>
    <t>https://www.paysalia.com/fr/cdj/presentation</t>
  </si>
  <si>
    <t>VizWorld™</t>
  </si>
  <si>
    <t>Three teaching mindsets to let go of in 2020 #Education #burnout #stress #teaching</t>
  </si>
  <si>
    <t>https://inservice.ascd.org/three-teaching-mindsets-to-let-go-of-in-2020/</t>
  </si>
  <si>
    <t>VizWorld™ http://VizWorld.com - news &amp; learning for viz thinkers/design thinkers/innovators. Edited by @deanmeistr #bebraveanditerate #visualthinkersway</t>
  </si>
  <si>
    <t>http://www.vizworld.com</t>
  </si>
  <si>
    <t>Steady Care Medical</t>
  </si>
  <si>
    <t>#Patients with #anxiety are well aware of that feeling - the heart starts beating faster, palms get sweaty, and #stress levels increase rapidly Read More: #anxietytherapy #stressmanagement #anxietyhelp</t>
  </si>
  <si>
    <t>https://tinyurl.com/up6j7f8</t>
  </si>
  <si>
    <t>Santa Ana, CA</t>
  </si>
  <si>
    <t>Our mission at Steady Care Medical is to provide patients with excellent comprehensive primary health care through a variety of medical services.</t>
  </si>
  <si>
    <t>http://steadycaremedical.com/</t>
  </si>
  <si>
    <t>CapeTown Bookings</t>
  </si>
  <si>
    <t>Cape Town</t>
  </si>
  <si>
    <t>@CPTBookings offers #IT #audits #Socialmediamarketing #destinationmarketing #BusinessPlans</t>
  </si>
  <si>
    <t>http://www.capetownbookings.co.za</t>
  </si>
  <si>
    <t>Yoga_of_the_day</t>
  </si>
  <si>
    <t>Must watch, this vedio helps you in your anxiety and depression. Let's know how to overcome anxiety attack #yoga_of_the_day #painic #Anxiety #depression #stress #controller #vedio #spna</t>
  </si>
  <si>
    <t>pic.twitter.com/47yuHQhkSd</t>
  </si>
  <si>
    <t>spna... Yoga girl❤(instructor)</t>
  </si>
  <si>
    <t>https://www.instagram.com/spna.yg.instrctr/</t>
  </si>
  <si>
    <t>Talk About Failures</t>
  </si>
  <si>
    <t>TURN THE TABLES 👑 #TAFTalks #LifeLessons #WednesdayWisdom #Failures #Inspiration #Motivation #Failed #LifeHacks #DIY #Stress #Anxiety #Success #Follow #QOTD #Influence #TALK #ShowerThoughts #FollowForFollow #Pongal #MakarSakranti</t>
  </si>
  <si>
    <t>https://pbs.twimg.com/media/EOTZ1RvU4AMnhiQ.jpg</t>
  </si>
  <si>
    <t>Share Failures. Celebrates Failure. Come Play Your Part!</t>
  </si>
  <si>
    <t>http://talkaboutfailures.com</t>
  </si>
  <si>
    <t>That heartburn could be more than the office lunch chili: Stressed and constantly feeling overwhelmed is a way of life for many these days, and its impact on health highly detrimental  @PesceNic #worklifebalance #health #stress #mentalhealth #hearthealth</t>
  </si>
  <si>
    <t>https://on.mktw.net/3aasT5R</t>
  </si>
  <si>
    <t>Elliot Liber</t>
  </si>
  <si>
    <t>Education connoisseur—research is my pastime</t>
  </si>
  <si>
    <t>Arrange a session today to encourage students to learn efficiently and effectively. Explore More:  #studentproblems #highschool #studentlife #stress #StudyWithJoanne #Education #EducationalSpeaker #AcademicAssistance #StudentLifeProblems #Canada #Toronto</t>
  </si>
  <si>
    <t>http://bit.ly/2oAbfFq</t>
  </si>
  <si>
    <t>pic.twitter.com/F6XfxsPdfk</t>
  </si>
  <si>
    <t>Small_Firm_Forum</t>
  </si>
  <si>
    <t>Heads of small law firms from across the United States who are willing to share their insights and experience on marketing, managing and growing a law firm</t>
  </si>
  <si>
    <t>https://smallfirmforum.com</t>
  </si>
  <si>
    <t>Alexander Nevermind</t>
  </si>
  <si>
    <t>£earning how to control your #emotional reactions to situations will save you from a lot of pointless #stress &amp; #drama. #WisdomWEDNESDAY</t>
  </si>
  <si>
    <t xml:space="preserve">   Louisianimal  ✈ ATLANTA</t>
  </si>
  <si>
    <t>♑️ justME --- tune in to your own fundamental wisdom, to let go of the UGlY comparisons, &amp; to understand that who you are, the TRUE YOU, is more than enough! ♑️</t>
  </si>
  <si>
    <t>Overcoming Anxiety and Stress  @ctvedmonton #stress</t>
  </si>
  <si>
    <t>https://askdrganz.com/blogs/in-the-media/overcoming-anxiety-and-stress</t>
  </si>
  <si>
    <t>https://pbs.twimg.com/media/EOTV_3wX4AA7u59.png</t>
  </si>
  <si>
    <t>Linda Sage MA, BA Ed (Hons), DTM</t>
  </si>
  <si>
    <t>New for 2020 you can invite me into the comfort and privacy of your home for 1-2-1 psychotherapy sessions. Stop struggling with #stress #anxiety #depression in silence help and support is just a click away to #avoidburnout and improve...</t>
  </si>
  <si>
    <t>https://www.lindasage.com/book-a-call/</t>
  </si>
  <si>
    <t>Self-care isn't a luxury, it's a necessity. Long-term stress will affect you emotionally and physically. I work with people to help them take back control.</t>
  </si>
  <si>
    <t>http://www.lindasage.com</t>
  </si>
  <si>
    <t>Re-activ8</t>
  </si>
  <si>
    <t>Health &amp; Happiness: The Tiger In The Mind  #Health #Stress #Lifestyle #Fatloss #Wellness</t>
  </si>
  <si>
    <t>https://reactiv8health.blogspot.com/2020/01/the-tiger-in-mind.html?spref=tw</t>
  </si>
  <si>
    <t>Corrective Exercise &amp; High Performance Holistic Health Practitioner. Health is my passion, travel is my pleasure, love is my lifestyle.</t>
  </si>
  <si>
    <t>http://www.re-activ8.com</t>
  </si>
  <si>
    <t>Howie's</t>
  </si>
  <si>
    <t>If life is stressed out then there is a lot of chance to make money but if the chancer is stressed out also then not sure can turn that chance to opportunity. #life #chance #money #stress #opportunity</t>
  </si>
  <si>
    <t>HCMC/VN</t>
  </si>
  <si>
    <t>DESIGN THINKING | DESIGN SYSTEM | PROBLEM FINDING | VISUALIZATION | PRODUCTIVITY | HABITS | CONSISTENCY | AESTHETICS | AUTONOMOUS | CONSULTANT</t>
  </si>
  <si>
    <t>UpNow</t>
  </si>
  <si>
    <t>Are you struggling with anxiety? If you need a little extra help before tests, meetings or everyday worries, check out our app with hypnosis for anxiety.  #anxiety #mentalhealth #depression #stress #struggling #hypnosis #wellness #app #anxiety</t>
  </si>
  <si>
    <t>https://bit.ly/2FNQkUs</t>
  </si>
  <si>
    <t>https://pbs.twimg.com/media/EOTPz0_U4AIkq0X.jpg</t>
  </si>
  <si>
    <t>Partner with your mind with #UpNow #SelfHypnosisAudios. You can improve your wellbeing, mental fitness and performance with UpNow #hypnotherapydownloads.</t>
  </si>
  <si>
    <t>https://upnow.com/</t>
  </si>
  <si>
    <t>Read our article to learn about what you can do to support your child during the year ahead . Dr E Manga advises a holistic &amp; integrated approach to helping children deal with stress. Visit  #stress #anxiety #LenmedHasHeart</t>
  </si>
  <si>
    <t>https://pbs.twimg.com/media/EOTPKQCWsAY0tpm.jpg</t>
  </si>
  <si>
    <t>https://pbs.twimg.com/media/EOTPKNvXUAI8wUU.jpg</t>
  </si>
  <si>
    <t>PharmProff</t>
  </si>
  <si>
    <t>#Post #Traumatic #Stress #Disorder (PTSD) Therapeutics – Pipeline Analysis 2019, Clinical Trials and Results, Patents, Designations, Collaborations, and Other Developments. Request to Get the Sample Pages at:  Key Company: @Bionomics1, @pfizer.</t>
  </si>
  <si>
    <t>http://bit.ly/2X3aqBY</t>
  </si>
  <si>
    <t>https://pbs.twimg.com/media/EOTO9EvUwAYekhY.jpg</t>
  </si>
  <si>
    <t>Pharma Proff is a Frontline Market Intelligence and Consulting Solutions Provider Catering to the Information and Data Needs of Burgeoning Sectors Across Globe.</t>
  </si>
  <si>
    <t>http://www.pharmaproff.com</t>
  </si>
  <si>
    <t>WEDNESDAY WISDOM!!! As you get to know yourself, your life will become brighter, because of the magnetism in spirit you possess. #meaning #stress #mindset #success #motivational #fun #military #positivity #spiritual…</t>
  </si>
  <si>
    <t>https://www.instagram.com/p/B7VFRQRpLPl/?igshid=1lrr7br3rb7lp</t>
  </si>
  <si>
    <t>WEDNESDAY WISDOM!!! As you get to know yourself, your life will become brighter, because of the magnetism in spirit you possess. #meaning #stress #mindset #success #motivational #fun #military #positivity #spiritual #selfesteem #leadership #entrepreneur ✍🏿</t>
  </si>
  <si>
    <t>https://pbs.twimg.com/media/EOTN2GFWkAAgUSN.png</t>
  </si>
  <si>
    <t>5iveStarrr</t>
  </si>
  <si>
    <t>It's 12:45 am and I cannot fall asleep. I'm dreading going to work in a few hours. It's really dawning on me how unhappy I am there. #work #sleep #insomnia #stress</t>
  </si>
  <si>
    <t>Been MIA for a minute, now I'm back.</t>
  </si>
  <si>
    <t>Bug Speaks</t>
  </si>
  <si>
    <t>Scientists examine how a gut infection may produce chronic symptoms  #stress #gut #microbiome #health #wellness</t>
  </si>
  <si>
    <t>https://medicalxpress.com/news/2020-01-scientists-gut-infection-chronic-symptoms.html</t>
  </si>
  <si>
    <t>South Asia's 1st #GutMicrobiome Test</t>
  </si>
  <si>
    <t>http://www.bugspeaks.com</t>
  </si>
  <si>
    <t>The Best Yoga Pose For #Stress Opens Up Your Heart After A Long Day &amp; Here's How It's Done via @EliteDaily</t>
  </si>
  <si>
    <t>https://pbs.twimg.com/media/EOTKJz4WAAI5tfH.jpg</t>
  </si>
  <si>
    <t>Renee Goyeneche</t>
  </si>
  <si>
    <t>Stress often falls into 3 specific categories. Find out what they are, and how to reduce their effects. Seriously. It's worth a try.  #amwriting #stress #blog #WritingCommunity #readthis</t>
  </si>
  <si>
    <t>https://imperfectperceptions.home.blog/2019/10/02/an-ounce-of-stress-prevention/</t>
  </si>
  <si>
    <t>#Writer &amp; #Blogger, currently working on my first #book, a #mystery #thriller. I support and RT fellow writers. #writingcommunity #amwriting DM for writing only</t>
  </si>
  <si>
    <t>https://imperfectperceptions.home.blog/</t>
  </si>
  <si>
    <t>Poeticgirl86</t>
  </si>
  <si>
    <t>One of my favorite movies &amp; quote from "The Professional" #theprofessional #thought #WednesdayThoughts #movielover #movietwit #authors #Writer #poeta #life #stress #WednesdayWisdom</t>
  </si>
  <si>
    <t>https://pbs.twimg.com/media/EOS9LKXXkAABO-3.jpg</t>
  </si>
  <si>
    <t>Welcome😎 I'm a #poet #writer &amp; #author #Poetry is my drug keeping me high when I'm low Hope you enjoy my own poetry/wordplay #writing ©Copyright-Poeticgirl86✌</t>
  </si>
  <si>
    <t>Preserva Wellness</t>
  </si>
  <si>
    <t>Genuine #relaxation is important to overcome your #stress levels. Slow and deep breathing through nose has a deep association with stress relief. #herbs like curcumin and jatamansi also help in relaxing the brain. They can be consumed in Stresaway Tablets.</t>
  </si>
  <si>
    <t>Preserva offers a specialized and supreme range of products based on #Turmeric and #Curcumin that embody good #health and #wellness.</t>
  </si>
  <si>
    <t>http://www.preservawellness.com/</t>
  </si>
  <si>
    <t>Vladimir Reyes</t>
  </si>
  <si>
    <t>🥑🍎🥬🌭🍳🥗 What do you really eat? #psychology #science #behavior #pattern #mindset #psych #wellness #Wellbeing #lifestyle #health #foods #foodie #drinks #salud #travel #blogger #family #friendship #business #money #SmartNews #technology #productivity #stress  RT @APA: It's no secret that we tend to eat poorly when we are stressed. A study recently published in @APA_Journals' Journal of Health Psychology suggests this may not be the case, however, when there is a financial incentive to eat better.</t>
  </si>
  <si>
    <t>https://twitter.com/APA/status/1211756597145411585
https://medicalxpress.com/news/2019-12-cash-stressed-out-people-fruits-veggies.html</t>
  </si>
  <si>
    <t>https://pbs.twimg.com/media/EOS42ULXsAEDlqH.jpg</t>
  </si>
  <si>
    <t>Chilean, Proud New Yorker 🇺🇸 psycho student, blogger, art 🎨 &amp; wine-coffee lover🍷☕ Technology eater 🌿🌾🍀</t>
  </si>
  <si>
    <t>Click below to see how performance coaching can help you right now! 📚  #happy #mentalhealth #stress #anxiety #motivationalspeaker #tla #tlamindset #CBT #sportspsychology #psychologyfacts #mindsetcoaching #performancecoach #mentalhealthsupport #strong</t>
  </si>
  <si>
    <t>https://buff.ly/2tQLwLF</t>
  </si>
  <si>
    <t>https://pbs.twimg.com/media/EOS4QQ8W4AAb5Hw.jpg</t>
  </si>
  <si>
    <t>#DemDebate Fight the good fight every moment, every minute, every day. And the fight gets easier by helping your body with #Organic #CBD 1 of Natures gifts. No #stress Sale @</t>
  </si>
  <si>
    <t>pic.twitter.com/GFlgOfSMLh</t>
  </si>
  <si>
    <t>Hospital + Healthcare</t>
  </si>
  <si>
    <t>Fake hand contamination treats OCD Read more  #industrynews #latestarticles #hospital #healthcare #OCD #stress #exposuretherapy #rubberhandillusion #technique #neuroscience</t>
  </si>
  <si>
    <t>https://buff.ly/3a8HGy7</t>
  </si>
  <si>
    <t>https://pbs.twimg.com/media/EOS19SXX0AAjAJf.jpg</t>
  </si>
  <si>
    <t>Hospital and Healthcare - Health &amp; Hospital Industry News. Published by @WF_Media. Subscribe for free: http://bit.ly/HospitalHealthAU</t>
  </si>
  <si>
    <t>http://www.hospitalhealth.com.au</t>
  </si>
  <si>
    <t>Anthon Val Digang</t>
  </si>
  <si>
    <t>This Can't be happening. #stress</t>
  </si>
  <si>
    <t>https://pbs.twimg.com/media/EOS1Jw0UYAA4n0e.jpg</t>
  </si>
  <si>
    <t>Anthon Val 🌈Rainbow🌈 TayNew Polca Fam.</t>
  </si>
  <si>
    <t>Kaela Arnold🐁</t>
  </si>
  <si>
    <t>So everyone was right he loved speech pathology for me it was like a train hitting me I now have to get his hearing checked tonsils and throat and watch his hands because he is using both hands to draw now to work out what is going on with his brother #stress #kids #speech</t>
  </si>
  <si>
    <t xml:space="preserve">Melbourne Victoria </t>
  </si>
  <si>
    <t>Mum to 3 boy's👩‍👦‍👦passionate Freo fan⚓ love Christmas time learning to cook love older music</t>
  </si>
  <si>
    <t>https://qoo.ly/33urm3</t>
  </si>
  <si>
    <t>https://pbs.twimg.com/media/EOSzxNQXUAEBt6K.png</t>
  </si>
  <si>
    <t>Shweta Shah</t>
  </si>
  <si>
    <t>Happy Makarsankranti to all! This makar sankranti feel light like a kite.. Let's fly all our negativity with it and start a new journey towards healthy and a prosperous life! #HappyMakarSankranti #health #kite #overeating #obesity #depression #stress #laziness #eatfit247</t>
  </si>
  <si>
    <t>pic.twitter.com/9XXwGXYLXo</t>
  </si>
  <si>
    <t>I am a qualified nutritionist. A plan that is tailor-made to meet your specific goals and formulate a diet plan that fits your lifestyle.</t>
  </si>
  <si>
    <t>Curt Robbins</t>
  </si>
  <si>
    <t>HER: "Will you teach me more on #TerpeneTuesday?" ME: "How could I say no to you, darling?" HER: 😘 ME: 👇🏽 Linalool: Analgesic #Terpene Relieves #Stress &gt; . "Without #linalool, there would be no scent of #lavender." #LearnAndTeachOthers™</t>
  </si>
  <si>
    <t>http://bit.ly/32jEWso</t>
  </si>
  <si>
    <t>https://pbs.twimg.com/media/EOSxYhkXkAAxMou.jpg</t>
  </si>
  <si>
    <t>Lake Las Vegas, NV</t>
  </si>
  <si>
    <t>Technical writer + instructional designer + lecturer. Higher Learning LV™. 500+ articles about cannabis science and its biochemistry. #LearnAndTeachOthers™</t>
  </si>
  <si>
    <t>https://www.linkedin.com/in/curt-robbins-37a13312/</t>
  </si>
  <si>
    <t>Sameer Nagarajan</t>
  </si>
  <si>
    <t>Check out my latest article on #coping with #adversity on #LInkedIn. #stress #stressmanagement #emotionalintelligence #resilience</t>
  </si>
  <si>
    <t>https://www.linkedin.com/pulse/coping-adversity-sameer-nagarajan</t>
  </si>
  <si>
    <t>Dubai, United Arab Emirates</t>
  </si>
  <si>
    <t>Mostly irreverent look at politics, management, leadership and HR</t>
  </si>
  <si>
    <t>RAW PASSION Ⓥ</t>
  </si>
  <si>
    <t>RAW PASSION Canine Calming Spray | Stress Anxiety Nervousness Fireworks Epilepsy | Organic &amp; Vegan 110ml  #CrueltyFree #chemical free #Vegan #Menfriendly #Etsy #RawPassionUk #Organic #Moisturising #Stress</t>
  </si>
  <si>
    <t>https://etsy.me/2wXNhoe
https://www.etsy.com/RawPassionUk/listing/628339676/raw-passion-canine-calming-spray-stress?utm_source=etsyfu&amp;utm_medium=api&amp;utm_campaign=api</t>
  </si>
  <si>
    <t>100% #Organic #Vegan Skin Food NON-toxic Soy-free Palm-Oil-free Paraben-free Sulphite-free *Rainbow Range* Mama2B*MEN-friendly*Gorgeous Liquid Soap*Canine Care!</t>
  </si>
  <si>
    <t>https://www.rawpassion.co.uk</t>
  </si>
  <si>
    <t>USA Medical Research🇺🇸</t>
  </si>
  <si>
    <t>Feeling excessively tired, devoid of energy, demoralized, &amp; irritable? You may have burnout, a syndrome associated with a potentially deadly #heart rhythm disturbance. Vital exhaustion, commonly referred to as burnout syndrome, is typically caused by prolonged &amp;amp; profound #stress.</t>
  </si>
  <si>
    <t>https://pbs.twimg.com/media/EOSrBuUU4AAlb1T.jpg</t>
  </si>
  <si>
    <t>Multiple medical research-oncology, neuroscience, genomics, diseases. Philanthropist, donating science to humanity. Longevity, humans in space, human evolution.</t>
  </si>
  <si>
    <t>FTFDENTAL</t>
  </si>
  <si>
    <t>Have you had dreams of losing your teeth? Can be a sign of stress and anxiety...or maybe your mind telling you to floss more. 😉😆 #ToothLossDreams #Dreams #ToothDreams #Teeth #ToothLoss #LosingTeeth #Stress #Anxiety #Floss #FlossMore #CrazyDreams</t>
  </si>
  <si>
    <t>https://pbs.twimg.com/media/EOSn_cRWoAMD7-q.jpg</t>
  </si>
  <si>
    <t>Dedicated to providing excellent and honest dental care for families and individuals in a clean, professional, safe, and friendly environment.</t>
  </si>
  <si>
    <t>#Man seldom #donate from his hard earn earnings. #Motorism #Life #Quote #Philosophy #Quotes #Wise #Wisdom #Motivation #Inspiration #victory #triumph #Defeat #Frustration #Stress #MentalHealth #Anxiety #Fiasco #Debacle #Flop #Blunder #destiny #Spirituality #success #successquotes</t>
  </si>
  <si>
    <t>https://pbs.twimg.com/media/EOSnFF-U4AE3213.jpg</t>
  </si>
  <si>
    <t>David Pylyp</t>
  </si>
  <si>
    <t>#stress test #renewal Why does the bank give better rates to new borrowers?  ⁦@Platnumvee⁩</t>
  </si>
  <si>
    <t>http://RenewYourMortgage.ca</t>
  </si>
  <si>
    <t>https://pbs.twimg.com/media/EOSk6WcWoAAaq16.jpg</t>
  </si>
  <si>
    <t>House &amp; Condo SOLD w/3D Virtual Tours, digital storytelling &amp; creative marketing. Need a Reasonable Realtor? S rep RE/MAX realty specialists #Toronto #Etobicoke</t>
  </si>
  <si>
    <t>http://ShopTOism.com</t>
  </si>
  <si>
    <t>Michael L Ashley C. Ped</t>
  </si>
  <si>
    <t>How I'm pursuing my goals &amp; dreams in 2020! #dallas #pedorthist #plantarfasciitis #fitness #painrelief #arthritis #feet #neuropathy #amputee #Diabetes #barber #bartender #waiter #waitress #hairdresser #cbd #stress #chef #nurse #nep…</t>
  </si>
  <si>
    <t>https://lnkd.in/g76y3JJ
https://lnkd.in/gccxfW3</t>
  </si>
  <si>
    <t>I provide diabetic footwear &amp; other products.</t>
  </si>
  <si>
    <t>http://www.mlacped.weebly.com</t>
  </si>
  <si>
    <t>.</t>
  </si>
  <si>
    <t>That jasmine tea works better than a sedative #greentea #stress</t>
  </si>
  <si>
    <t>https://pbs.twimg.com/media/EOSjHK_XkAAx9Ht.jpg</t>
  </si>
  <si>
    <t>Kaushikk Yegnan</t>
  </si>
  <si>
    <t>#RishiUvach #Om Whoever you are, wherever you are just try closing your eyes, breathe calm &amp; deep &amp;amp; chant #Om A few cycles can do wonders for #Mind #Body &amp;amp; #Soul #Meditation #VedicSciences beat #Stress</t>
  </si>
  <si>
    <t>Traveller in a leased body on a Journey from Human to Humane. #VedicWisdom #Bharata #Martyrs #Science #Spirituality #Music #History #Sports #TechStartUps</t>
  </si>
  <si>
    <t>http://seerseed.blogspot.in</t>
  </si>
  <si>
    <t>Steve Graef, PhD</t>
  </si>
  <si>
    <t>How do you cover up? What’s your robe? #mindurance #psychology #stress #wellbeing #coping #grow #athletes #business #sport #tips #mentalheath #blog #fitness @ Big Sky, Montana</t>
  </si>
  <si>
    <t>https://www.instagram.com/p/B7UuCDuAdI2/?igshid=10r9psh06l0nr</t>
  </si>
  <si>
    <t>Columbus, Ohio</t>
  </si>
  <si>
    <t>Licensed Sport Psychologist / Creator of Mindurance / Devoted to helping athletes/ performers / professionals manage stress and enhance performance.</t>
  </si>
  <si>
    <t>http://www.mindurance.org</t>
  </si>
  <si>
    <t>Jocelynpdrz</t>
  </si>
  <si>
    <t>Miss drinking #mojitos through my long assignments during my first year of nursing school. Now all I have is WATER!! 😭😂 #Stress #Assignments #SixHours #HalfwayDone #NurseToBe #PregnantNursingStudent #MommyToBe #DoneForTheDay</t>
  </si>
  <si>
    <t>your couch, missouri</t>
  </si>
  <si>
    <t>Love is a mixture of friendship, appreciation &amp; happiness. ♡</t>
  </si>
  <si>
    <t>http://facebook.com/jocelynpdrz</t>
  </si>
  <si>
    <t>Willis Towers Watson</t>
  </si>
  <si>
    <t>Roughly a third of employers in #AsiaPacific are considering benefits around #mentalhealth, #stress and healthy #sleep.</t>
  </si>
  <si>
    <t>http://ow.ly/rQ2d50xIvUD</t>
  </si>
  <si>
    <t>https://pbs.twimg.com/media/EOSfJKgXkAIbyRh.jpg</t>
  </si>
  <si>
    <t>Willis Towers Watson is a leading global advisory, broking and solutions company that helps clients around the world turn risk into a path for growth.</t>
  </si>
  <si>
    <t>http://www.willistowerswatson.com</t>
  </si>
  <si>
    <t>#TuesdayThoughts: Invest in Yourself... #TheBioCodeSystem Intro #Workshop begins at 7p Jan. 21. This 5-week virtual program teaches practical skills to help you #stress less &amp; enjoy more! #NewYearsResolution #StrongerThanStress #personalgrowth #leadership #mentalhealth #wellness</t>
  </si>
  <si>
    <t>pic.twitter.com/tpSYafz2Xd</t>
  </si>
  <si>
    <t>Sue McGaughey</t>
  </si>
  <si>
    <t>Don’t waste #time on #negatives and #stress Instead, give #thanks for every #heartbeat you are #blessed to feel! #suescoffeetalk #tuesdaytip #instathought #writersmind</t>
  </si>
  <si>
    <t>https://www.instagram.com/p/B7Ur5vxl3Fx/?igshid=1wiesr62jo635</t>
  </si>
  <si>
    <t>LEAD WRITER for BTL Magazine Entertainment and Public Relations/Social Media mngr. Email: btlmagsue@gmail.com IG:suemcaughey</t>
  </si>
  <si>
    <t>http://www.suemcgaughey.wordpress.com</t>
  </si>
  <si>
    <t>Rene D. Zweig, Ph.D.</t>
  </si>
  <si>
    <t>A new study finds that doing a daily 20 minute mindful body scan reduces biological &amp; psychological stress. #mindfulness #meditation #mentalhealth #MBSR #stress #cortisol</t>
  </si>
  <si>
    <t>https://www.mindful.org/how-the-body-scan-meditation-practice-reduces-biological-stress/</t>
  </si>
  <si>
    <t>Clinical Psychologist, Certified Cognitive Therapist, Certified Eating Disorders Specialist, Co-Author: Treatment Plans and Interventions for Bulimia, #CBTWorks</t>
  </si>
  <si>
    <t>http://www.unionsquarect.com</t>
  </si>
  <si>
    <t>Lynnette Averill</t>
  </si>
  <si>
    <t>Happy to be part of this great #neuroscience and #stress journal. Excited to see it progress and be a home for great #science! Congrats @Chronic_Stress @ChadiAbdallah3 @tekgy RT @Chronic_Stress: @Chronic_Stress was officially accepted to Scopus!! Hooray! Thank you to all contributing authors, reviewers, and editors!!! @ChadiAbdallah3 @netteaverill @tekgy</t>
  </si>
  <si>
    <t>https://twitter.com/Chronic_Stress/status/1217093390732550144
https://journals.sagepub.com/home/css</t>
  </si>
  <si>
    <t>New Haven,  CT</t>
  </si>
  <si>
    <t>Clinical neuroscientist &amp; psychologist studying neurobiological signatures of suicide, trauma, &amp; chronic stress. Interested in tx/mechanisms of ketamine/RAADs.</t>
  </si>
  <si>
    <t>http://emerge.yale.edu</t>
  </si>
  <si>
    <t>The Wellness Edge</t>
  </si>
  <si>
    <t>Mindfulness is proven to calm your nervous system and help you manage stress. You know what else can help with stress? #chairmassage ! Call Carrie: 416-704-8545 and support your team with managing stress! #stress #wellness #engagement</t>
  </si>
  <si>
    <t>https://pbs.twimg.com/media/EOSaGzbX0AIgBk8.png</t>
  </si>
  <si>
    <t>Relaxation stations for all of your events across Can. The Wellness Edge team delivers the finest in Canada. Golf events, tradeshow conferences, workplace.</t>
  </si>
  <si>
    <t>https://thewellnessedge.ca</t>
  </si>
  <si>
    <t>Dr. Brian Alman</t>
  </si>
  <si>
    <t>Stress &amp; Your 100 trillion cells! Clinically-Proven BREATHWORK Technique = FREE Gift from Dr. Brian Alman  #Stress #Pain #Anxiety #Depression #Sleep #Meditation #Mindfulness</t>
  </si>
  <si>
    <t>https://youtu.be/7kV3WKnAE9g
http://DrBrianAlman.com</t>
  </si>
  <si>
    <t>https://pbs.twimg.com/media/EOSZ5VDU8AE0J9t.jpg</t>
  </si>
  <si>
    <t>San Diego, California</t>
  </si>
  <si>
    <t>Tweets about wellness, stress, creativity, weight loss, meditation, mindfulness mental fitness, positive techniques &amp; http://www.trusage.com</t>
  </si>
  <si>
    <t>http://www.DrBrianAlman.com</t>
  </si>
  <si>
    <t>#Autism #ASD #stress #anxiety in kids. Welcome to : Short video on how to approach and help children with behavioural concerns.</t>
  </si>
  <si>
    <t>http://ePsychConnect.com
https://www.epsychconnect.com/2019/12/how-to-approach-and-help-children-with.html?spref=tw</t>
  </si>
  <si>
    <t>I’m sharing 10 proven ways to better handle #stress on my #blog:</t>
  </si>
  <si>
    <t>http://www.patriciabannan.com/blog/nutrition/2919/</t>
  </si>
  <si>
    <t>John Kalinowski</t>
  </si>
  <si>
    <t>Chinese Baoding balls are believed to alleviate #stress because they apply force to acupressure points of the hand.</t>
  </si>
  <si>
    <t>http://www.selfhypnosisfortalent.com/stress_less/</t>
  </si>
  <si>
    <t>Hypnotist~musician~sculptor teaches you to be a self-hypnotist. Work better~Play better~Have more fun. Evolve your artistry as nature intended</t>
  </si>
  <si>
    <t>http://www.selfhypnosisfortalent.com</t>
  </si>
  <si>
    <t>AHHS College Center</t>
  </si>
  <si>
    <t>👀👀👀 Thoughts on @NEISD ending student rankings? Footnote: @RivardReport is a great source for news in #SATX. @WeGoPublic @AHISD @AHHSmules @rivardinsa #education #college #NonRanking #GoPublic #Stress #Anxiety #Wellness #Balance #News #BreakingNews</t>
  </si>
  <si>
    <t>https://therivardreport.com/north-east-isd-to-end-class-rankings-for-students-not-in-top-10/</t>
  </si>
  <si>
    <t>Alamo Heights, TX</t>
  </si>
  <si>
    <t>Our goal is to help students/families with the college admissions process and find a school/program that is the best fit for them.</t>
  </si>
  <si>
    <t>http://ahhs.ahisd.net/departments/college_center___naviance/ahhs_college_center/</t>
  </si>
  <si>
    <t>Em-K-Lee- OPEN COMMISIONS</t>
  </si>
  <si>
    <t>That feel when you’re graduating soon and you have to grow up and be an adult and do everything #graduation #college #stress #everythingsucks #art #myart #comic #relatable #bigmood</t>
  </si>
  <si>
    <t>https://pbs.twimg.com/media/EOSUKm_WkAAlDVC.jpg</t>
  </si>
  <si>
    <t>Welcome!! A visual storyteller. Majoring in Animation/illustration. Can’t wait to share more with the world.</t>
  </si>
  <si>
    <t>https://emkdecaro.wixsite.com/ekdportifolio</t>
  </si>
  <si>
    <t>Britta Buescher</t>
  </si>
  <si>
    <t>When I'm feeling upset I like to try to learn about things that seem much more stressful than my life. For example, "pandemic hazard control' which, sound so stressful, it puts my life to shame. 🦠☣️#stress</t>
  </si>
  <si>
    <t>Saint louis</t>
  </si>
  <si>
    <t>I illustrate, animate, communicate and masticate. 💬 Current: Lion Forge 💭 Previous: Darkhorse, Nickelodeon, and Funimation. #NYBB Opinions=mine she/her</t>
  </si>
  <si>
    <t>http://www.brittabuescher.com</t>
  </si>
  <si>
    <t>https://kingsumo.com/g/9agctd/giveaway-january-2020/36g9gxe</t>
  </si>
  <si>
    <t>“In life, as in football, you won’t go far unless you know where the goalposts are.” #nevergiveup #liveoutloud #successquote #successful #selfesteem #selfaware #selfcarefirst#motivationquote #mindset #money #stress #blessed #millionaire #buildyourempire #motivate #believe</t>
  </si>
  <si>
    <t>https://pbs.twimg.com/media/EOSN8fFXUAE38Fh.jpg</t>
  </si>
  <si>
    <t>Susan Hash</t>
  </si>
  <si>
    <t>Research from @Verint reveals key role #technology plays in reducing #cctr #workplace #stress - 64% of survey participants say #automation cuts workload &amp; stress; 69% believe tech will enhance not replace jobs - insights from @nporte  #contactcenter</t>
  </si>
  <si>
    <t>http://ow.ly/acEM30pqlFe</t>
  </si>
  <si>
    <t>B2B writer/journalist. I write &amp; tweet about #cctr #custserv #custexp #CX management &amp; trends. Mostly.</t>
  </si>
  <si>
    <t>https://www.linkedin.com/in/susanhash/</t>
  </si>
  <si>
    <t>MedPage Cardio</t>
  </si>
  <si>
    <t>#Stress, #anxiety, and #depression during pregnancy was tied to fetuses with congenital heart disease, according to research led by Catherine Limperopoulos, PhD, of Children's National Health System, in @JAMAPediatrics. @nih_nhlbi</t>
  </si>
  <si>
    <t>https://bit.ly/3a9Ewdn</t>
  </si>
  <si>
    <t>Breaking heart + cardiovascular news | Reports from all major cardio meetings | Peer-reviewed | Cardiologist-trusted | Part of @MedPageToday</t>
  </si>
  <si>
    <t>https://www.medpagetoday.com/cardiology/</t>
  </si>
  <si>
    <t>Healthlocal.ca</t>
  </si>
  <si>
    <t>"Some people are so disappointed by real life that they are escaping into virtual experiences instead of having real experiences. " Read this article by Robbie Spier Miller , Master Hypnotist  #stress #stressrelief #stressedout</t>
  </si>
  <si>
    <t>http://bit.ly/2kqoeaT</t>
  </si>
  <si>
    <t>https://pbs.twimg.com/media/EOSKk40WkAEhxhz.jpg</t>
  </si>
  <si>
    <t>Ontario, Canada 1-877-310-1426</t>
  </si>
  <si>
    <t>Providing Canadians with the leading source of accessible and extensive online information. Connecting health professionals and patients.</t>
  </si>
  <si>
    <t>http://www.healthlocal.ca</t>
  </si>
  <si>
    <t>"Of all the liars in the world, sometimes the worst are our own fears." Rudyard Kipling #liars #fear #stress #depression #personaldevelopment #faith #belief #confidence #vision</t>
  </si>
  <si>
    <t>Denise Green</t>
  </si>
  <si>
    <t>All set up at BrillianceInc to film my next online course on boosting productivity and reducing overwhelm. I can’t wait to share it with you! #Worklifebalance #overwhelmed #stress #bestlife #productivity #worksmart…</t>
  </si>
  <si>
    <t>https://www.instagram.com/p/B7UiTFfnCZ7/?igshid=js4atat38wec</t>
  </si>
  <si>
    <t>SF Bay Area</t>
  </si>
  <si>
    <t>Life-long learner dedicated to helping humans lead &amp; live brilliantly. Committed to putting heart &amp; value in each Tweet. http://www.brillianceinc.com/blog</t>
  </si>
  <si>
    <t>http://brillianceinc.com</t>
  </si>
  <si>
    <t>lifecompass1</t>
  </si>
  <si>
    <t>New Year- New you!, Are you ready to #jumpstart your #health for 2020? Health is the Ultimate Wealth. Are you experiencing any of these symptoms? #fatigue, #stress, #upsetstomach, #troublesleeping,…</t>
  </si>
  <si>
    <t>https://www.instagram.com/p/B7UiSz4ACBq/?igshid=1lu8ssrjghrb3</t>
  </si>
  <si>
    <t>Mother,Research Scientist, Holistic Nutritionist Wellness Consultant &amp; Entrepreneur</t>
  </si>
  <si>
    <t>http://www.lifecompasswellness.com</t>
  </si>
  <si>
    <t>https://pbs.twimg.com/media/EOSHUhUWkAArOhR.jpg</t>
  </si>
  <si>
    <t>MEHAR'S MIND CARE - Alpha Meditation Center</t>
  </si>
  <si>
    <t>May this pongal bring to you bountiful of purity, prosperity and peace! #alphameditation #meharmindcare #Salem #mentalhealth #health #meditation #stress #depression #happypongal #calmmind</t>
  </si>
  <si>
    <t>https://pbs.twimg.com/media/EOSDmUzU0AAos3c.jpg</t>
  </si>
  <si>
    <t>Choose Alpha Meditation Center's mind power meditation and yoga meditation training besides many varied options for what matters is what’s inside.</t>
  </si>
  <si>
    <t>http://www.nims.org.in</t>
  </si>
  <si>
    <t>Podiatrist HouseCall</t>
  </si>
  <si>
    <t>Got #footpain? Avoid #stress at the #Doctors office! Call #HomeFootServices providing #Housecalls</t>
  </si>
  <si>
    <t>https://www.homefootcareservices.com</t>
  </si>
  <si>
    <t>https://pbs.twimg.com/media/EOSDZgTWkAEwLy6.png</t>
  </si>
  <si>
    <t>Podiatrists Housecalls in NJ. Mobile podiatrists in NJ. #PodiatristNJ, #podiatristhousecalls, #footdoctor, #laserfungusremoval and more</t>
  </si>
  <si>
    <t>Before we talk about the negative impact of stress, we need to acknowledge that not all stress is bad. Up to a certain level, when managed effectively, stress can lead to enhanced performance.  #stress #performance #stressmanagement #HighPerformance</t>
  </si>
  <si>
    <t>https://www.figur8.net/2016/12/24/stress-management/</t>
  </si>
  <si>
    <t>https://pbs.twimg.com/media/EOSDY1EX0AE9zUr.jpg</t>
  </si>
  <si>
    <t>https://pbs.twimg.com/media/EOR_vyCWAAAPqLh.jpg</t>
  </si>
  <si>
    <t>Business Advice Donuts</t>
  </si>
  <si>
    <t>Want a smug January? File your #selfassessment now and watch the #stress lift from your shoulders. Three more reasons to file today, from Mike Parkes of @gosimpletax</t>
  </si>
  <si>
    <t>https://bit.ly/35qwbOJ</t>
  </si>
  <si>
    <t>Advice, resources and tools from the six Donut websites helping start-ups and small businesses succeed.</t>
  </si>
  <si>
    <t>http://www.startupdonut.co.uk</t>
  </si>
  <si>
    <t>Sheree</t>
  </si>
  <si>
    <t>My massage today relieved all my tension but it's and my jaw hurts so much. Definitely no.3 which will mean no.3 will be bad during the night #tension #tightjaw #stress</t>
  </si>
  <si>
    <t>https://www.healthline.com/health/tight-jaw</t>
  </si>
  <si>
    <t>#MassageTherapist #Mindfulness #Meditation #AdultADHD, #Anxiety, Mum to #ASD son, Armchair #Pyschologist, #Narcissist Spotter, #Aquarius #ENFP, Loves to laugh.</t>
  </si>
  <si>
    <t>http://www.shereekirby.com</t>
  </si>
  <si>
    <t>https://pbs.twimg.com/media/EOR89MtXsAAxAvl.jpg</t>
  </si>
  <si>
    <t>https://pbs.twimg.com/media/EOR86V4XUAAGH91.png</t>
  </si>
  <si>
    <t>CBD COLORS</t>
  </si>
  <si>
    <t>Almost one in five Americans over 50 now uses some kind of CBD product 👨🏼‍🦳👵🏻 Try out our tinctures 👉 Get 20% off on your first order + 🆓 shipping. Use code FIRSTORDER20 #cbd #cbdoil #hemp #wellness #health #healthyfood #pain #stress #skincare #hemp</t>
  </si>
  <si>
    <t>http://www.cbd-colors.com</t>
  </si>
  <si>
    <t>https://pbs.twimg.com/media/EOR65lfW4AE4j5L.jpg</t>
  </si>
  <si>
    <t>manha</t>
  </si>
  <si>
    <t>CBD Products</t>
  </si>
  <si>
    <t>😍 Today's featured #fidget 😍 Infinity Twist Chewable Necklace Use code SOCIAL10 for 10% off! ➡️  #Sensory #Chew #Chewy #Chewies #Autism #Aspergers #ASD #SPD #ADHD #Anxiety #Stress #HappyHandsToys</t>
  </si>
  <si>
    <t>http://bit.ly/2mfYu1r</t>
  </si>
  <si>
    <t>Carolina Princess</t>
  </si>
  <si>
    <t>A young man took his life yesterday. He leaves behind a wife &amp; baby. He was only a couple of weeks from graduating college. My prayer is for his loved ones to be comforted. And for those dealing with #stress, I encourage you to TALK to someone. There’s hope. Trouble is temp.</t>
  </si>
  <si>
    <t>NC</t>
  </si>
  <si>
    <t>Living my GOD-sourced life with a grateful heart. Encouraging you to never EVER give up. KNOW YOUR WORTH! #musician #writer #chosen #beachbum #married #advisor</t>
  </si>
  <si>
    <t>JiyoFullest</t>
  </si>
  <si>
    <t>Stress is your body's reaction to a challenge or demand.And Passion is a feeling of intense enthusiasm towards something you do. #student #motivation #WednesdayThoughts #stress #Intelligence #stressmanagement #solutions #stressfree #opportunity #hardwork #challenge</t>
  </si>
  <si>
    <t>https://pbs.twimg.com/media/EOR5U29WsAQN2IY.jpg</t>
  </si>
  <si>
    <t>Jiyofullest, Banglore.</t>
  </si>
  <si>
    <t>#Live your life Fullest with JiyoFullest #LifeCoaching #CareerCoaching #StartUpCoaching #personalcoaching #youthdevelopment #teenscoaching</t>
  </si>
  <si>
    <t>http://jiyofullest.com</t>
  </si>
  <si>
    <t>News Medical</t>
  </si>
  <si>
    <t>Burnout linked to higher risk for abnormal heart rhythm  #Anxiety #Arrhythmia 3Atherosclerosis #AtrialFibrillation #Cardiology #Exhaustion #Stress #Stroke #Tiredness</t>
  </si>
  <si>
    <t>https://www.news-medical.net/news/20200114/Burnout-linked-to-higher-risk-for-abnormal-heart-rhythm.aspx</t>
  </si>
  <si>
    <t>https://pbs.twimg.com/media/EOR3HXnXsAAtt60.jpg</t>
  </si>
  <si>
    <t>Medical News from Around the World</t>
  </si>
  <si>
    <t>https://www.news-medical.net/</t>
  </si>
  <si>
    <t>2krazyketos</t>
  </si>
  <si>
    <t>What’s an easy way to find out if you’re actually hungry, or if it’s just your #stress &amp; #emotions talking? Check out our interview with the brilliant and lovely #keto #expert @asknursecindy1 ❤️…</t>
  </si>
  <si>
    <t>https://www.instagram.com/p/B7UZJ1JA1-l/?igshid=1eo09c0hwa17s</t>
  </si>
  <si>
    <t>Social Work Geek Girl</t>
  </si>
  <si>
    <t>Just finished writing today's blog post, just a short one after a long day at Uni. @theclique_uk @bloggingbeesrt @GrowGlowCo @UKBloggers1 @BloggerLS #ukblogger #Stress #selfcare #mentalhealth #bloggers #manage #cope</t>
  </si>
  <si>
    <t>https://wp.me/sbAtLi-juggling</t>
  </si>
  <si>
    <t>Mature Bachelors Student of Social Work. Scot Living in England. I Love Coffee, Dogs, Board Games and All Things Harry Potter.</t>
  </si>
  <si>
    <t>http://socialworkgeekgirl.wordpress.com</t>
  </si>
  <si>
    <t>EBR</t>
  </si>
  <si>
    <t>Did you know that high job satisfaction increases productivity and decreases turnover? Find out how to improve employee’s satisfaction here:  #ebr #everbetterrecruitment #jobs #employees #satisfaction #productivity #productive #work #stress #wellbeing</t>
  </si>
  <si>
    <t>https://www.ebr.com.au/how-to-improve-employees-satisfaction/</t>
  </si>
  <si>
    <t>https://pbs.twimg.com/media/EOR15rMWAAAYYXh.jpg</t>
  </si>
  <si>
    <t>Chatswood NSW Australia</t>
  </si>
  <si>
    <t>EBR is Australia's #1 GIS and Spatial jobs specialists. Our core strength lies in the IT and GIS/spatial industry.</t>
  </si>
  <si>
    <t>http://www.ebr.com.au</t>
  </si>
  <si>
    <t>Multi-Vitamins, Minerals, Women's &amp; Men's Health. Herbal &amp;amp; Natural Products Available! Shop Online at  or call us for more information: 1-877-626-4112 #Herbal #Natural #Teas #Health #Remedies #Free #Stress #Vitamins</t>
  </si>
  <si>
    <t>http://www.TheHerbalGardens.com
https://shr.link/v9u8o</t>
  </si>
  <si>
    <t>https://pbs.twimg.com/media/EOR1j5eXUAA5xcl.jpg</t>
  </si>
  <si>
    <t>Kathryn Ryan MAR</t>
  </si>
  <si>
    <t>When you advertise on your local FB group and get so much interest that you get a little tea cup next to your name to indicate that you’re a conversation starter. This has made my day ♥️ #Reflexology #Templecombe #Wincanton #Anxiety #Depression #Stress #conversationstarter</t>
  </si>
  <si>
    <t>https://pbs.twimg.com/media/EOR09rhXsAEgtLf.jpg</t>
  </si>
  <si>
    <t>Templecombe, England</t>
  </si>
  <si>
    <t>Reflexologist that offers a mobile service providing treatments in the comfort of your own home. I specialise in Fertility and Maternity reflexology. 👣</t>
  </si>
  <si>
    <t>http://www.krtherapies.co.uk</t>
  </si>
  <si>
    <t>https://pbs.twimg.com/media/EOR0SJFX0AMzurw.jpg</t>
  </si>
  <si>
    <t>Global Vitiligo Foundation</t>
  </si>
  <si>
    <t>#DYK: #Stress can be a trigger for the onset and/or spread of #vitiligo in those who are genentically predisposed to the condition, says Dr. Nada Elbuluk. #stepup4vitiligo #stepupforvitiligo #pigmentation #dermatology #dermatologist #vitiligoawareness #autoimmune</t>
  </si>
  <si>
    <t>https://pbs.twimg.com/media/EORz9hfWsAEWHAV.jpg</t>
  </si>
  <si>
    <t>A public awareness initiative from the Global Vitiligo Foundation. Join the conversation #StepUp4Vitiligo http://www.globalvitiligofoundation.org</t>
  </si>
  <si>
    <t>https://www.youtube.com/watch?v=iqM0mKCFwcw</t>
  </si>
  <si>
    <t>Andrew Henreid</t>
  </si>
  <si>
    <t>Stress #fracture &amp; #sports #medicine injuries of bone #stress are increasingly common among competitive #athletes Historically few #treatment options other than halting activity combined with immobilization of affected area were available via J of @AAOS1</t>
  </si>
  <si>
    <t>https://www.medscape.com/viewarticle/923157?src=wnl_edit_tpal&amp;uac=359684DT&amp;impID=2242688&amp;faf=1</t>
  </si>
  <si>
    <t>Associate Researcher @CedarsSinai ~ Dept of Medicine, #HSR—Emergency Medical Technician @CountyofLA : #Health #Data #Science #Psychology #AI to The People</t>
  </si>
  <si>
    <t>http://linkedin.com/in/andrew-henreid/</t>
  </si>
  <si>
    <t>UNCrushed</t>
  </si>
  <si>
    <t>**NEWS** IT'S OFFICIAL: BURNOUT IS REAL “NEARLY HALF OF HR LEADERS SAY EMPLOYEE BURNOUT IS RESPONSIBLE FOR UP TO 50% OF THEIR ANNUAL WORKFORCE TURNOVER”  #Burnout #MentalHealth #Stress #Workplace #Balance #EndTheStigma #UNCrushed</t>
  </si>
  <si>
    <t>http://bit.ly/2uQoDsb</t>
  </si>
  <si>
    <t>https://pbs.twimg.com/media/EORvEY8WAAAPwey.jpg</t>
  </si>
  <si>
    <t>A platform &amp; community to increase #MentalHealth awareness &amp; #EndTheStigma through inspirational &amp; vulnerable personal experiences. UNtold, UNanswered, UNited.</t>
  </si>
  <si>
    <t>https://shor.by/uncrushed</t>
  </si>
  <si>
    <t>KF3 Edits</t>
  </si>
  <si>
    <t>NEED A THUMBNAIL I GOTCHU😤‼️ dm me for prices and I’ll make you one ASAP💯 #thumbnails #fortnite #youtube #thumbnail #youtuber #design #fortnitethumbnails #gfx #photoshop #stress #graphicdesign #training #staycalm #anime #wellness #fighting #youtube #engineers #kf3gaming</t>
  </si>
  <si>
    <t>https://pbs.twimg.com/media/EORulYvU0AAAYfG.jpg</t>
  </si>
  <si>
    <t>I MAKE FIRE THUMBNAILS DM ME FOR PRICES!!!</t>
  </si>
  <si>
    <t>Mike McGowan</t>
  </si>
  <si>
    <t>Who Couldn't Use Tips for Coping with Stress at Work? #stress #contactcenter  #noblesystems</t>
  </si>
  <si>
    <t>http://my.sociabble.com/SjHbqXKfdw</t>
  </si>
  <si>
    <t>Little Rock, Arkansas</t>
  </si>
  <si>
    <t>Delivering call centers peace of mind thru compliance &amp; solutions that have helped 100s of teams achieve amazing results - Sales @ Noble Systems</t>
  </si>
  <si>
    <t>http://linkedin.com/in/michaeltmcgowan</t>
  </si>
  <si>
    <t>Cheri Flake, LCSW</t>
  </si>
  <si>
    <t>Oh! I love it!!! #starthere #superlovetees @superlovetees #hoodie #tiedye #stress #meditate #love #peace @ Atlanta, Georgia</t>
  </si>
  <si>
    <t>https://www.instagram.com/p/B7UUT4bpVvg/?igshid=qzwn48o0tc03</t>
  </si>
  <si>
    <t>Atlanta's Stress Therapist ~Therapist~Speaker ~ Writer ~ Expert in Changing for Good &amp; New Year's Resolutions~Teaching you the habits you can't wait to pick up!</t>
  </si>
  <si>
    <t>http://www.thestresstherapist.com</t>
  </si>
  <si>
    <t>Full Spectrum Schisandra Berry Extract Powder 80g – Wild Harvested BUY NOW FROM THE NATURAL HEALTH BLOGGER SHOP AT:  #Herbs #HerbalMedicine #Plantbased #Superfoods #Adaptogens #Stress #Fitness #Health #Food #Diet #Nutrition #Supplements #Paleo #Vegan</t>
  </si>
  <si>
    <t>http://thenaturalhealthblogger.com/product/full-spectrum-schisandra-berry-extract-powder-80g-wild-harvested/</t>
  </si>
  <si>
    <t>https://pbs.twimg.com/media/EORrKJZXUAAK85_.jpg</t>
  </si>
  <si>
    <t>Eucalyptus oil can be a powerful treatment against respiratory issues.  #aromatherapy #essentialoils #stress #anxiety</t>
  </si>
  <si>
    <t>http://dld.bz/fV33W</t>
  </si>
  <si>
    <t>https://pbs.twimg.com/media/EORqvzTXsAAV8ux.jpg</t>
  </si>
  <si>
    <t>Ed Hennessy</t>
  </si>
  <si>
    <t>#yoga is a powerful #stress reliever and has a positive impact on #emotionalintelligence</t>
  </si>
  <si>
    <t>https://www.inc.com/minda-zetlin/yoga-brain-benefits-memory-decision-making-emotional-intelligence.html</t>
  </si>
  <si>
    <t>Dallas</t>
  </si>
  <si>
    <t>#EmotionalIntelligence #EQ #EI Master Trainer, Coach, &amp; #Leadership Consultant, Army Veteran, Eagle Scout, Entrepreneur http://about.me/edhennessy</t>
  </si>
  <si>
    <t>http://www.leadershipcall.com</t>
  </si>
  <si>
    <t>Chris Skoyles</t>
  </si>
  <si>
    <t>Quitting Smoking: How to Avoid Smoking When Stressed, Angry or Anxious  #quitsmoking #stopsmoking #addiction #relapseprevention #relapse #health #stress #stressmanagement #anxiety #recovery #TuesdayThoughts #TuesdayMotivation</t>
  </si>
  <si>
    <t>https://www.youtube.com/watch?v=okrhPa7MZe8&amp;t=435s</t>
  </si>
  <si>
    <t>Level 4 counselling student. I talk about #addiction #depression and #quittingsmoking on YouTube and spend most of my time outdoors running and mountain biking</t>
  </si>
  <si>
    <t>https://www.youtube.com/channel/UCJTp4GjLWa5PN1FsK18V8pQ</t>
  </si>
  <si>
    <t>Neil Gowing Coach @ Wonderful Life Academy</t>
  </si>
  <si>
    <t>In most walks of life it feels like there is more and more to do and less time in which to do it. In order to be at our most effective we must spend our time on things that are important and not just the ones that are urgent. . #wellbeing #stress</t>
  </si>
  <si>
    <t>https://www.linkedin.com/pulse/urgentimportant-matrix-neil-gowing</t>
  </si>
  <si>
    <t>The Sun is always shining...you just have to rise above the clouds. #ItsAWonderfulLife</t>
  </si>
  <si>
    <t>http://www.neilgowing.co.uk</t>
  </si>
  <si>
    <t>Pure Oil Beauty</t>
  </si>
  <si>
    <t>👉🏻Dealing with everyday life is frustrating and takes its toll. 💗Relief from everyday stresses 💗Support for healthy sleep cycles 💗A sense of calm and focus 💗Supports relaxation #2020goals #Affirmation #stress #relax #CBD #love #health #Hemp #anxiety</t>
  </si>
  <si>
    <t>https://pbs.twimg.com/media/EORlNeuUUAEtNVG.jpg</t>
  </si>
  <si>
    <t>Life💜 Cannabliss Dynasty 💜 Business Builder 💜 5K</t>
  </si>
  <si>
    <t>http://www.hempworx.com/mslady978</t>
  </si>
  <si>
    <t>#Stress is harmful to your #Health. This new #Kindle eBook by E. B. Warren @BulverdeB will help you dramatically reduce the stress in your #life and help you live longer and healthier.</t>
  </si>
  <si>
    <t>Conscious Health</t>
  </si>
  <si>
    <t>#LemonBalm is considered a calming #herb. It was used as far back as the Middle Ages to reduce #stress and #anxiety.</t>
  </si>
  <si>
    <t>https://pbs.twimg.com/media/EORjkrWXUAcSrry.png</t>
  </si>
  <si>
    <t>Mississauga, ON, Canada</t>
  </si>
  <si>
    <t>I assist you to become disease free, vibrant and healthy from inside out. I am a Ayurvedic Nutritionist, Blogger, Healthy Cooking Expert &amp; a Health Consultant.</t>
  </si>
  <si>
    <t>http://www.conscioushealth.net</t>
  </si>
  <si>
    <t>𝔣𝔞𝔦ℭ 𝔡𝔞𝔫𝔦𝔰ℌ</t>
  </si>
  <si>
    <t>Chronic #stress can cause a variety of symptoms and affect your overall well-being. #stressed #stressless #stressedout #stressrelief #stressmanagement #mentalhealth #mentalillness #MentalHealthAwareness #MentalHealthMatters</t>
  </si>
  <si>
    <t>https://pbs.twimg.com/media/EORiwqxU0AEW5iC.jpg</t>
  </si>
  <si>
    <t>Reykjavík</t>
  </si>
  <si>
    <t>Insights &amp; Awareness on- #bipolar | #anxiety | #depression | #stress | #autism | #HumanTrafficking * Baràttan þín er hluti af sögunni þi *</t>
  </si>
  <si>
    <t>LIVE LONGER &amp; HEALTHIER! #Stress is harmful to your #Health. This new #Kindle eBook by E. B. Warren @BulverdeB will help you dramatically reduce the stress in your #life and help you live longer and healthier. FREE on #KU #longevity</t>
  </si>
  <si>
    <t>CSNN National</t>
  </si>
  <si>
    <t>How you react to stress may predict brain health. Find out how small, daily stressors may affect the aging brain via Medical News Today:  #holisticnutrition #mentalwellness #stress #stressors #brainhealth #holistichealth</t>
  </si>
  <si>
    <t>http://ow.ly/L5D750xFALe</t>
  </si>
  <si>
    <t>12 Branches+Online Distance Ed</t>
  </si>
  <si>
    <t>Canada's Leading #Holistic #Nutrition School: Natural Nutrition Program; Advanced Workshops &amp; Certificates; Culinary Certificate #CelebrateHolisticNutrition</t>
  </si>
  <si>
    <t>http://csnn.ca</t>
  </si>
  <si>
    <t>Tamra Hughes, MA LPC</t>
  </si>
  <si>
    <t>Are you stuck in a loop of trying to be always-on, always-available, and always-informed? Figure out exactly what triggers the stress and discover how to stop the cycle. #mentalhealth #anxiety #workplace #stress</t>
  </si>
  <si>
    <t>https://www.psychologytoday.com/us/blog/you-according-them/202001/manage-your-worry-not-your-work</t>
  </si>
  <si>
    <t>Denver, Colorado</t>
  </si>
  <si>
    <t>Licensed Professional Counselor specializing in #stress #trauma #EMDR #EMDRtraining #EMDRconsulting Instagram: greenwoodcounselingcenter</t>
  </si>
  <si>
    <t>https://greenwoodcounselingcenter.com/</t>
  </si>
  <si>
    <t>Facing Dragons</t>
  </si>
  <si>
    <t>“Mindfulness seems to be helpful for perceiving daily events as less stressful and coping with stress in a more engaged, adaptive way." Learn more about how #mindfulness can reduce #stress - a huge part of what we're working on with #FacingDragons!</t>
  </si>
  <si>
    <t>https://www.psypost.org/2019/12/mindfulness-linked-to-acceptance-and-self-compassion-in-response-to-stressful-experiences-55111</t>
  </si>
  <si>
    <t>Facing Dragons is a deeply gamified mobile health app that helps young adults overcome life's challenges and unlock their purpose.</t>
  </si>
  <si>
    <t>http://www.facingdragons.com</t>
  </si>
  <si>
    <t>Mango Publishing</t>
  </si>
  <si>
    <t>“One of the most important things I learned early in my career is that you can never say you’re too tired to do something that you really want to do.” she said... - @ListProducer #Productive #Stress #Organized</t>
  </si>
  <si>
    <t>https://listproducer.com/2020/01/how-gayle-king-stays-productive/</t>
  </si>
  <si>
    <t>Publishing the fresh and distinctive voices of our time. | @PublishersWkly 2019 Fastest Growing Publisher | Newsletter sign-up: http://bit.ly/30ybP58</t>
  </si>
  <si>
    <t>http://www.mango.bz</t>
  </si>
  <si>
    <t>TV Psychologist</t>
  </si>
  <si>
    <t>I share my views on the whole #HarryandMeghan issue and discuss occupational stress with @skysarahjane on @SkyNews ! #MeghanAndHarry #Megxit #royalcrisis #Royals #RoyalFamily #Queen #SandringhamSummit #PrinceHarry #Psychologist #PR #Journo #psychology #stress @BPSOfficial</t>
  </si>
  <si>
    <t>pic.twitter.com/1a0xBGszhQ</t>
  </si>
  <si>
    <t>Honey Langcaster-James CPsychol Chartered Academic Psychologist &amp; Media Commentator. 🎥Formerly #LoveIsland #BigBrother #TheCircle 📩sam@expertvoices.com</t>
  </si>
  <si>
    <t>http://www.honeylangcaster-james.com</t>
  </si>
  <si>
    <t>Jannell MacAulay PhD</t>
  </si>
  <si>
    <t>This was FUN!! Had a great time on the @ReadilyRandom podcast with @HeatherVickery9 and Larry Roberts. We talked about everything from #military #mindfulness #mindset #performance #recovery #business #leadership #bravery #stress #burnout #innovation to everything in between. RT @ReadilyRandom: Dr. MacAulay is a 20-year U.S.A.F veteran with experience leading and building teams, designing &amp; implementing complex organizational change, and creating innovative solutions to optimize the human weapon system when operating in high-stress environments.</t>
  </si>
  <si>
    <t>https://twitter.com/ReadilyRandom/status/1217039884030005248
http://readilyrandom.libsyn.com/jannell-macaulay-being-mindful-with-guest-host-heather-vickery?tdest_id=503421</t>
  </si>
  <si>
    <t>Military Veteran, Combat Pilot, Leader, TEDx Speaker, Philanthropist, Mindfulness/Healthy Living Advocate, Wife and Mom of two</t>
  </si>
  <si>
    <t>http://www.jannellmacaulay.com</t>
  </si>
  <si>
    <t>Don't feel stressed, take action. Here's the first step. The 7 Day #Stress Busting Action Plan</t>
  </si>
  <si>
    <t>Managers: Take Responsibility for Employee Burnout | @HarvardBiz  #stress #employeehappiness #burnout</t>
  </si>
  <si>
    <t>http://ow.ly/cbPW50xToSa</t>
  </si>
  <si>
    <t>Cindy Locher</t>
  </si>
  <si>
    <t>How hypnosis helps anxiety  #Anxiety #mindset #stress</t>
  </si>
  <si>
    <t>https://lttr.ai/MKvp</t>
  </si>
  <si>
    <t>https://pbs.twimg.com/media/EORdxpHX4AAnChY.jpg</t>
  </si>
  <si>
    <t>Minnesota, United States</t>
  </si>
  <si>
    <t>Focus on love and what's positive. You create your reality! http://www.HypnosisFirst.com/App http://MinnesotaHypnosis.com</t>
  </si>
  <si>
    <t>http://www.HypnosisFirst.com</t>
  </si>
  <si>
    <t>Dwayne Primeau</t>
  </si>
  <si>
    <t>Teaching is stressful. I found mindfulness has helped me handle the stress. Especially with my role as a school leader. I have used this app for 3 years now to guide my meditation  #stress #Welness #Ledaership</t>
  </si>
  <si>
    <t>https://www.tenpercent.com/challenge</t>
  </si>
  <si>
    <t>Osaka</t>
  </si>
  <si>
    <t>Father, innovator,Risk Taker, Problem Solver, technology learning coach,#iben consultant #joy #cognitive coach #mindfulness practitioner #reflective 🇨🇦</t>
  </si>
  <si>
    <t>http://www.dwayneprimeau.com</t>
  </si>
  <si>
    <t>https://pbs.twimg.com/media/EORcXQ4WoAIa5oG.jpg</t>
  </si>
  <si>
    <t>Scientists discover powerful molecule that explains why people with anxiety use #marijuana  #Stress #Anxiety #MentalHealth #Depression</t>
  </si>
  <si>
    <t>https://www.news-medical.net/news/20200114/Scientists-discover-powerful-molecule-that-explains-why-people-with-anxiety-use-marijuana.aspx</t>
  </si>
  <si>
    <t>https://pbs.twimg.com/media/EORcHT2WAAMSQeS.jpg</t>
  </si>
  <si>
    <t>https://pbs.twimg.com/media/EORcAbMW4AED2MV.jpg</t>
  </si>
  <si>
    <t>John Jennings</t>
  </si>
  <si>
    <t>What I Learned From Building a Unicorn: Be Challenged, Not Stressed. "Stress Is opportunity"!!, says this writer. #stress #stressmanagement #startup #smallbusinessowner #success #motivation</t>
  </si>
  <si>
    <t>https://buff.ly/2NgSLmN</t>
  </si>
  <si>
    <t>https://pbs.twimg.com/media/EORbUyYXUAUIW_Z.jpg</t>
  </si>
  <si>
    <t>Certified Executive, Business Coach &amp; Trainer | Innovative Leader | Small Business Advocate | Speaker | Entrepreneur</t>
  </si>
  <si>
    <t>http://www.johnkjennings.com</t>
  </si>
  <si>
    <t>Haneefa</t>
  </si>
  <si>
    <t>⠀ #REMEMBER Most of your #stress comes from the way you respond, not the way #life is. Adjust your #attitude, and all that extra #stress is gone. ⠀</t>
  </si>
  <si>
    <t>https://pbs.twimg.com/media/EORaO8eUYAAZNtD.jpg</t>
  </si>
  <si>
    <t>• A future Psychologist, teacher, leader, &amp; successful researcher .. Currently doing a master’s degree in USA 📝🇺🇸🇦🇪</t>
  </si>
  <si>
    <t>Pawtocol</t>
  </si>
  <si>
    <t>Researchers found that people who shared a bed with their #pets took longer to fall asleep (by 4 min) and were more likely to wake up tired, although the tiredness did not last throughout the day. 1. A greater sense of #security 2. Reduced #stress More:</t>
  </si>
  <si>
    <t>https://www.facebook.com/Pawtocol/photos/a.523702831711155/621641871917250/?type=1&amp;theater</t>
  </si>
  <si>
    <t>https://pbs.twimg.com/media/EORYVc5U0AAC4H8.jpg</t>
  </si>
  <si>
    <t>We are a global online community of pet lovers, disrupting the pet industry by using blockchain technology while monetizing data about their pets.</t>
  </si>
  <si>
    <t>https://pawtocol.com/</t>
  </si>
  <si>
    <t>Amy Simpson</t>
  </si>
  <si>
    <t>If you are looking for ways to manage #stress and reduce #anxiety why not come along to my #creatingcalm workshop in #kilmarnock in The Ingram Centre from 6.30-8pm, tickets £15...2 places remaining.</t>
  </si>
  <si>
    <t>https://pbs.twimg.com/media/EORX0AGW4AEet0p.jpg</t>
  </si>
  <si>
    <t>Ayrshire</t>
  </si>
  <si>
    <t>Occupational Therapist | Clinical Reflexologist| Women’s Health | Reproductive Health | Supporting Women to be Happy, Healthy and Calm</t>
  </si>
  <si>
    <t>http://amysimpson.co.uk</t>
  </si>
  <si>
    <t>Danko_Doodles</t>
  </si>
  <si>
    <t>Made a doodle that shows how that represents me this month. Have a mentally stressed/burned-out doggo~ #doodle #quick #digital #messedup #tired #frustrated #wanttohibernate #liedownandthinkaboutlife #work #stress #ventartwork #artistsontwitter</t>
  </si>
  <si>
    <t>https://pbs.twimg.com/media/EORWvePW4AYBBcH.jpg</t>
  </si>
  <si>
    <t>.Illustrator. Instagram - danko_doodles</t>
  </si>
  <si>
    <t>https://pbs.twimg.com/media/EORVyC0WkAQafCb.jpg</t>
  </si>
  <si>
    <t>Dr Sallee McLaren</t>
  </si>
  <si>
    <t>Please take a look at Clinical Psychologist, Dr Sallee McLaren's lastest blog on vulnerability, responsibility and taking charge. #SmartTherapyCentre #Psychology #Anxiety #Stress #Depression #MentalHealth #PersonalDevelopment #Workstress  via @LinkedIn</t>
  </si>
  <si>
    <t>https://www.linkedin.com/pulse/time-tears-take-charge-dr-sallee-mclaren</t>
  </si>
  <si>
    <t>Melbourne</t>
  </si>
  <si>
    <t>Clinical Psychologist. Author of 'DON'T PANIC' &amp; 'QUIT ANXIETY NOW'. Developer of Smart Therapy. Director of the Smart Therapy Center, Fitzroy North, Melbourne.</t>
  </si>
  <si>
    <t>http://salleemclaren.com.au</t>
  </si>
  <si>
    <t>SuZ</t>
  </si>
  <si>
    <t>Learn how to tap #stress away with your FREE #EFT How-to For You at my</t>
  </si>
  <si>
    <t>https://www.eft-scripts.com/</t>
  </si>
  <si>
    <t>EFT Tapping &amp; Reiki Master Practitioner, Trainer and Author, Licensed Massage Therapist, doing my bit for me, mine, country, planet - I follow back if genuine.</t>
  </si>
  <si>
    <t>http://www.EFT-Scripts.com</t>
  </si>
  <si>
    <t>You've heard of negative stress, right? Did you know there's such a thing as positive stress? It's called #Eustress apparently. What if you could turn negative stress into #positive #stress? #stressmanagement</t>
  </si>
  <si>
    <t>https://tonyburkinshaw.co.uk/negative-stress-positive-stress/</t>
  </si>
  <si>
    <t>🏴‍☠️V∆NT∆ BL∆©K🏴‍☠️</t>
  </si>
  <si>
    <t>Think of it like the 7 deadly sins for your body. Things we have to reduce in order to be functioning at great capacity. #tiktok #healthtips #stress #foods #simpletips</t>
  </si>
  <si>
    <t>pic.twitter.com/x2OpZHhZXu</t>
  </si>
  <si>
    <t>Consequence, USA</t>
  </si>
  <si>
    <t>Push The Button, Start The Show.🎥 Full of interesting info, so hang on there for a sec. Health, Wealth, Technology, #MindScience and sprinkle a lil comedy.</t>
  </si>
  <si>
    <t>https://pbs.twimg.com/media/EORTJ_KXsAA-1o_.jpg</t>
  </si>
  <si>
    <t>RTI Gender Center</t>
  </si>
  <si>
    <t>Negative impacts on mental and physical health were associated with lower stress respiratory sinus arrhythmia. Men had lower rest RSA values than women did. What does this mean? Find out:  @RTI_Intl #mentalhealth #stress #military</t>
  </si>
  <si>
    <t>http://bit.ly/3aeUjI3</t>
  </si>
  <si>
    <t>https://pbs.twimg.com/media/EORTEDQX0AAd3s1.jpg</t>
  </si>
  <si>
    <t>RTP, NC &amp; around the world</t>
  </si>
  <si>
    <t>Join us as we work to eliminate global gender inequality. The official feed of the RTI Global Gender Center, and an official feed of RTI International @RTI_Intl</t>
  </si>
  <si>
    <t>http://rti.org/gender</t>
  </si>
  <si>
    <t>Owens Institute</t>
  </si>
  <si>
    <t>Does exercising frequently make you relaxed? Check out Dr. Philip Holmes research on exercise on rat brains and their ability to deal with #stress  #exercise #brainhealth @UGAResearch @ugapsychology</t>
  </si>
  <si>
    <t>https://bit.ly/35OcwbO</t>
  </si>
  <si>
    <t>https://pbs.twimg.com/media/EORSlOZU8AAtKSz.jpg</t>
  </si>
  <si>
    <t>Athens, GA</t>
  </si>
  <si>
    <t>http://www.oibr.uga.edu</t>
  </si>
  <si>
    <t>Maren Rosengarten</t>
  </si>
  <si>
    <t>#FederalReserve officials are considering lending cash directly to hedge funds through clearinghouses to ease #stress in the repo market. The market could also try meditation, it's said to reduce your stress levels as well.. #NervousSystem #Anxiety</t>
  </si>
  <si>
    <t>https://www.wsj.com/articles/hedge-funds-could-make-one-potential-fed-repo-market-fix-hard-to-stomach-11578997801?reflink=e2twmkts</t>
  </si>
  <si>
    <t>🌸 Energy Healing 🌸</t>
  </si>
  <si>
    <t>J Opacka</t>
  </si>
  <si>
    <t>Early childhood deprivation is associated with alterations in adult brain structure despite subsequent environmental enrichment #brain #childhood #deprivation #stress</t>
  </si>
  <si>
    <t>https://www.pnas.org/content/117/1/641</t>
  </si>
  <si>
    <t>Neuroscientist, reliable carer of elderly cats #Scientist4EU Loves #Trees🌳 &amp; 🐱Marmite Tweets #brain 🧠stuff, stress, addiction, #AI, #SciComm own views #FBPE</t>
  </si>
  <si>
    <t>Simran K Rattan, M.D.</t>
  </si>
  <si>
    <t>Perhaps it’s connection of our senses to nature’s fresh air, taking the time to spend at least 2 hours a week in #nature improves blood pressure, #stress levels, #hormone levels, #mentalhealth and overall #wellbeing. Enrich you #spirit with nature</t>
  </si>
  <si>
    <t>https://e360.yale.edu/features/ecopsychology-how-immersion-in-nature-benefits-your-health?fbclid=IwAR1JaP5utunnC6D7rKCpMjCKmJyN10pl_Z4rz0868FRON-nVoFgZCNgkndE</t>
  </si>
  <si>
    <t>Inspired &amp; Empowered by the Universal LifeForce #MeditationTeacher #taichi #Integrativemed #healthcoach,Tweets = my views,not medical advice or endorsements</t>
  </si>
  <si>
    <t>http://www.spiritualityismedicine.com</t>
  </si>
  <si>
    <t>Salimetrics</t>
  </si>
  <si>
    <t>Child Maltreatment Impacts Diurnal Cortisol;  #research #stress #childdevelopment #cortisolregulation #stresspathophysiology</t>
  </si>
  <si>
    <t>https://salimetrics.com/child-maltreatment-impacts-diurnal-cortisol/</t>
  </si>
  <si>
    <t>USA, UK, Europe, APAC</t>
  </si>
  <si>
    <t>Advancing the Science of Saliva. Better Methods, Better Results. Salivary Bioscience Starts Here. #salivarybioscience</t>
  </si>
  <si>
    <t>http://www.salimetrics.com</t>
  </si>
  <si>
    <t>As you ease back into work, workplace wellbeing should be a top priority. #wellbeing #work #workplacewellbeing #wellness #stress #calm #relax #brauercalm #brauer</t>
  </si>
  <si>
    <t>http://bit.ly/2S0sfRY</t>
  </si>
  <si>
    <t>https://pbs.twimg.com/media/EORQjxCWAAIY1M3.png</t>
  </si>
  <si>
    <t>Christine F. Abela</t>
  </si>
  <si>
    <t>"How to Overcome Fear of Being Late"  #Hypnosis #Stress</t>
  </si>
  <si>
    <t>https://bit.ly/36s1WJ4</t>
  </si>
  <si>
    <t>https://pbs.twimg.com/media/EORQaw9WoAAgWCG.jpg</t>
  </si>
  <si>
    <t>Cheviot, New Zealand</t>
  </si>
  <si>
    <t>Web site builder, online marketing, video marketing, press releases, SEO, programming. Now bringing it all together for you as a Network Marketing Coach.</t>
  </si>
  <si>
    <t>http://www.mlmDOMINATIONtraining.com</t>
  </si>
  <si>
    <t>Kim Monaghan, PCC</t>
  </si>
  <si>
    <t>Here's how to manage family stress while managing your stressful career.  #leadership #success #jobs #goals #hr #Happiness #stress #worklifebalance</t>
  </si>
  <si>
    <t>https://ahealthycareer.com/managing-family-stress-while-managing-your-career/</t>
  </si>
  <si>
    <t>https://pbs.twimg.com/media/EORPJvzWAAQd9nQ.jpg</t>
  </si>
  <si>
    <t>West Michigan</t>
  </si>
  <si>
    <t>#Happiness ★ Career Happiness Coach ★ Writer ★ Published Author ★ Speaker ★ Books Uplift Host ★ Tweeting Career Happiness, All About Books &amp; Your Healthy Career</t>
  </si>
  <si>
    <t>http://www.KBMCoaching.com</t>
  </si>
  <si>
    <t>Harvard study; #meditation changes brain regions associated with #memory, sense of self, empathy, and #stress.</t>
  </si>
  <si>
    <t>http://bit.ly/2hGGKVB</t>
  </si>
  <si>
    <t>Dayrizzy</t>
  </si>
  <si>
    <t>Grind everyday like it’s da last🙏🏽😎💯💯💯 #bigfacts #truth #spiritual #visualize #biggerpicture #pain #stress #worries #bills #problems #whatever</t>
  </si>
  <si>
    <t>Starving Artist/ producer outta Pittsburgh Pa focused on my Craft tryna Elevate and work around the Great! Get The New Ep “colder Than December 🥶❄️💯👇🏽</t>
  </si>
  <si>
    <t>https://www.amazon.com/s?k=dayrizzy&amp;ref=is_s</t>
  </si>
  <si>
    <t>IMO</t>
  </si>
  <si>
    <t>We had a great session today @olsjbb1 @olsjHH delivering our #YouthConnect Today the #boys were provided with their #stress test scores from last session. We then explored different forms of #mentalhealth that can lead to #eating disorders. Thanks to @BBCCiN for funding this work</t>
  </si>
  <si>
    <t>https://pbs.twimg.com/media/EORN8ylW4AAjylq.jpg</t>
  </si>
  <si>
    <t>Blackburn, UK</t>
  </si>
  <si>
    <t>An award winning local charity providing opportunities for all to be #Inspired to join and get #Motivated so they can #Overcome any barriers they face.</t>
  </si>
  <si>
    <t>http://www.imocharity.org</t>
  </si>
  <si>
    <t>HotFlash Network</t>
  </si>
  <si>
    <t>#Stress Messes With Your #SexHormones: These RD-Approved Foods Can Help -</t>
  </si>
  <si>
    <t>https://www.midbodygreen.com/articles/5-ways-stress-messes-with-your-hormones-which-foods-can-help</t>
  </si>
  <si>
    <t>Hillsdale, NJ</t>
  </si>
  <si>
    <t>HFN is a health, wellness, and lifestyle website for women seeking information and resources for managing Hot Flashes and other related symptoms of Menopause.</t>
  </si>
  <si>
    <t>http://www.hotflashnetwork.com</t>
  </si>
  <si>
    <t>Dee chats with Dr. Elena Villanueva about dealing with #stress and #anxiety tomorrow on Daily Living. Subscribe to the Daily Living channel.  #stressmanagement #stressrelief #anxietyrelief</t>
  </si>
  <si>
    <t>https://www.youtube.com/channel/UCjgpUAY-7RiKkJFga4WKxFg</t>
  </si>
  <si>
    <t>https://pbs.twimg.com/media/EORMWSOX0AUWBY4.jpg</t>
  </si>
  <si>
    <t>Sophia Prod</t>
  </si>
  <si>
    <t>SLEEP DROPS NEW FORMULA 1 OZ💜 Get yours here 👇  #drops #sleep #stress #anxiety #sale #discount #deal #deals</t>
  </si>
  <si>
    <t>http://livproducts.com</t>
  </si>
  <si>
    <t>https://pbs.twimg.com/media/EORLhEHW4AACy4u.jpg</t>
  </si>
  <si>
    <t>We promote a Natural Healthy Lifestyle empowering all people with confidence and happiness.</t>
  </si>
  <si>
    <t>NEW SLEEP GUMMIES 💜 Get yours here 👇  #gummies #sleep #stress #anxiety #sale #discount #deal #deals</t>
  </si>
  <si>
    <t>https://pbs.twimg.com/media/EORLMqRX4AEF0zv.jpg</t>
  </si>
  <si>
    <t>SLEEP SPRAY 10 ML TRAVEL SIZE💜 Get yours here 👇  #spray #sleep #stress #anxiety #sale #discount #deal #deals</t>
  </si>
  <si>
    <t>https://pbs.twimg.com/media/EORK9h0WkAEHnsV.jpg</t>
  </si>
  <si>
    <t>TOP SELLER💜 MELATONIN AND BOTANICAL EXTRACTS. PROMOTES A NATURAL GOOD NIGHT SLEEP WITH THE ADDED BENEFITS OF HEMP FOR A OVERALL HEALTHY MIND BODY AND SOUL. #drops #sleep #stress #anxiety #sale #discount #deal #deals</t>
  </si>
  <si>
    <t>https://pbs.twimg.com/media/EORKhFJX0AYlKMZ.jpg</t>
  </si>
  <si>
    <t>DISC</t>
  </si>
  <si>
    <t>Your day-to-day most likely involves #stress, however it shouldn't control you. Trying just 10 to 20 minutes of quiet reflection will bring relief as well as an increased tolerance towards it ➡️ via @MentalHealthAm:  #DISCforward #WellnessJourney</t>
  </si>
  <si>
    <t>https://bit.ly/34UIfs2</t>
  </si>
  <si>
    <t>https://pbs.twimg.com/media/EORJAofWAAA744-.jpg</t>
  </si>
  <si>
    <t>Toronto, ON</t>
  </si>
  <si>
    <t>💨Strive for progress, challenge yourself, and step down to 0% nicotine. 👇Discover our #StepDownToZero program and other exclusive deets. 🚦Adults 19+</t>
  </si>
  <si>
    <t>https://getdisc.com</t>
  </si>
  <si>
    <t>Green Shield Canada</t>
  </si>
  <si>
    <t>This idea that more is always better where health care is concerned is questionable when potential harms such as #anxiety, #stress, complications, and costs rise. Read on in this Inside Story:</t>
  </si>
  <si>
    <t>https://www.greenshield.ca/en-ca/news/stories/the-inside-story-more-health-care-doesn-t-necessarily-mean-better-health</t>
  </si>
  <si>
    <t>https://pbs.twimg.com/media/EE609HjWwAIt4id.jpg</t>
  </si>
  <si>
    <t>We eat, sleep, and breathe health and dental benefits. It's what we do. Proudly supporting innovative ideas for 60 years.</t>
  </si>
  <si>
    <t>http://www.greenshield.ca</t>
  </si>
  <si>
    <t>Erie County Department of Health</t>
  </si>
  <si>
    <t>How can you deal with #stress? Via @CDCgov:</t>
  </si>
  <si>
    <t>https://www.cdc.gov/injury/features/dealing-with-stress/index.html</t>
  </si>
  <si>
    <t>Erie County (#Buffalo), NY</t>
  </si>
  <si>
    <t>The Erie County Department of Health promotes &amp; protects the #health, #safety, and well-being of residents in Erie County, NY</t>
  </si>
  <si>
    <t>http://www.erie.gov/health</t>
  </si>
  <si>
    <t>depressedfeels</t>
  </si>
  <si>
    <t>Do you ever just want to talk to someone and you plan out a whole conversation In your head but you don’t say anything #mentalhealthawareness #sad #love #ptsd #mentalillness #depressed #stress #suicide #recovery #health #therapy #quotes #selflove #healing #depression #sadness</t>
  </si>
  <si>
    <t>😖life can suck my ass😖 ❤️if you need to talk to someone you can always talk to me!❤️</t>
  </si>
  <si>
    <t>Yoga can help to increase #flexibly, and strengthen muscle tones, improve #metabolism, #weightloss, energy, and the overall #health and lower the level of #stress, #anxiety, #depression, and #fatigue:  #yoga #yogateacher #yogastudent #yogaprops #yogamat…</t>
  </si>
  <si>
    <t>https://gleeyoga.com/index.php</t>
  </si>
  <si>
    <t>https://pbs.twimg.com/media/EORHEaNUcAEAzPJ.png</t>
  </si>
  <si>
    <t>MedPage Today</t>
  </si>
  <si>
    <t>Daily, peer reviewed medical news for clinicians</t>
  </si>
  <si>
    <t>http://www.medpagetoday.com/</t>
  </si>
  <si>
    <t>MedPage Psychiatry</t>
  </si>
  <si>
    <t>Breaking psychiatry news | Reports from major psychiatry meetings | Peer-reviewed | Psychiatrist-trusted | Part of @MedPageToday</t>
  </si>
  <si>
    <t>Don't continue to be consumed by FINANCIAL #stress. Kick debt in the butt with tips from #themoneynerds podcast host Whitney Hansenco.</t>
  </si>
  <si>
    <t>http://www.makeeverythingfun.com/radio/reduce-financially-related-stress-whitney-hansen/</t>
  </si>
  <si>
    <t>https://pbs.twimg.com/media/EORGIrwWsAAIqde.jpg</t>
  </si>
  <si>
    <t>Andrew Stenhouse</t>
  </si>
  <si>
    <t>“We experience stress when we believe everything is urgent. All projects, big and small, seem to have a high priority.” #career #stress #management</t>
  </si>
  <si>
    <t>https://buff.ly/30kLO9v</t>
  </si>
  <si>
    <t>Newport Beach, California</t>
  </si>
  <si>
    <t>#IO #Psychology #Professor @VanguardU | teacher-practitioner | participant-observer of life in the workplace. https://www.facebook.com/DrAndrewStenhouse/</t>
  </si>
  <si>
    <t>http://linkedin.com/in/andrewstenhouse</t>
  </si>
  <si>
    <t>Jamie Spannhake</t>
  </si>
  <si>
    <t>Feeling #overwhelmed with all your competing obligations? Suffering from #anxiety and too much #stress? Meditation will help you. Get your free guided #meditation at . And connect with me to receive helpful tips in your inbox: .</t>
  </si>
  <si>
    <t>http://ow.ly/CG7Y50xUE7w
http://ow.ly/6UfX50xUEd3</t>
  </si>
  <si>
    <t>https://pbs.twimg.com/media/EORGAkQWAAI-r21.jpg</t>
  </si>
  <si>
    <t>Connecticut</t>
  </si>
  <si>
    <t>I am a freelance writer, certified health coach, lawyer, mediator, mother, and animal lover. Not necessarily in that order!</t>
  </si>
  <si>
    <t>https://www.jamiespannhake.com/</t>
  </si>
  <si>
    <t>Amber Colley</t>
  </si>
  <si>
    <t>#Stress has an undeserved bad reputation, say psychologists, who argue that a form of it called "eustress" can be good for your health</t>
  </si>
  <si>
    <t>https://lnkd.in/ejeZrD3</t>
  </si>
  <si>
    <t>SVP Dun &amp; Bradstreet</t>
  </si>
  <si>
    <t>http://www.dnb.com/perspectives/authors/amber-colley-bio.html</t>
  </si>
  <si>
    <t>BC Cancer</t>
  </si>
  <si>
    <t>Looking for tips on managing #stress while living with cancer? Visit our website to watch a brand new video series dedicated to patients and families learning to find their "breath" after a #cancer diagnosis:</t>
  </si>
  <si>
    <t>http://ow.ly/FQ0Z50l9uBf</t>
  </si>
  <si>
    <t>https://pbs.twimg.com/media/EOREs1zXUAAwL6_.png</t>
  </si>
  <si>
    <t>BC Cancer provides a province wide, population-based cancer control program for British Columbians. Privacy: http://www.phsa.ca/privacy</t>
  </si>
  <si>
    <t>http://www.bccancer.bc.ca/</t>
  </si>
  <si>
    <t>PrimeEdgeTech</t>
  </si>
  <si>
    <t>Sometimes the #stress of daily life can have you feeling low. So how can you #recharge and turn back toward happiness? There are some universal #practices that you can use to #boost your overall #happiness</t>
  </si>
  <si>
    <t>http://ow.ly/NMzg50xVrIj</t>
  </si>
  <si>
    <t>https://pbs.twimg.com/media/EOREdNIWsAMfxMg.jpg</t>
  </si>
  <si>
    <t>Winchester, VA</t>
  </si>
  <si>
    <t>We are committed to endlessly innovating the way we operate to improve our ability to provide premier office technology solutions &amp; service for our customers.</t>
  </si>
  <si>
    <t>http://primeedgetech.com/</t>
  </si>
  <si>
    <t>Twilight Hard Candy - Pineapple Punch (450mg CBD/pack) - A delicious way to medicate!  #edibles #medibles #Cannabis #CBD #CannabisMedicinal #plantmedicine #PotOverPills #MedicalMarijuana #pain #stress #depression #anxiety #inflammation #arthritis #MS</t>
  </si>
  <si>
    <t>https://www.puregreenexpress.ca/twilight-hard-candy-pineapple-punch-450mg-cbd.html#.Xh4bd1JlzUY.twitter</t>
  </si>
  <si>
    <t>OberonDiagnostic.com</t>
  </si>
  <si>
    <t>Quantum Biofeedback Therapy is a #naturopathic practice:  that measures bodys #energetic components n helps detect/measure #chemical and #physiological imbalances caused by a prolonged period of #stress. #AlternativeHealth #ChronicPain #Pain #Anxiety</t>
  </si>
  <si>
    <t>https://www.oberondiagnostic.com/</t>
  </si>
  <si>
    <t>https://pbs.twimg.com/media/EORC1zyU8AA28VO.png</t>
  </si>
  <si>
    <t>Camas, WA</t>
  </si>
  <si>
    <t>Oberon Biofeedback which manufactures and markets Oberon Biofeedback system is a wholly owned subsidiary of K.D.G. Nature’s Cure Inc of Camas, WA.</t>
  </si>
  <si>
    <t>https://www.oberondiagnostic.com</t>
  </si>
  <si>
    <t>Flexible Working arrangements can bolster the pool of talent to recruit from, while minimising stress and allowing both Night Owls and Early Birds to perform to their best, increasing morale and motivation. #FlexibleWorking #Stress</t>
  </si>
  <si>
    <t>https://robinlines.com/blog/advantages-flexible-working</t>
  </si>
  <si>
    <t>"Framing #stress as an opportunity can help #entrepreneurs focus on solutions, writes KnowBe4 founder Stu Sjouwerman. If we give in to the idea that we're stressed, it paints a mental self-portrait of..."</t>
  </si>
  <si>
    <t>https://www.smartbrief.com/s/2020/01/how-change-your-mindset-stress</t>
  </si>
  <si>
    <t>Ceiriog Walk And Talk</t>
  </si>
  <si>
    <t>Good to see this being increasingly shown in #farming Once an occupation that brought you closer to nature, now it's a pathway for some, to long hours, isolation and for many, very little gain #stress #depression #MentalHealthMatters #teamdairy #farmingarmy #YoureNotAlone RT @rob_cowgill: @Peterhynes15 message to anyone who may need it #Semex2020 #MentalHealthMatters Great to meet you Pete &amp; @Paulahynes4 🙂</t>
  </si>
  <si>
    <t>https://twitter.com/rob_cowgill/status/1217146086990794753</t>
  </si>
  <si>
    <t>https://pbs.twimg.com/media/EOQr5fFX0AEGqRJ.jpg</t>
  </si>
  <si>
    <t xml:space="preserve">Chirk, N Wales Borderlands </t>
  </si>
  <si>
    <t>Aimed at men of all ages. We all know fresh air &amp; walking is good for us. Help us to rid the stigma around mens mental health #mentalhealthmatters</t>
  </si>
  <si>
    <t>https://www.facebook.com/Ceiriog-Walk-and-Talk-102170637920068/</t>
  </si>
  <si>
    <t>https://pbs.twimg.com/media/EOQ7hk5WsAEtFUe.jpg</t>
  </si>
  <si>
    <t>Resilience Doughnut</t>
  </si>
  <si>
    <t>#Stress is inevitable. But psychologists are learning more about how to keep it from becoming overwhelming. #Midlife, in particular, can bring with it many stressful events. How can we develop the coping skills needed to meet the challenges of midlife?</t>
  </si>
  <si>
    <t>https://www.kqed.org/forum/2010101860917/meeting-the-challenges-of-midlife</t>
  </si>
  <si>
    <t>UK and Ireland account</t>
  </si>
  <si>
    <t>The practical, research-validated model providing a tool and framework for building resilience in children, adolescents and adults for over a decade.</t>
  </si>
  <si>
    <t>http://www.resiliencedoughnutuk.com</t>
  </si>
  <si>
    <t>Simply Pure</t>
  </si>
  <si>
    <t>🧐🌿Cannabis Receptor Linked to Stress Reduction in Mice #TuesdayMotivation #tuesdayvibes #CannabisResearch #CannabisScience #stress #stressrelief #cannabisindustry #CannabisCommunity #cannabisculture #IAmAPurest 💚</t>
  </si>
  <si>
    <t>https://www.technologynetworks.com/neuroscience/news/cannabis-receptor-linked-to-stress-reduction-in-mice-329312#.Xh4SKXRy8Sg.twitter</t>
  </si>
  <si>
    <t>A beautiful dispensary in Denver Highlands-32nd &amp; Tejon w/ a huge selection of edibles &amp; concentrates and incredible staff to help rookies and connoisseurs.</t>
  </si>
  <si>
    <t>https://linktr.ee/simplypuremj</t>
  </si>
  <si>
    <t>MindfulStudies</t>
  </si>
  <si>
    <t>"The survey included about 55,000 students across 58 Canadian post-secondary campuses and found more than 60 per cent of respondents were dealing with above-average or tremendous stress levels." #youth #national #stress</t>
  </si>
  <si>
    <t>https://www.ctvnews.ca/canada/for-young-canadians-2020-may-be-the-year-of-unfettered-anxiety-1.4765420</t>
  </si>
  <si>
    <t>We are a charity &amp; social enterprise, providing mindfulness-based therapies, professional training, and community programs. #mindfulness #mentalhealth</t>
  </si>
  <si>
    <t>http://www.mindfulnessstudies.com</t>
  </si>
  <si>
    <t>Reminder: you are more than your work! #mentalhealth #anxiety #stress #depression #ptsd #psychology #lcsw #therapy #selfcare</t>
  </si>
  <si>
    <t>https://pbs.twimg.com/media/EOQ5tHEXkAITM6a.jpg</t>
  </si>
  <si>
    <t>Austin Massage</t>
  </si>
  <si>
    <t>How proper #breathing can reduce #stress especially for athletes &amp; singers,.</t>
  </si>
  <si>
    <t>http://ow.ly/GcEw30q8I9C</t>
  </si>
  <si>
    <t>https://pbs.twimg.com/media/EOQ5QiqWAAESC6w.jpg</t>
  </si>
  <si>
    <t>Austin Sports Massage and Therapy Massage expert. Improves balance and posture by lengthening muscles and increase flexibility.</t>
  </si>
  <si>
    <t>http://www.austinmassageclinic.com</t>
  </si>
  <si>
    <t>It's good to change things for the better. #anxiety #stress #publicspeaking #phobia</t>
  </si>
  <si>
    <t>http://ow.ly/PLUI30q83SD</t>
  </si>
  <si>
    <t>https://pbs.twimg.com/media/EOQ4eg1X0AYzyLH.jpg</t>
  </si>
  <si>
    <t>#Fibromyalgia #Stress Connection ..."Since I’ve realized this I seem to have more and more (and more!) control over my symptoms and subsequently my symptoms and flares are consistently getting less and less (and less!) over the years."  … #WhatIKnowIsReal</t>
  </si>
  <si>
    <t>Janet Howard</t>
  </si>
  <si>
    <t>Exercise is a great way to cope and fight #stress. #selfhelp</t>
  </si>
  <si>
    <t>http://cpix.me/a/89858465</t>
  </si>
  <si>
    <t>https://pbs.twimg.com/media/EOQ3d8MWkAMG1VF.jpg</t>
  </si>
  <si>
    <t>Savannah</t>
  </si>
  <si>
    <t>Broker/Owner Realty One Group Inclusion</t>
  </si>
  <si>
    <t>Cat Williams</t>
  </si>
  <si>
    <t>How can I deflect stress and maintain some calm and control? Here is my answer inside this weeks #myweekly magazine! #stress #mentalhealth #selfcare #wellbeing #resilience #strengths #confidence</t>
  </si>
  <si>
    <t>https://www.instagram.com/p/B7T4uCih5EW/?igshid=ru80p407vmki</t>
  </si>
  <si>
    <t>Wrexham / Chester</t>
  </si>
  <si>
    <t>I’m a @Strengthscope practitioner, #school &amp; @TEDx #speaker #counsellor #author #relationships #resilience #mentalhealth Expert on relationships for BBC &amp; ITV</t>
  </si>
  <si>
    <t>http://www.helpingreachpotential.co.uk</t>
  </si>
  <si>
    <t>Fill your home with the relaxing aroma of lavender, lemon and eucalyptus.  #aromatherapy #essentialoils #stress #anxiety #insomnia #mood #mind #healing #wellness #airfreshener #health #natural #youngliving #airwick #glade #yankeecandle #wallflower #scentsy</t>
  </si>
  <si>
    <t>http://dld.bz/fRSnH</t>
  </si>
  <si>
    <t>https://pbs.twimg.com/media/EOQ1aE0W4AAgRs7.jpg</t>
  </si>
  <si>
    <t>Lorie Johnson</t>
  </si>
  <si>
    <t>Tears from sadness contain pain relieving chemicals that help cleanse the body of substances that accumulate under stress. So crying can lead to healing #health #tears #healrhy #wellness #stress</t>
  </si>
  <si>
    <t>https://pbs.twimg.com/media/EOQ1J9WX4AA3jUz.jpg</t>
  </si>
  <si>
    <t>Virginia Beach, Virginia</t>
  </si>
  <si>
    <t>Health reporter for The Christian Broadcasting Network...Giving you information to strengthen your mind and body! Like me @ http://Facebook.com/LorieJohnsonCBN</t>
  </si>
  <si>
    <t>http://cbnnews.com</t>
  </si>
  <si>
    <t>WanaBrands</t>
  </si>
  <si>
    <t>Our delicious Exotic Yuzu 2:1 Sour Gummies are perfect for calming stress and promoting better sleep! 🍋 #WanaBrands #EnhanceYourLife #ExoticYuzu #Yuzu #SourGummies #Stress #Sleep #Relax #Vegan #GlutenFree #Delicious</t>
  </si>
  <si>
    <t>https://pbs.twimg.com/media/EOQ0saSWoAAH9bS.jpg</t>
  </si>
  <si>
    <t>Enhance Your Life with Wana! We are Colorado's #1 Infused Products company with operations in Oregon, Arizona, Illinois, Michigan, Ohio and California.</t>
  </si>
  <si>
    <t>https://wanabrands.com/</t>
  </si>
  <si>
    <t>SandSable</t>
  </si>
  <si>
    <t>Come along to my stream at  for some quality kingdoms and castles chill stream #stress #twitch #nowlive #live #streamer #growtogether</t>
  </si>
  <si>
    <t>http://twitch.tv/sandsable</t>
  </si>
  <si>
    <t>new twitch streamer, providing quality non-content. http://twitch.tv/sandsable</t>
  </si>
  <si>
    <t>Babade, Ayobayo J.</t>
  </si>
  <si>
    <t>Thinking of a Investing in Real Estate in Nigeria without stress or fear? Just call +234 813 834 4488. That's the answer! #Think #stress #fear #answer #question #RealEstate #realestateagent #realestateforsale #realestatelawyer #realestateguru #RealEstateNigeria #CofO</t>
  </si>
  <si>
    <t>https://pbs.twimg.com/media/EOQzQKXWsAkf94D.jpg</t>
  </si>
  <si>
    <t>Christian, African, Lawyer, Dispute Resolution Expert &amp; Real Estate Consultant. Friendly, industrious, quite hyperactive.</t>
  </si>
  <si>
    <t>Cup of Tea LLC</t>
  </si>
  <si>
    <t>SPECIAL OFFER!!! 20% off when you book a session with one of our Mental Health Coaches . #mentalillness #mentalhealth #MentalHealthAwareness #depression #anxiety #stress #bullying #coaching #sexuality #genderidentity . Https:</t>
  </si>
  <si>
    <t>http://cupoftea4u.com</t>
  </si>
  <si>
    <t>Cup of Tea provides online mental health coaching to individuals who experiences obstacles such as finances , cultural stigmas and lack of resources .</t>
  </si>
  <si>
    <t>We now carry CBN in a tincture!  #cbn #cannabinol #cbd #cbdoil #cbdtincure #watersoluble #watersolublecbd #stress #anxiety #relief #anxietyrelief #stressrelief #arthritis #jointpain #sleepaid #cbdforpets #inflammation #cbdtopicals #hemp #painrelief</t>
  </si>
  <si>
    <t>https://happycbdstore.com/product/active-cbd-oil-tincture-water-soluble-cbn-150mg/</t>
  </si>
  <si>
    <t>https://pbs.twimg.com/media/EOQyLZzU4AAT0U2.jpg</t>
  </si>
  <si>
    <t>By finding our #HigherPerspective, we can challenge our beliefs about life. #MentalHealth #stress #SelfCare</t>
  </si>
  <si>
    <t>https://pbs.twimg.com/media/EOQxhyBXsAEGJDC.jpg</t>
  </si>
  <si>
    <t>Get Full Body Massage By Female Hands, 03322497743 03322497743 Timing:12:00pmTo10:00pm #karachiMassageSalon #ThaiMassage #Spa #VictoriaMassageSalon #MassageSalon #StressFree #BeautifulLife #Stress .</t>
  </si>
  <si>
    <t>https://pbs.twimg.com/media/EOQwk77W4AEOq98.jpg</t>
  </si>
  <si>
    <t>Pure Essence</t>
  </si>
  <si>
    <t>#Reishi (Ganoderma lucidum) is the “King of #Mushrooms.” It has been used for over 2000 years in traditional medical systems for its health-promoting effects. #MedicinalMushrooms #Stress #ImmuneSupport #FatigueRelief #Antihistamine #Longevity #PureEssenceLife</t>
  </si>
  <si>
    <t>https://pbs.twimg.com/media/EOQwGbYXkAQhS6z.jpg</t>
  </si>
  <si>
    <t>Formulating holistic dietary supplements combing the wisdom of traditional eastern and western medicine. https://www.facebook.com/PureEssenceLabs http://bit.ly/PELemail_signup</t>
  </si>
  <si>
    <t>https://www.pureessencelabs.com</t>
  </si>
  <si>
    <t>https://pbs.twimg.com/media/EOQwEjfXUAIJe-Z.jpg</t>
  </si>
  <si>
    <t>Eclipse Realty Group</t>
  </si>
  <si>
    <t>Do you know which #mindfulness practices are best for #stress?</t>
  </si>
  <si>
    <t>http://cpix.me/a/89874147</t>
  </si>
  <si>
    <t>https://pbs.twimg.com/media/EOQvt1kXsAATP0M.jpg</t>
  </si>
  <si>
    <t>Avon, IN</t>
  </si>
  <si>
    <t>http://www.homeswitherg.com</t>
  </si>
  <si>
    <t>Zoe Andrews</t>
  </si>
  <si>
    <t>Harriet couldn’t face school, I had to sit a 2 hour exam over a webcam with her in the room next to me, constant internet issues, with a tens machine attached, high on codeine, forgot I had to pick up Maxwell, and back to work tomorrow. #Stress #NewLevel</t>
  </si>
  <si>
    <t>pic.twitter.com/mDdsd0FEof</t>
  </si>
  <si>
    <t>Bailiwick of Guernsey, United Kingdom</t>
  </si>
  <si>
    <t>Trainee 👩🏻‍🔬 Microbiology. Autism mum 🤘🏽Yorkshire lass living in Guernsey, views my own.</t>
  </si>
  <si>
    <t>Drug Free Solution, Inc.</t>
  </si>
  <si>
    <t>Inhale through the nose, inhale through the mouth, exhale through the mouth. As you focus on each breath your feelings of #stress, #anxiety and #worry will melt away. #mindfulness #threepartbreath #wellness #inhale #exhale</t>
  </si>
  <si>
    <t>https://pbs.twimg.com/media/EOQhaLIW4AAdtEx.png</t>
  </si>
  <si>
    <t>El Segundo, CA, US, 90245</t>
  </si>
  <si>
    <t>Innovation through Emotional Wellness.</t>
  </si>
  <si>
    <t>https://www.drugfreesolution.com</t>
  </si>
  <si>
    <t>Pat Capel Psychotherapist</t>
  </si>
  <si>
    <t>Do you feel stuck? Are you doubting yourself? You might be stuck limiting ways of perceiving yourself and the world around you. Have a read of my latest blog to learn more and to find out what you can do. #stress #anxiety #growthmindset @humangivens</t>
  </si>
  <si>
    <t>https://buff.ly/35MeVUf</t>
  </si>
  <si>
    <t>https://pbs.twimg.com/media/EOQusLGXkAAL9KA.jpg</t>
  </si>
  <si>
    <t>I offer solution-focussed therapy, counselling and coaching to get you feeling better fast.</t>
  </si>
  <si>
    <t>https://www.patcapel.co.uk/</t>
  </si>
  <si>
    <t>In order to manage your #stress, you need to know how your body is designed to deal with stress?</t>
  </si>
  <si>
    <t>Highland Tea Box</t>
  </si>
  <si>
    <t>Decided to got my work space!!!! Why did I do it??? . . . . #tidyingup #tidy #stressedout #stress #doh #messy #messyroom #instaphoto #picoftheday #bespoke #photooftheday #help</t>
  </si>
  <si>
    <t>https://www.instagram.com/p/B7T0zDHAbsY/?igshid=2rcmjtvsafmu</t>
  </si>
  <si>
    <t>A wee tea company based in the highlands of Scotland. Retailing a wide range of black, green, herbal and chai teas.</t>
  </si>
  <si>
    <t>http://www.highlandteabox.co.uk</t>
  </si>
  <si>
    <t>Reality &amp; Positivity</t>
  </si>
  <si>
    <t>For me, when I look at the sky, whatever the weather, whatever the time, I am reminded how my life is so precious and yet so insignificant - my worries get blown away. #mentalhealth #MentalHealthMatters #joytrain #enjoynature #Mindfulness #photography #stress</t>
  </si>
  <si>
    <t>https://pbs.twimg.com/media/EOQsYgQXsAAvMuj.jpg</t>
  </si>
  <si>
    <t>NW London UK</t>
  </si>
  <si>
    <t>Therapeutic #mentalhealth counsellor BACP accred&amp;freelance writer, helping people 2 navigate problems: life, living, dying&amp;death. Successfully managing #bipolar</t>
  </si>
  <si>
    <t>6 Psychologist-Approved Ways To Use Your Stress To Your Advantage  #stress #stressed #stressrelief #stressmanagement</t>
  </si>
  <si>
    <t>https://buff.ly/2tWBuZi</t>
  </si>
  <si>
    <t>https://pbs.twimg.com/media/EOQr8TrWAAERD-s.jpg</t>
  </si>
  <si>
    <t>Catching Clouds</t>
  </si>
  <si>
    <t>What I Learned From Building a Unicorn: Be Challenged, Not Stressed.  by @Entrepreneur #stress #opportunity #entrepreneur</t>
  </si>
  <si>
    <t>https://hubs.ly/H0mxZR80</t>
  </si>
  <si>
    <t>Parker, CO</t>
  </si>
  <si>
    <t>We Speak Ecommerce. Cloud accounting for online businesses.</t>
  </si>
  <si>
    <t>http://www.catchingclouds.net</t>
  </si>
  <si>
    <t>Kirsten/Kai</t>
  </si>
  <si>
    <t>A growing suicide rate is manifesting itself in American workplaces &amp; a record number of people killed themselves on the job in 2018. More:  @Forbes #Suicide #Workplace #Work #Company #CompanyCulture #Data #DataAnalytics #SuicideRates #MentalHealth #Stress</t>
  </si>
  <si>
    <t>http://ow.ly/zx7F50xTSJW</t>
  </si>
  <si>
    <t>Community Manager @MicropoleBeLux. Passionate by anything and everything digital. 💻 Proud #Potterhead. [Opinions and views are all mine.]</t>
  </si>
  <si>
    <t>BettelouSoosaipillai</t>
  </si>
  <si>
    <t>https://pbs.twimg.com/media/EOQrfJxW4AAikuU.png</t>
  </si>
  <si>
    <t>Martinez, GA</t>
  </si>
  <si>
    <t>http://www.bettelou.me</t>
  </si>
  <si>
    <t>Nexalin Technology</t>
  </si>
  <si>
    <t>Does Your Child Have an Anxiety Disorder? Read Now:  #NexalinTechnology #Houston #MentalHealthService #Stress #DrugFreeTreatment #StressTreatment #AnxietyTherapy</t>
  </si>
  <si>
    <t>https://1l.ink/ZL24TDS</t>
  </si>
  <si>
    <t>https://pbs.twimg.com/media/EOQqv8JX0AAIAPd.jpg</t>
  </si>
  <si>
    <t>Houston, TX, US, 77056</t>
  </si>
  <si>
    <t>MEDICATION-FREE TREATMENT FOR INSOMNIA, ANXIETY, AND DEPRESSION</t>
  </si>
  <si>
    <t>https://nexalin.com/</t>
  </si>
  <si>
    <t>Unique Mind Care</t>
  </si>
  <si>
    <t>Generalized Anxiety Disorder: Causes and Risk Factors Read Now:  #UniqueMindCare #Houston #MentalHealthService #Anxiety #Stress #DrugFreeTreatment #AnxietyTreatment #AnxietyTherapy</t>
  </si>
  <si>
    <t>https://1l.ink/NXNNQXH</t>
  </si>
  <si>
    <t>https://pbs.twimg.com/media/EOQqsU9WAAc7-IX.png</t>
  </si>
  <si>
    <t>Our unique processes are designed to create positive outcomes without medication, so that you can feel your best at all times.</t>
  </si>
  <si>
    <t>https://uniquemindcare.com/</t>
  </si>
  <si>
    <t>TheHouseNextDoor</t>
  </si>
  <si>
    <t>It's #DressUpYourPetDay. Pets can help alleviate #stress, #anxiety, #depression, as well as feelings of #loneliness and social #isolation so go have some fun with your #pets today!</t>
  </si>
  <si>
    <t>https://bit.ly/35BgCEb</t>
  </si>
  <si>
    <t>https://pbs.twimg.com/media/EOQqavxWoA0tPz5.png</t>
  </si>
  <si>
    <t>The House Next Door provides quality community-based #mentalhealth counseling, #family centered programs, &amp; parenting programs in #Volusia &amp; #Flagler Counties.</t>
  </si>
  <si>
    <t>http://thehnd.com</t>
  </si>
  <si>
    <t>No matter where you come from it is up to you to change the world in only a way that you can, You are one of the kind #work #quoteoftheday #counselling #hcsmSA #southafrica #stress #help #anxiety #Mindfulness</t>
  </si>
  <si>
    <t>https://pbs.twimg.com/media/EOKrDcZXkAAs0gh.jpg</t>
  </si>
  <si>
    <t>Centrobed</t>
  </si>
  <si>
    <t>Find our range of #costsaving #LegLifters that provide #comfort and #independence for the #patient while giving #assistance and reducing #stress for the #carer or #nurse at</t>
  </si>
  <si>
    <t>http://centrobed.com</t>
  </si>
  <si>
    <t>https://pbs.twimg.com/media/EOPVFTjXUAEQwrm.jpg</t>
  </si>
  <si>
    <t>Ashford, Kent UK</t>
  </si>
  <si>
    <t>Centrobed is the UK's leading manufacturer of bespoke, specialist beds &amp; cots. From Bariatric to Paediatric we have a unique range of beds/equipment to suit all</t>
  </si>
  <si>
    <t>https://www.centrobed.com/</t>
  </si>
  <si>
    <t>Rachel Butler Counseling</t>
  </si>
  <si>
    <t>Pursue your dreams! #waltdisneyquotes #counseling #therapy #mentalhealthadvocate #onlinecounseling #suicideprevention #stopthestigma #stress #onlinetherapy #psychology #therapist #mindfulness…</t>
  </si>
  <si>
    <t>https://www.instagram.com/p/B7Ty_Ylgw4d/?igshid=1r8c344to05v5</t>
  </si>
  <si>
    <t>Alpharetta, GA</t>
  </si>
  <si>
    <t>I am a Masters Level Clinical Intern that specializes in: Teens, Adults, &amp; Couples. My experience: Anxiety, Depression, Self-Harm, &amp; Premarital Counseling</t>
  </si>
  <si>
    <t>https://itsgardeningtime.com/?p=8736&amp;utm_source=ReviveOldPost&amp;utm_medium=social&amp;utm_campaign=ReviveOldPost</t>
  </si>
  <si>
    <t>Brockmans Gin</t>
  </si>
  <si>
    <t>Do you know what else can reduce stress levels? #gin #stress</t>
  </si>
  <si>
    <t>https://pbs.twimg.com/media/EOQpPj1X4AIOybk.png</t>
  </si>
  <si>
    <t>Intensely smooth Gin. #LikeNoOther</t>
  </si>
  <si>
    <t>http://brockmansgin.com</t>
  </si>
  <si>
    <t>Pammy (&amp; company)</t>
  </si>
  <si>
    <t>I got nothin’ bettah to do, lemme just go beautify that 30 yeeah old Bowflex. 💐 #relax #calm #beautify #lol #funnyvideo #busdriver #stress #funnyvideos #comedy #gay #drag #queercomedy #realtalk #charactercomedy #boston #realsimple #bostonaccent #tranquiltuesday #sisters #townie</t>
  </si>
  <si>
    <t>pic.twitter.com/QIPXfBLGS8</t>
  </si>
  <si>
    <t>Village of the Pammed, MA</t>
  </si>
  <si>
    <t>A real friggin’ charactah from Southeastern Massachusetts - and summa my friends, foes, and family. I run this townie! 🚌💋🚬✨</t>
  </si>
  <si>
    <t>https://www.youtube.com/channel/UCD5LSdIhe2zt9f8RLlVN5Ow</t>
  </si>
  <si>
    <t>GenX women and the many challenges of midlife unique to their generation. May need 🍷 after reading this!  #GenX #midlife #stress</t>
  </si>
  <si>
    <t>http://www.oprah.com/sp/new-midlife-crisis.html</t>
  </si>
  <si>
    <t>Pathways</t>
  </si>
  <si>
    <t>The affects of stress on the body . . #stress Credit:</t>
  </si>
  <si>
    <t>http://nurseland.net</t>
  </si>
  <si>
    <t>https://pbs.twimg.com/media/EOQm8asWAAAiBxi.jpg</t>
  </si>
  <si>
    <t xml:space="preserve">Erith,Barnehurst,Bexleyheath </t>
  </si>
  <si>
    <t>Hi, I'm Beverley a counsellor wanting to make a difference &amp; help clients become who they want to be. BACP registered. Call me for affordable therapy today.</t>
  </si>
  <si>
    <t>http://www.counsellingpathway.com</t>
  </si>
  <si>
    <t>Resources to Recover</t>
  </si>
  <si>
    <t>“Leaky Gut Syndrome” May Cause Depression #MentalHealthAwareness #depression #stress #anxiety</t>
  </si>
  <si>
    <t>https://buff.ly/39PMicl</t>
  </si>
  <si>
    <t>https://pbs.twimg.com/media/EOQm649XUAAPwv6.jpg</t>
  </si>
  <si>
    <t>We help families affected by #mentalhealth conditions find the resources they need. Mental health recovery is real #myMHrecovery</t>
  </si>
  <si>
    <t>http://www.rtor.org</t>
  </si>
  <si>
    <t>“Meditation for the Busy Woman”  meditation #stress mindfulness</t>
  </si>
  <si>
    <t>Dan Zen Carson</t>
  </si>
  <si>
    <t>🙏🏼Amazing #Health Benefits from Zen Meditation 🙏  #health #mindbody #mentalhealth #mind #body #stress #energy #yoga #meditation #Mindfulness #zen #Healing #healthy #relaxation #relaxing</t>
  </si>
  <si>
    <t>http://relaxingzenmusic.com/benefits-of-zen-meditation</t>
  </si>
  <si>
    <t>🎶Peaceful Zen Music for Relaxation, Meditation &amp; Sleep 🙏 Mind Body Healing : http://RelaxingZenMusic.com #ZenMusic</t>
  </si>
  <si>
    <t>http://relaxingzenmusic.com</t>
  </si>
  <si>
    <t>ATSCALE</t>
  </si>
  <si>
    <t>Have you heard about the new #NHS and Public Health England ‘Every Mind Matters’ campaign? Created to help you feel more in control, deal with stress and anxiety and improve your sleep. What a great idea. #Stress #Anxiety #GreatIdea #AtScale</t>
  </si>
  <si>
    <t>https://www.nhs.uk/oneyou/every-mind-matters/your-mind-plan-quiz/</t>
  </si>
  <si>
    <t>https://pbs.twimg.com/media/EOQlOA2WkAAczn-.png</t>
  </si>
  <si>
    <t>London &amp; Edinburgh</t>
  </si>
  <si>
    <t>ATSCALE supports the transformation of primary care. We build resilience, sustainability and accelerate at scale working in general practice.</t>
  </si>
  <si>
    <t>http://www.at-scale.co.uk</t>
  </si>
  <si>
    <t>Alice Benton</t>
  </si>
  <si>
    <t>https://pbs.twimg.com/media/EOQlFolWsAU8VUw.png</t>
  </si>
  <si>
    <t>Peterborough, England</t>
  </si>
  <si>
    <t>Director, At Scale Ltd - Former NHS Primary Care Commissioner - Passionate about primary care and its future sustainability</t>
  </si>
  <si>
    <t>https://pbs.twimg.com/media/EOQkpqVWAAI8j-f.jpg</t>
  </si>
  <si>
    <t>AlgaeCal</t>
  </si>
  <si>
    <t>If you’re dealing with something as emotionally draining as a disease such as osteoporosis, a #positive outlook can be a vital tool in your toolkit. ❤️ See 6 ways to overcome #stress and #anxiety from #osteoporosis:</t>
  </si>
  <si>
    <t>http://ow.ly/xnwu30lIyr2</t>
  </si>
  <si>
    <t>The ONLY calcium supplement proven to increase your bone density - at any age! AlgaeCal guarantees stronger bones on every scan for 7 straight years.</t>
  </si>
  <si>
    <t>https://www.algaecal.com</t>
  </si>
  <si>
    <t>Just Live SoCal</t>
  </si>
  <si>
    <t>Creating space for wellness in your life starts at home. Whether it’s a home gym, a dedicated room or even just a meditation corner, making space at home for these practices is key.  #wellness #stress #balancedlifestyle #home</t>
  </si>
  <si>
    <t>https://buff.ly/2tkFiU3</t>
  </si>
  <si>
    <t>https://pbs.twimg.com/media/EOQjmGXWsAA0gtA.jpg</t>
  </si>
  <si>
    <t>Southern California #realestate</t>
  </si>
  <si>
    <t>Employee Benefits</t>
  </si>
  <si>
    <t>As part of Mental Health Week, @AXAPPPhealth's Eugene Farell explains why tackling #stress must be top of the agenda for 2020:  #EBMentalHealth20</t>
  </si>
  <si>
    <t>https://employeebenefits.co.uk/eugene-farrell-stress-business-2020/</t>
  </si>
  <si>
    <t>https://pbs.twimg.com/media/EOQjgvKWkAEi0A3.jpg</t>
  </si>
  <si>
    <t>UK's premier information service for employee benefits. Includes website, conferences and events for reward, benefits and HR professionals.</t>
  </si>
  <si>
    <t>http://www.employeebenefits.co.uk</t>
  </si>
  <si>
    <t>Self Care Tips to #Stress Less in the New Year! #XenForMoreZen [ad]</t>
  </si>
  <si>
    <t>Forum with Professionals #Train yourself #Sustainable business and great leadership Habits are your autopilot for your business #money #success #relationship #communication #business #love #partnership #money #family #trust #career #stress #burnout #depression #anger #fear</t>
  </si>
  <si>
    <t>pic.twitter.com/4euRU7CBer</t>
  </si>
  <si>
    <t>CSAM San Diego</t>
  </si>
  <si>
    <t>"Women of the world, are you stressed out and worried? Do you find yourself up fretting at 4 a.m.? If so, you’re not alone!" Check out the latest @OTC_Psych episode, feat Dr. @jill_stoddard and her new book #BeMighty. #anxiety #stress #mindfulness</t>
  </si>
  <si>
    <t>http://ow.ly/V4iJ50xUGE8</t>
  </si>
  <si>
    <t>San Diego's daily dose of news, tips, trivia, inspiration &amp; laughs related to stress, anxiety, &amp; mental health from the Center for Stress &amp; Anxiety Management.</t>
  </si>
  <si>
    <t>http://csamsandiego.com</t>
  </si>
  <si>
    <t>Joanne McHale</t>
  </si>
  <si>
    <t>Really interesting training today, talking about mental health. Definitely made me think about the effects of #stress on our wellbeing not just mentally but physically! Mindfulness has always made me cringe a bit but now seriously considering giving it a shot! #MentalHealth</t>
  </si>
  <si>
    <t>All views are my own. Re-tweets not an endorsement.</t>
  </si>
  <si>
    <t>Sometimes it takes more strength than you have on one given day to make it through the day. Just breathe and take things slowly and you will make it. #SQUISHtheStigma #Anxiety #Stress #Depression #SquishSupport #MentalIllnessSupport #Squish</t>
  </si>
  <si>
    <t>https://pbs.twimg.com/media/EOQgmEsWAAAdEXK.jpg</t>
  </si>
  <si>
    <t>David Stanton</t>
  </si>
  <si>
    <t>At @NRFBigShow — #brand #trust, everyday #stress, and a desire for personal #authenticity are driving #consumer #retail decisions — Rachel Bonsignore of @GfK Consumer Life @IBMNews @NRFnews</t>
  </si>
  <si>
    <t>https://pbs.twimg.com/media/EOQgYesWkAciKlg.jpg</t>
  </si>
  <si>
    <t>Communications lead for @GfK in North America -- focused on #martech, #storytelling, #MRX, #innovation, #bigdata ... relishing this moment</t>
  </si>
  <si>
    <t>http://www.gfk.com/en-us</t>
  </si>
  <si>
    <t>Empowered Women's Circle</t>
  </si>
  <si>
    <t>It's no secret that long-term stress can have serious health consequences. How do you manage #stress?</t>
  </si>
  <si>
    <t>https://pbs.twimg.com/media/EOQgGblXsAASIBR.png</t>
  </si>
  <si>
    <t>Strengthen your Body🌸 Elevate your Mind 🌸 Nurture you Soul🌸 A Wellness Movement for Women https://www.facebook.com/empoweredwomens/</t>
  </si>
  <si>
    <t>http://linktr.ee/mpoweredcircle</t>
  </si>
  <si>
    <t>PeaceFires</t>
  </si>
  <si>
    <t>#FireElement can relieve #Stress, resolve difficult emotions, &amp; generate #PositiveEnergy #Unite in the #PeaceMovement</t>
  </si>
  <si>
    <t>http://peacefires.org</t>
  </si>
  <si>
    <t>https://pbs.twimg.com/media/EOQgE2NXkAAzWuN.jpg</t>
  </si>
  <si>
    <t>Around the world</t>
  </si>
  <si>
    <t>Global Movement uniting people to create an energetic shift in consciousness and positive energy for peace. Join the Movement. #PeaceFires</t>
  </si>
  <si>
    <t>http://www.peacefires.org</t>
  </si>
  <si>
    <t>Jacqueline Jardine</t>
  </si>
  <si>
    <t>Do you suffer with #Stress at work? If the answer is yes, these 7 steps could help to reduce your #StressLevels: 1. Take care of your body 2. Identify self-imposed stress 3. Minimise interruptions 4. Stop multi-tasking 5. Improve your workspace 6. Work from home 7. See friends</t>
  </si>
  <si>
    <t>https://pbs.twimg.com/media/EOQe5qwXUAEBhrp.jpg</t>
  </si>
  <si>
    <t>Director of Jardine-White Consulting Ltd; #HR &amp; #DevelopmentConsultant #ArtOfWork practioner &amp; #ExecutiveCoach; wife &amp; mum; love dancing and avid Strictly fan!</t>
  </si>
  <si>
    <t>A Texan’s Fitness w/ Tiffany Maurer</t>
  </si>
  <si>
    <t>New series of #blog posts, My #Crohn’s #Survival #Guide. The first post covers starting a #FOOD #JOURNAL!  #crohns #ibd #food #foodfear #foodjournal #atexansfitness #crohnsandcolitis #ibdwarrior #foodie #atx #lifecoach #lifecoaching #stress #anxiety</t>
  </si>
  <si>
    <t>http://atexansfitness.com/2020/01/14/food-journal/</t>
  </si>
  <si>
    <t>https://pbs.twimg.com/media/EOQesrZXUAAOsr3.jpg</t>
  </si>
  <si>
    <t>Certified Life Coach and Yoga Instructor 🧘‍♀️ Crohn’s Warrior 💪🏻 Austin, TX📍JOIN OUR BOOK CLUB 📚 DM or email for more info 📥 atexansfitness@gmail.com</t>
  </si>
  <si>
    <t>http://atexansfitness.com</t>
  </si>
  <si>
    <t>kaytlen castañon</t>
  </si>
  <si>
    <t>Last first day of nursing school and I already need 3 naps, 4 cups of coffee, and a 90 minute massage #Stress</t>
  </si>
  <si>
    <t>pic.twitter.com/HTyOYLKHpj</t>
  </si>
  <si>
    <t>Isaiah 40:29 | there’s just no telling how far I’ll go | single | IG: @ kat.the.bat</t>
  </si>
  <si>
    <t>03322497743 🌺 Full Body Massage Refreshes Before Your Daily Task's Trusted &amp; Secure Female To Male Full Body Massage Service in Karachi 🤩 Timing:12:00pmTo10:00pm #karachiMassageSalon #ThaiMassage #Spa #VictoriaMassageSalon #MassageSalon #StressFree #BeautifulLife #Stress</t>
  </si>
  <si>
    <t>https://pbs.twimg.com/media/EOQePf0XsAACgGP.jpg</t>
  </si>
  <si>
    <t>Practicing #yoga, and #meditation and learning breathing techniques at GleeYoga can help you manage your #stress better and feel and look #younger and more #rejuvenated:  #yoga #yogawisdom #safetheplanet #consciousness #health #TX</t>
  </si>
  <si>
    <t>https://pbs.twimg.com/media/EOQd_HUU8AAE3n7.png</t>
  </si>
  <si>
    <t>CohenVeteransNetwork</t>
  </si>
  <si>
    <t>As #militaryfamilies from our #Fayetteville community and nationwide are impacted by recent events, we remain at the ready to help. CVN exists to provide #mentalhealth care to help you through #deployments, transitions, grief, #stress, and more.</t>
  </si>
  <si>
    <t>https://pbs.twimg.com/media/EOQdxOtW4AcXTxm.jpg</t>
  </si>
  <si>
    <t>A not for profit philanthropic organization providing high-quality mental healthcare to veterans &amp; families w/low wait times. RT's &amp; likes are not endorsements.</t>
  </si>
  <si>
    <t>http://www.cohenveteransnetwork.org/</t>
  </si>
  <si>
    <t>RedCrow™</t>
  </si>
  <si>
    <t>There are approximately 160M Americans feeling elevated levels of stress on a daily basis. Look at Hoop's emotional support platform on RedCrow's Discover Supernovas and let us know what you think. #stress #mindfulness #health</t>
  </si>
  <si>
    <t>http://ow.ly/twuF50xOrIO</t>
  </si>
  <si>
    <t>https://pbs.twimg.com/media/EOQdHnAWoAEPgzp.png</t>
  </si>
  <si>
    <t>RedCrow is a direct investment &amp; marketing platform that connects financial &amp; human capital to innovative healthcare start-ups.</t>
  </si>
  <si>
    <t>http://redcrow.com</t>
  </si>
  <si>
    <t>Beth Frates, MD</t>
  </si>
  <si>
    <t>A healthy #lifestyle is not just about diet+exercise, it's also about cultivating high quality connections with people, reducing #stress with #mindfulness, deep breathing+ #meditation, getting restful #sleep, and expressing #gratitude. These things fuel your body, #mind+ spirit.</t>
  </si>
  <si>
    <t>https://pbs.twimg.com/media/EOQc8pwWoAcrbcF.jpg</t>
  </si>
  <si>
    <t>Lifestyle Medicine Pioneer, Author of #44 top 100 medicine books of all time, Speaker, Award Winning Teacher @harvardmed, Alumni @Harvard and @StanfordMed</t>
  </si>
  <si>
    <t>https://www.bethfratesmd.com/</t>
  </si>
  <si>
    <t>Life Savers ER</t>
  </si>
  <si>
    <t>More than 50% of comas are related to traumatic #stress or head injuries, which disturb the circulatory system in the brain. Besides, other problems can trigger coma, including swelling and bleeding in the brain, stroke, and #seizures. Seek immediate medical help immediately.</t>
  </si>
  <si>
    <t>https://pbs.twimg.com/media/EOQc7olXkAEaWD2.jpg</t>
  </si>
  <si>
    <t>Tomball, TX</t>
  </si>
  <si>
    <t>We are a team of health care providers dedicated to providing excellent and compassionate care.</t>
  </si>
  <si>
    <t>http://www.lifesaverser.com</t>
  </si>
  <si>
    <t>Centre for Grief and Healing (BFO-H/P)</t>
  </si>
  <si>
    <t>Teas to promote well being ☕ these are just some of our favourite teas that aid in calming, soothing, and reducing anxiety, depression and stress. What helps you when you're feeling overwhelmed? #Grief #Loss #Hope #Healing #Coping #Stress #Anxiety #Depression #Wellness #Tea</t>
  </si>
  <si>
    <t>https://pbs.twimg.com/media/EOQc1-0XkAA_oo7.jpg</t>
  </si>
  <si>
    <t>Mississauga, Ontario</t>
  </si>
  <si>
    <t>We provide free, compassionate, peer support to individuals and families who are dealing with the death of a loved one.</t>
  </si>
  <si>
    <t>http://www.bereavedfamilies.ca</t>
  </si>
  <si>
    <t>Olivier Schmouker</t>
  </si>
  <si>
    <t>Relaxing relieves #stress. Here’s the best way to do it...</t>
  </si>
  <si>
    <t>http://bit.ly/3a4k0L9</t>
  </si>
  <si>
    <t>Montréal (Canada)</t>
  </si>
  <si>
    <t>Chroniqueur au journal Les affaires [management &amp; économie]. Conférencier. Bestseller Amazon: «11 choses que Mark Zuckerberg fait autrement» (2016)</t>
  </si>
  <si>
    <t>http://www.lesaffaires.com/blogues/olivier-schmouker</t>
  </si>
  <si>
    <t>https://pbs.twimg.com/media/EOQcpUnW4AE_SXo.jpg</t>
  </si>
  <si>
    <t>HeartToHeartWithAnna</t>
  </si>
  <si>
    <t>📣 New Podcast! "Doctor Burnout in the Congenital Heart Defect Community" on @Spreaker #benson_henry_institute #compartmentalization #congenital_heart_defects #doctor_burnout #electronic_medical_records #emrs #frame_of_mind #frame_shift #stress</t>
  </si>
  <si>
    <t>https://www.spreaker.com/user/heart2heartannaandfriends/doctor-burnout-in-the-congenital-heart-d?autoplay=1</t>
  </si>
  <si>
    <t>Temple, Texas</t>
  </si>
  <si>
    <t>I am the Host of Heart to Heart with Anna and the producer of podcasts for the HUG Podcast Network. We provide resources for the CHD community.</t>
  </si>
  <si>
    <t>http://www.babyheartspress.com</t>
  </si>
  <si>
    <t>Anthony Gordon / Dr. Bloodcupping</t>
  </si>
  <si>
    <t>If you've tried surgery or medication and still have pain, or ongoing health concerns, like #stress or #depression, consider trying another method of healing. ⠀ ⠀ Every person is unique, so a remedy that may have worked for one person, may not be the best option for another.</t>
  </si>
  <si>
    <t>Smithtown, NY</t>
  </si>
  <si>
    <t>👨‍⚕️ Medical Director and Founder of Integrative Family Wellness in Smithtown. @Ifamilywellness Feel your best and be more productive with #acupuncture</t>
  </si>
  <si>
    <t>https://ifamilywellness.com/</t>
  </si>
  <si>
    <t>SOMCEO</t>
  </si>
  <si>
    <t>Preventing work-related #stress: An organisational approach | new one day course from The Society of Occupational Medicine ⁦@SOMNews⁩ ⁦@mentalhealth⁩ ⁦@mmhpi⁩ ⁦@City_MHA⁩ ⁦@mentalhealthuk⁩ ⁦@NHSHS_MH⁩ ⁦@FOMNews⁩</t>
  </si>
  <si>
    <t>https://www.som.org.uk/civicrm/event/info</t>
  </si>
  <si>
    <t>CEO of The Society for Occupational Medicine - for all health professionals. Join us to access a hi-impact journal, webinars, regional grps, events, e-news etc.</t>
  </si>
  <si>
    <t>http://www.som.org.uk</t>
  </si>
  <si>
    <t>Cheryl Fee</t>
  </si>
  <si>
    <t>Not the best of days today , seems I’ve got shingles! Here’s me trying to be healthy too. Of all the times to decide to go #sugarfree 😫. It’s one thing after another recently #passthechocolate #shingles #rundown #stress</t>
  </si>
  <si>
    <t>South Shields, England</t>
  </si>
  <si>
    <t>Wife, mother, daughter, auntie, friend, WI member &amp; Nana of 2! Life is what you make it'</t>
  </si>
  <si>
    <t>What I Learned From Building a Unicorn: Be Challenged, Not Stressed. - The American Institute of Stress  #Stress #Burnout #Boundaries #BreakfastLeadership</t>
  </si>
  <si>
    <t>http://ow.ly/QViJ30q9nAN</t>
  </si>
  <si>
    <t>CR New Hope Church</t>
  </si>
  <si>
    <t>Tonight at 7 pm! The Landing. A safe place for students in 6-12th grade to talk about life. #nhclanding #thelanding #teenissues #comefindhope #teenhelp #stress #selfharm #depression #anxiety #anger #bullying #loneliness #bodyissues #selfesteem</t>
  </si>
  <si>
    <t>https://pbs.twimg.com/media/EOQa0TEX4AAe2-x.jpg</t>
  </si>
  <si>
    <t>Lorton</t>
  </si>
  <si>
    <t>Celebrate Recovery at New Hope Church in Northern Virginia is a recovery community sharing the hope &amp; healing of Jesus through 12 Steps &amp; 8 Recovery Principles.</t>
  </si>
  <si>
    <t>http://cr.newhope.org</t>
  </si>
  <si>
    <t>Andrea Ramsay Speers</t>
  </si>
  <si>
    <t>#Stress from the holidays just catching up with you? I can help. #counselling in #oakville  #Psychotherapist</t>
  </si>
  <si>
    <t>http://ow.ly/HlnP30njxqo</t>
  </si>
  <si>
    <t>Oakville, Ontario</t>
  </si>
  <si>
    <t>Struggling with #parenting or #marriage issues, #anxiety, #depression or #stress? Looking for #counselling in #Oakville? I can help!</t>
  </si>
  <si>
    <t>http://www.oakvillefamilyinstitute.com</t>
  </si>
  <si>
    <t>The Coaching Island</t>
  </si>
  <si>
    <t>Reducing #stress helps your organization's bottom line and not just your employees' #wellbeing RT @BetterUp: Is stress hurting your company’s bottom line? Read this @hrdive brief to find out why reducing workplace stress won’t just make your employees happy, but will improve the health and well-being of your company, too  #workplacestress #employeewellness</t>
  </si>
  <si>
    <t>https://twitter.com/BetterUp/status/1217069021058695169
https://buff.ly/39OXGVV</t>
  </si>
  <si>
    <t>https://pbs.twimg.com/media/EOPl0xtXUAApJxA.jpg</t>
  </si>
  <si>
    <t>London &amp; The World</t>
  </si>
  <si>
    <t>⭐Wellbeing &amp; Transitions Coach ➡️Bespoke Coaching Programmes 📅Next Retreat: May 21-24, 2020 📍Lake Iseo, Italy -Find Out More👇 http://thecoachingisland.com/re</t>
  </si>
  <si>
    <t>http://www.thecoachingisland.com</t>
  </si>
  <si>
    <t>Reiki is being used in top #hospitals in the US to help patients. Now studies &amp; patients say it really helps. To book an in office #Reiki session, call or text 817-668-5382 or book online at  .  #ikevamack #stress #pain #dfw</t>
  </si>
  <si>
    <t>http://kevamack.com/book/
https://www.collective-evolution.com/2019/08/01/reiki-is-now-reaching-the-top-hospitals-in-the-us-heres-why/?fbclid=IwAR2Q-BCxPrYwGhSH9mvm7rBIw4Vue9eDCFE3NnGBnI9kTm19Lhe98ys0dGk</t>
  </si>
  <si>
    <t>QuaysClinic</t>
  </si>
  <si>
    <t>Need to eliminate stress symptoms? Consider using hypnosis and hypnotherapy for stress relief. Learn some stress management techniques today. Talk to hypnotist Ian Smith...  #hypnosis #stress #hypnotherapy #stressmanagement #stressrelief</t>
  </si>
  <si>
    <t>https://wp.me/PeAog-dj</t>
  </si>
  <si>
    <t>https://pbs.twimg.com/media/EOQXbO4WkAERPiU.jpg</t>
  </si>
  <si>
    <t>Newcastle upon Tyne.</t>
  </si>
  <si>
    <t>I'm a professional Hypnotherapist providing Hypnosis and Hypnotherapy. Check our website for complete details</t>
  </si>
  <si>
    <t>http://www.hypnosisnewcastle.co.uk</t>
  </si>
  <si>
    <t>The Love That Conquers FEAR and DEPRESSION ▸ | #cope #goals #stress #religion #hope #happy #t success</t>
  </si>
  <si>
    <t>http://dld.bz/dkwmG</t>
  </si>
  <si>
    <t>LearnedHealth.com</t>
  </si>
  <si>
    <t>Find out what  can do for you in a couple easy steps. From what to order to what the #results mean. Learn if your #fatigue is normal, is it just #stress or has an underlying #medical issue?</t>
  </si>
  <si>
    <t>http://learnedhealth.com</t>
  </si>
  <si>
    <t>https://pbs.twimg.com/media/EOQV-XuUwAA0I8u.png</t>
  </si>
  <si>
    <t>http://learnedhealth.com - Resources to help you make informed medical decisions. Identify Health Concerns, Order Your Lab Tests, Become a Healthier.</t>
  </si>
  <si>
    <t>https://learnedhealth.com/</t>
  </si>
  <si>
    <t>CIPHR HR software</t>
  </si>
  <si>
    <t>Your musculoskeletal health could be a warning sign for stress. Here's why  #mentalhealth #stress</t>
  </si>
  <si>
    <t>http://ow.ly/3VXP50xPa3t</t>
  </si>
  <si>
    <t>https://pbs.twimg.com/media/EOQV7L5WsAEdyRk.jpg</t>
  </si>
  <si>
    <t>Marlow, UK</t>
  </si>
  <si>
    <t>Provider of cloud-based HR, payroll, recruitment &amp; learning software, helping you securely connect people data across your organisation 📩 info@ciphr.com</t>
  </si>
  <si>
    <t>http://www.ciphr.com</t>
  </si>
  <si>
    <t>Whether it is pressure at work, tension at home, or anxiety at the bank, #stress affects everyone. It's important that stress be managed, rather than ignored. A lack of coping strategies has serious consequences for your #health #stressLess #mentalhealth</t>
  </si>
  <si>
    <t>https://pbs.twimg.com/media/EOQVyz7UwAIfkgX.jpg</t>
  </si>
  <si>
    <t>Find a way to find joy in your life right now. Now is all any of us have and we owe it to ourselves to not waste it. #happiness #stress #time</t>
  </si>
  <si>
    <t>https://goo.gl/1LC5mr</t>
  </si>
  <si>
    <t>https://pbs.twimg.com/media/EOQVx9RUUAEaDWr.png</t>
  </si>
  <si>
    <t>ET Panache</t>
  </si>
  <si>
    <t>According to the World Health Organization, #burnout results from chronic #WorkplaceStress that has not been successfully managed. #Stress</t>
  </si>
  <si>
    <t>http://bit.ly/2NrYiqJ</t>
  </si>
  <si>
    <t>Follow @ETPanache for the latest on #fashion, #tech, #celebrities, #healthyliving, #lifelessons, #entertainment &amp; more! A Times Internet Product</t>
  </si>
  <si>
    <t>http://economictimes.indiatimes.com/panache</t>
  </si>
  <si>
    <t>Zesty Change</t>
  </si>
  <si>
    <t>https://pbs.twimg.com/media/EOQUqUWXsAEnm3t.jpg</t>
  </si>
  <si>
    <t>I inspire women 40 and beyond to live an even more zesty life. I provide inspiration and helpful tips for you to live a healthy life. 📸</t>
  </si>
  <si>
    <t>Debt Relief Negotiation &amp; Consolidation Services</t>
  </si>
  <si>
    <t>Our #DebtRelief Programs are meant to bring you Relief from financial #stress:  #financialawareness #money #debtmanagement #financialindependence #Levittown Give us a call at 516-425-7091 for a free consultation on how to reach #financialfreedom</t>
  </si>
  <si>
    <t>http://debtreliefnewyorker.com/debtconsolidation/portfolio/financial-freedom</t>
  </si>
  <si>
    <t>https://pbs.twimg.com/media/EOQTrklUUAAwb8U.png</t>
  </si>
  <si>
    <t>#NewYorkers deserve access to real and practical solutions for debt relief, negotiation, and consolidation options. That's what we do. Call us: (516) 425-7091</t>
  </si>
  <si>
    <t>https://debtreliefnewyorker.com</t>
  </si>
  <si>
    <t>jennyrapp</t>
  </si>
  <si>
    <t>Tuesday - Stress: How to handle technology to reduce stress:  Inspiration in psychology at  Courses in in effective stress management, healing exhaustion and strengthening self-esteem at  #exhaustion #stress</t>
  </si>
  <si>
    <t>https://www.instagram.com/p/B7Sgq-gBCiI/
https://www.jennyrapp.com/
https://www.jennyrappbefree.com/</t>
  </si>
  <si>
    <t>pic.twitter.com/gVDrDvHfAY</t>
  </si>
  <si>
    <t>Sweden</t>
  </si>
  <si>
    <t>Swedish licensed psychologist, psychotherapist &amp; clinical specialist in CBT, IPT and PDT, providing inspiration and exercises in how to be free with psychology</t>
  </si>
  <si>
    <t>http://www.jennyrapp.com</t>
  </si>
  <si>
    <t>Defying Depression</t>
  </si>
  <si>
    <t>Your Health Can Be Affected By The Holiday Rush  #stress</t>
  </si>
  <si>
    <t>https://www.psychologytoday.com/us/blog/the-resilient-brain/201701/your-health-can-be-affected-the-holiday-rush</t>
  </si>
  <si>
    <t>Online resources for beating your anxiety and depression.</t>
  </si>
  <si>
    <t>http://defyingdepression.com</t>
  </si>
  <si>
    <t>Int'l Rehabilitation Consultants/SCC</t>
  </si>
  <si>
    <t>Stress Management for Caregivers - Sheila Longpré | MedBridge  via @YouTube #stress #caregivers #caregiving #eldercare #caregiverburnout @world_caregiver @CaregiversShare @ShareThis</t>
  </si>
  <si>
    <t>https://youtu.be/3rij-Xl93rg</t>
  </si>
  <si>
    <t>Ridgway, Co.</t>
  </si>
  <si>
    <t>IRC/SCC offers tailored educational programs in #rehabilitation #nursing through Dr. Kristen Mauk, PhD, DNP, RN, CRRN, GCNS-BC, GNP-BC, FAAN #legalconsulting</t>
  </si>
  <si>
    <t>http://www.seniorcarecentral.com</t>
  </si>
  <si>
    <t>Regenerative Medical Group</t>
  </si>
  <si>
    <t>Pain in the lower abdomen and bloating: What to know?  Visit our website to know more :  #stomachbulge #stomach #TuesdayThoughts #Abdomen #painrelief #stress #stressrelief #Swallows #healthy #HealthyFood</t>
  </si>
  <si>
    <t>http://news.regenerativemedgroup.com/pain-in-the-lower-abdomen-and-bloating-what-to-know-2/
https://regenerativemedgroup.com</t>
  </si>
  <si>
    <t>https://pbs.twimg.com/media/EOQTRxsU0AEaLM7.jpg</t>
  </si>
  <si>
    <t>Orange, CA</t>
  </si>
  <si>
    <t>RMG is an innovative group of multifaceted clinicians aiming to provide well-rounded and effective care for our patients</t>
  </si>
  <si>
    <t>https://www.regenerativemedgroup.com/</t>
  </si>
  <si>
    <t>Ann Musico</t>
  </si>
  <si>
    <t>We have the great ability to affect our immune system by what we think. #stress #thoughts</t>
  </si>
  <si>
    <t>Upstate NY</t>
  </si>
  <si>
    <t>Holistic Health Coach. FREE 7 Days to Feeling Great http://goo.gl/xrq1lw</t>
  </si>
  <si>
    <t>http://www.threedimensionalvitality.com</t>
  </si>
  <si>
    <t>If you have Stress and Anxiety #health #wellness #chiropractic #stress #anxiety @DHWBroomfield</t>
  </si>
  <si>
    <t>https://pbs.twimg.com/media/EOQRmm8WkAM_dH3.jpg</t>
  </si>
  <si>
    <t>Discover Health &amp; Wellness Aurora</t>
  </si>
  <si>
    <t>Treatment options for stress-related back pain #health #wellness #chiropractic #stress #backpain @DHWAurora</t>
  </si>
  <si>
    <t>https://pbs.twimg.com/media/EOQRIseXsAAN9tk.jpg</t>
  </si>
  <si>
    <t>Aurora, Colorado</t>
  </si>
  <si>
    <t>Dr. Aaron Hancock is an Aurora, Colorado-based chiropractor at Discover Health &amp; Wellness located at E Belleview Avenue and Parker Road</t>
  </si>
  <si>
    <t>http://auroracoloradochiro.com</t>
  </si>
  <si>
    <t>UCS Hampstead</t>
  </si>
  <si>
    <t>Call it food for thought? Great hearing @UCSActive's #nutrition expert Dylan Karger speak to @UCSSixthform pupils on the benefits of eating clean to not only stay physically healthy but to help reduce #stress and enhance #academic performance. #makebetterchoices 🍎🍌🥕🥑🥗</t>
  </si>
  <si>
    <t>https://pbs.twimg.com/media/EOQQ33_XsAIbIvi.jpg</t>
  </si>
  <si>
    <t>Senior school and co-ed 6th Form based on the principles of intellectual curiosity, breadth of study and independence of mind. See us on Instagram &amp; Pinterest.</t>
  </si>
  <si>
    <t>http://www.ucs.org.uk</t>
  </si>
  <si>
    <t>Accumulating evidence shows that mindfulness practice could help us unlearn fear responses we’ve developed over the years. #anxiety #ptsd #stress #mindfulness #changingbrainhealth #mentalhealth #psychology #depression</t>
  </si>
  <si>
    <t>https://hubs.ly/H0myktj0</t>
  </si>
  <si>
    <t>Kari Roulet-Little</t>
  </si>
  <si>
    <t>The pantry is right next to the room where I sleep My dad’s going through the pantry all angry cause he’s judgy and super anal retentive about food and life and whatever It’s gonna be a 3-Ativan day #stress #AnxietyFeelsLike #anxiety #family #food #intolerance</t>
  </si>
  <si>
    <t>in the frozen north.</t>
  </si>
  <si>
    <t>Car-ee. 25% Ruby anger, 25% Pearl anxiety, 25% Amethyst confidence issues and 25% Greg depression, all wrapped up in a socially-awkward package.</t>
  </si>
  <si>
    <t>CMHA Calgary</t>
  </si>
  <si>
    <t>#DYK that #Stress is more than an emotional response? Stress can take on mental, physical, behavioral, and emotional forms. Here’s a breakdown of how they look and what you can do about it.</t>
  </si>
  <si>
    <t>http://ow.ly/gyhH30q9ceb</t>
  </si>
  <si>
    <t>https://pbs.twimg.com/media/EOQQE9GX4AA6LyH.jpg</t>
  </si>
  <si>
    <t>Calgary, Alberta</t>
  </si>
  <si>
    <t>Providing mental health and substance use programs and services, education, and support for individuals and families.</t>
  </si>
  <si>
    <t>http://www.cmha.calgary.ab.ca</t>
  </si>
  <si>
    <t>High stress, higher health risks: Burnout linked to potentially deadly irregular heartbeat, study finds.  #burnout #stress #work #jobs #career #anxiety</t>
  </si>
  <si>
    <t>https://www.cnn.com/2020/01/13/health/burnout-linked-to-atrial-fibrillation-wellness/index.html?utm_campaign=KHN%3A%20Daily%20Health%20Policy%20Report&amp;utm_source=hs_email&amp;utm_medium=email&amp;utm_content=81882222&amp;_hsenc=p2ANqtz-9IHeNLbRRTQ1nQh0vT3-zQPqr1PRsZxILs-Spt1nWwGy4g9Rlzz7JGZtPa4Wl9n0Lu8mCUfCKSNgG7Bffhi8xQxWVXRg&amp;_hsmi=81882222</t>
  </si>
  <si>
    <t>vitality360</t>
  </si>
  <si>
    <t>Check out our article on overhwelm too  #stress #wellbeing #selfcare #worklife #WorkLifeBalance RT @CanadaLifeGrpUK: UK Productivity Severely Impacted by Stress and Anxiety</t>
  </si>
  <si>
    <t>https://buff.ly/2uzDuqP
https://twitter.com/CanadaLifeGrpUK/status/1215218510768562176
https://www.canadalife.co.uk/news/uk-productivity-severely-impacted-by-stress-and-anxiety</t>
  </si>
  <si>
    <t>Are you struggling with constant pain? Are you debilitated by persistent tiredness and fatigue? Can you barely think straight? Then we can help!</t>
  </si>
  <si>
    <t>http://vitality360.co.uk</t>
  </si>
  <si>
    <t>Maggie McCarthy</t>
  </si>
  <si>
    <t>Train as a Stress Management Trainer by Distance Learning -#Stress</t>
  </si>
  <si>
    <t>http://bit.ly/2Tw58vM</t>
  </si>
  <si>
    <t xml:space="preserve">U.K. &amp; Worldwide </t>
  </si>
  <si>
    <t>Enabling others to add #StressManagement Training to their helping skills since 1995. Director of The Stress Management Institute, U.K.</t>
  </si>
  <si>
    <t>http://www.stressmanagementtrainingbiz.com</t>
  </si>
  <si>
    <t>Katie Uhran</t>
  </si>
  <si>
    <t>Stress Messes With Your Sex Hormones: These RD-Approved Foods Can Help  via @mindbodygreen #food #nutrition #stress #hormones</t>
  </si>
  <si>
    <t>https://www.mindbodygreen.com/articles/5-ways-stress-messes-with-your-hormones-which-foods-can-help</t>
  </si>
  <si>
    <t>Charleston, SC</t>
  </si>
  <si>
    <t>I’m a fitness and lifestyle influencer who’s passionate about running, yoga, writing, food, and inspiring others to live their happiest life inside and out.</t>
  </si>
  <si>
    <t>http://katieuhran.com</t>
  </si>
  <si>
    <t>MetalRabbit13</t>
  </si>
  <si>
    <t>How #Stress Affects Your #Skin - Best #Skincare Routines for Stress</t>
  </si>
  <si>
    <t>https://www.marieclaire.com/beauty/a30243066/best-products-dryness-aging-redness/</t>
  </si>
  <si>
    <t>Maryland, USA</t>
  </si>
  <si>
    <t>Ascension is now. Book lover, TV addict 😳, companion of a Quaker Parrot &amp; relentless optimist. 🤗 Be blessed.</t>
  </si>
  <si>
    <t>The Actually</t>
  </si>
  <si>
    <t>If you think everyone is behind on something, well, you’re probably more likely to be lenient with yourself and get behind as well. Read more 👉  #Procrastination #Stress #Productivity</t>
  </si>
  <si>
    <t>https://lttr.ai/MJyT</t>
  </si>
  <si>
    <t>https://pbs.twimg.com/media/EOQN_ZeWkAACOFt.png</t>
  </si>
  <si>
    <t>Writing about Self-Actualization for Actual People. I believe you can be both ambitious and mindful. Learn more @ http://www.theactually.com</t>
  </si>
  <si>
    <t>Lea McLeod</t>
  </si>
  <si>
    <t>"The greatest weapon against stress is our ability to choose..."  via @BrainyQuote #stress #quote #strategy</t>
  </si>
  <si>
    <t>http://po.st/doI3m6</t>
  </si>
  <si>
    <t>Greatest City in the World</t>
  </si>
  <si>
    <t>Interview Better: I teach you how to talk about yourself ● Strategy + Confidence for your Job Search+Career ● College Grad Resume Ecourse ● NYC+Oregon</t>
  </si>
  <si>
    <t>http://www.leamcleod.com</t>
  </si>
  <si>
    <t>stacey miller</t>
  </si>
  <si>
    <t>ChatHealth is a text messaging services that supports #youngpeople in #hampshire and is run by school nurses. It's available Monday to Friday from 9am-4.30pm and the number is 07507 332160 #anxiety #selfharm #mentalhealth #substancemisuse #stress #relationships</t>
  </si>
  <si>
    <t>Hampshire, England</t>
  </si>
  <si>
    <t>Education and training consultant specialising in substance misuse, mental health and domestic abuse. Also a proud Time to Change champion!</t>
  </si>
  <si>
    <t>http://www.staceymillerconsultancy.co.uk</t>
  </si>
  <si>
    <t>Paranormal Psychic</t>
  </si>
  <si>
    <t>Finding that the family is not connected enough? #stressfree #stressrelief #stress #pranichealing #mcks</t>
  </si>
  <si>
    <t>https://pbs.twimg.com/media/EOQI-F8X4AYuxvc.jpg</t>
  </si>
  <si>
    <t>Paranormal Activity Psychic ESP Clairvoyant Ghostly Angels. Real or Myth?</t>
  </si>
  <si>
    <t>https://www.twitter.com/ParanormPsychic</t>
  </si>
  <si>
    <t>WestSpace</t>
  </si>
  <si>
    <t>Click here to read this month's Westspace newsletter on self-help and groups -  #WestLothian #mentalhealth #wellbeing #support #selfhelp #groups #stress</t>
  </si>
  <si>
    <t>https://bit.ly/2uGDQf8</t>
  </si>
  <si>
    <t>https://pbs.twimg.com/media/EOQIjWvXsAAIuUA.jpg</t>
  </si>
  <si>
    <t>West Lothian</t>
  </si>
  <si>
    <t>West Lothian's online source of mental health and wellbeing information. Managed by @Health_in_Mind. Retweets are not endorsements.</t>
  </si>
  <si>
    <t>MTV Lebanon News</t>
  </si>
  <si>
    <t>Feeling #Exhausted and #Irritable ‘Increases Risk of Deadly Heart Condition by Fifth’  #Health #stress</t>
  </si>
  <si>
    <t>https://bit.ly/30inrJA</t>
  </si>
  <si>
    <t>https://pbs.twimg.com/media/EOPz1l_XsAA2i0v.jpg</t>
  </si>
  <si>
    <t>Naccache, Lebanon</t>
  </si>
  <si>
    <t>... and will always be the voice of freedom ... Follow @MTVLebanon for Updates on our programs.</t>
  </si>
  <si>
    <t>https://www.mtv.com.lb/</t>
  </si>
  <si>
    <t>In the Madison, Milwaukee, #Wisconson area? You're invited to attend our live events to learn how we're disrupting the #wellness industry by addressing #guthealth #gutbrainaxis Dealing with #stress #overwhelm #insomnia #digestive #energy issues? This is for you. Ask 4deets.</t>
  </si>
  <si>
    <t>https://pbs.twimg.com/media/EOQGv18XUAEZpZw.jpg</t>
  </si>
  <si>
    <t>UMass Psychiatry</t>
  </si>
  <si>
    <t>Fight #stress with #healthyhabits. 10 tips from @American_Heart Association</t>
  </si>
  <si>
    <t>https://www.heart.org/-/media/aha/h4gm/pdf-files/fightstressinfographic_bewell.pdf?la=en&amp;hash=352EF2206AA477DA2A07CF6573EFCE5DC49B718B</t>
  </si>
  <si>
    <t>https://pbs.twimg.com/media/EOQGYUWX4AArkmq.jpg</t>
  </si>
  <si>
    <t>Worcester, MA</t>
  </si>
  <si>
    <t>We are the national leader in public sector psychiatry. The largest provider of psychiatric service in Central Massachusetts, with 300+ faculty and 2000 staff.</t>
  </si>
  <si>
    <t>http://www.umassmed.edu/psychiatry</t>
  </si>
  <si>
    <t>Chase Mielke</t>
  </si>
  <si>
    <t>My latest, via @ASCD  #burnout #stress #teaching #teacherlife #education</t>
  </si>
  <si>
    <t>pic.twitter.com/JNCJ4oi7se</t>
  </si>
  <si>
    <t>🎤Educational Speaker and Trainer 📔Author of The Burnout Cure: Learning to Love Teaching Again</t>
  </si>
  <si>
    <t>http://affectiveliving.com</t>
  </si>
  <si>
    <t>Gina Marie Wilson</t>
  </si>
  <si>
    <t>First acknowledge your #stress, then be open to learning from it. RT @TEDTalks: Stress is unavoidable. Here's how to change the way you handle it:</t>
  </si>
  <si>
    <t>Management Consultant, Professional Development and Executive Coach. Offering the 'Skills That Build' leadership development series.</t>
  </si>
  <si>
    <t>http://systemstrategiesconsulting.com</t>
  </si>
  <si>
    <t>edgenies</t>
  </si>
  <si>
    <t>"This involves providing what a buyer wants when he/she wants it."  #Elearning #Edgenies #Training #Psychology #marketing #Twitter #Onlinecourses #Skills #Courses #Adulteducation #Stress #Newskills #salesprofessionials #sales</t>
  </si>
  <si>
    <t>https://edgenies.com/5-must-have-skills-required-for-sales-professionals/</t>
  </si>
  <si>
    <t>https://pbs.twimg.com/media/EOQFOP3W4AIfiHk.jpg</t>
  </si>
  <si>
    <t>Online Course Platform. Your Future Starts Here! Sign Up For A Free Account Today. #onlinecourses #courses #training #adulteducation #education #skills</t>
  </si>
  <si>
    <t>https://edgenies.com</t>
  </si>
  <si>
    <t>ridvan</t>
  </si>
  <si>
    <t>How to Overcome Travel Anxiety: Symptoms, tips👇👇👇  #anxiety #depression #ptsd #mentalillness #selfcare #stress #vacation #trips</t>
  </si>
  <si>
    <t>http://www.mytripsvel.com/travel-anxiety/</t>
  </si>
  <si>
    <t>https://pbs.twimg.com/media/EOQEwbYWkAEr8gz.jpg</t>
  </si>
  <si>
    <t>Traveling the world can be the dream of people. Therefore, at "mytripsvelcom" we aim to ensure that people can easily access all sites from a single source.</t>
  </si>
  <si>
    <t>http://mytripsvel.com</t>
  </si>
  <si>
    <t>"Passive calm, refers to we cannot resist when our rights and interests are violated or we want to make a revolt but lack of effective methods and means."  #Cognition #Brain #Stress</t>
  </si>
  <si>
    <t>https://rplg.co/d07bc840</t>
  </si>
  <si>
    <t>https://pbs.twimg.com/media/EOQDFg9XsAEoyLr.jpg</t>
  </si>
  <si>
    <t>Lesley Reynolds</t>
  </si>
  <si>
    <t>Help.....meeeeeeee...... #stress #morestress #abitmorestress</t>
  </si>
  <si>
    <t>Between planets.....</t>
  </si>
  <si>
    <t>Middle of the pack road runner, wannabe hill runner, stubborn ultra runner, and massive Elbow fan.....</t>
  </si>
  <si>
    <t>http://lesleyrunningstuff.blogspot.com/</t>
  </si>
  <si>
    <t>Eastspace</t>
  </si>
  <si>
    <t>Click here to read this month's Eastspace newsletter on self-help and groups -  #Selfhelp #groups #mentalhealth #wellbeing #stress #EastLothian</t>
  </si>
  <si>
    <t>https://bit.ly/2FN2Bst</t>
  </si>
  <si>
    <t>https://pbs.twimg.com/media/EOQCcRyW4AYO-sy.jpg</t>
  </si>
  <si>
    <t>East Lothian</t>
  </si>
  <si>
    <t>East Lothian's online source of mental health and wellbeing information. Managed by @Health_in_mind. Retweets are not endorsements.</t>
  </si>
  <si>
    <t>http://eastspace.org.uk</t>
  </si>
  <si>
    <t>FreeWellnessPlatform.com</t>
  </si>
  <si>
    <t>Flying kites reduces #stress, mood swings, better #eyehealth &amp; focus while spending time with loved ones &amp;amp; nature. #kitefestival2020 #corporatewellness #healthylifestyle #workplacewellness #employeeengagement #wellnessprograms #Wellbeing #holistichealth #wellness #kitefestival</t>
  </si>
  <si>
    <t>https://pbs.twimg.com/media/EOQBavRWsAEUwkp.jpg</t>
  </si>
  <si>
    <t>19266 Coastal Hwy, Unit 4-1094,, Rehoboth Beach, Delaware 19971, US</t>
  </si>
  <si>
    <t>Corporate Wellness, Employee Engagement, Social Wellness, Wellness Technology Provider</t>
  </si>
  <si>
    <t>http://www.FreeWellnessPlatform.com</t>
  </si>
  <si>
    <t>Tegan Trovato - CPC, PCC</t>
  </si>
  <si>
    <t>Feeling anxious? Time to pause the pattern, name the trap and separate FUD from fact. @sabinanawaz shares these and more strategies to free ourselves from anxiety in this @HarvardBiz article.  #stress #anxiety #stressmanagement</t>
  </si>
  <si>
    <t>http://bit.ly/2FrUBwI</t>
  </si>
  <si>
    <t>Executive &amp; Team Coach | Forbes Blogger | Founder of Bright Arrow | The Life and Leadership Podcast</t>
  </si>
  <si>
    <t>http://www.brightarrowcoaching.com</t>
  </si>
  <si>
    <t>Wellness 360</t>
  </si>
  <si>
    <t>https://pbs.twimg.com/media/EOQBTNSXkAAmQIU.jpg</t>
  </si>
  <si>
    <t>http://wellness360.co</t>
  </si>
  <si>
    <t>Depression Tipster</t>
  </si>
  <si>
    <t>Tips to Manage Stress for Better Health | HealthCentral  #stress #depression #mentalhealth #mentalhealthawareness #anxiety #help #health #wellness #treatment #healthylifestyle #healthandwellness #healthjourney #journeytohealth #livingwell</t>
  </si>
  <si>
    <t>https://buff.ly/2Jp9i5a</t>
  </si>
  <si>
    <t>https://pbs.twimg.com/media/EOQBRdPWkAAb86U.jpg</t>
  </si>
  <si>
    <t>Across USA</t>
  </si>
  <si>
    <t>Spreading love, hope, and understanding to those who need it. Connecting teens and adolescents suffering from #Depression with nationwide #clinicaltrials.</t>
  </si>
  <si>
    <t>Jamie Sussel Turner</t>
  </si>
  <si>
    <t>Want to get better at handling stress in 2020? Check out my interview on Princeton TV. From tax to public speaking to health stress, get real tips. #stressmanagement #cognidiettvshow #stress #lessstresslife</t>
  </si>
  <si>
    <t>https://vimeo.com/380529977</t>
  </si>
  <si>
    <t>https://pbs.twimg.com/media/EOQA_bQX4AAuubL.jpg</t>
  </si>
  <si>
    <t>Sea Bright, New Jersey</t>
  </si>
  <si>
    <t>Award-winning author on a mission to help you have less stress and more joy. Being stress free is not an option. What's optional is how you handle stress.</t>
  </si>
  <si>
    <t>http://www.LessStressCoach.com</t>
  </si>
  <si>
    <t>The Health Tree, LLC</t>
  </si>
  <si>
    <t>Pure essence Ionic mineral powders #electrolytes #energy #sleep #sugarfree #muscles #heart #bones #stress #bloodpressure #heartrhythm #cramps #spasm #seizure #turret #musclecramps #charliehorse</t>
  </si>
  <si>
    <t>https://www.instagram.com/p/Bl8tDpFBwuz/?igshid=18sgacqfde4l6</t>
  </si>
  <si>
    <t xml:space="preserve"> 240 S. WHP, 08037</t>
  </si>
  <si>
    <t>The Health Tree provides all-natural vitamins, minerals, and herbs to Hammonton, NJ. Call 609-561-8316 for your natural supplement needs.</t>
  </si>
  <si>
    <t>https://www.facebook.com/pages/The-Health-Tree/255683209471</t>
  </si>
  <si>
    <t>Scott Wintrip</t>
  </si>
  <si>
    <t>https://pbs.twimg.com/media/EOQAruhXUAEfWed.jpg</t>
  </si>
  <si>
    <t>St. Petersburg, Florida</t>
  </si>
  <si>
    <t>Keynote Speaker on hiring, staffing, &amp; recruitment | Author of "High Velocity Hiring" | Strategist for eliminating the stress &amp; overwhelm of recruiting &amp; hiring</t>
  </si>
  <si>
    <t>http://wintripconsultinggroup.com/</t>
  </si>
  <si>
    <t>Maria Hussain</t>
  </si>
  <si>
    <t>Maria's Daily Feng Shui Tip: Remove anything that's creating a feeling of pressure or chaos in your bedroom - too many books or photos, not enough light or comfort. It affects your emotional health. #emotionalintelligence #stress #Anxiety #Wellbeing</t>
  </si>
  <si>
    <t>https://pbs.twimg.com/media/EOQAk06VUAIRIaj.jpg</t>
  </si>
  <si>
    <t>Feng Shui Entrepreneur▪ Relationship Expert▪ Lifecoach ▪ Mentor▪ Motivational Speaker &amp;Advisor▪Consultant ▪</t>
  </si>
  <si>
    <t>http://www.bhcfengshui.com</t>
  </si>
  <si>
    <t>SuccessNeurons team</t>
  </si>
  <si>
    <t>10 Years Ago I Collapsed From Burnout and Exhaustion, And It’s The Best Thing That Could Have… by @ariannahuff  #burnout #stress</t>
  </si>
  <si>
    <t>https://link.medium.com/CgQIJzChe3</t>
  </si>
  <si>
    <t>#SocialPsychology #PositivePsychology #NeuralNetworks #DeepLearning #ArtificialIntelligence #FOW #HRTransformation</t>
  </si>
  <si>
    <t>An energy booster, this scent invigorates the mind, promotes concentration and stimulates clear thinking.  #aromatherapy #essentialoils #stress #anxiety #insomnia #mood #mind #healing #wellness #airfreshener #health #natural #youngliving #airwick #glade</t>
  </si>
  <si>
    <t>http://dld.bz/gAWnT</t>
  </si>
  <si>
    <t>https://pbs.twimg.com/media/EOQAFA5WoAIS9zm.jpg</t>
  </si>
  <si>
    <t>Andre Betancourt</t>
  </si>
  <si>
    <t>https://kingsumo.com/g/9agctd/giveaway-january-2020/1yk5o8l</t>
  </si>
  <si>
    <t>I love fishing, camping &amp; enjoying the great outdoors!</t>
  </si>
  <si>
    <t>VULSINI</t>
  </si>
  <si>
    <t>Stretching is one of the easiest ways to feel better about yourself yet few of us set aside time to do so on a regular basis. Include #stretching into your daily routine &amp; see how it can benefit you.  #wellbeing #stress #energy</t>
  </si>
  <si>
    <t>http://ed.gr/b42wu</t>
  </si>
  <si>
    <t>https://pbs.twimg.com/media/EOP_TyRWsAIajC_.jpg</t>
  </si>
  <si>
    <t>We've made hot stone and warm bamboo massage therapy hot + mobile! 🎋🌋 To buy the VULSINI Heating Bags - visit our website: http://www.vulsini.com</t>
  </si>
  <si>
    <t>http://vulsini.com</t>
  </si>
  <si>
    <t>🇮🇳 MIHIR 🇮🇳</t>
  </si>
  <si>
    <t>How to get away from #Worry and #Stress in Three Steps: 1. Ask yourself: What's the worst case scenario? 2. Accept the worst case scenario as a possibility 3. Ask yourself: How will I move forward if the worst does happen? There's real power in facing the worst</t>
  </si>
  <si>
    <t>MUMBAI,  India</t>
  </si>
  <si>
    <t>.....Human Being.....</t>
  </si>
  <si>
    <t>Michael A. Gregory</t>
  </si>
  <si>
    <t>Check out my latest article: This is how to manage stress for attorneys, accountants, appraisers and business owners  via @LinkedIn #stress #stressmanagement #colaboration #conflictresolution #healthandwellbeing</t>
  </si>
  <si>
    <t>https://www.linkedin.com/pulse/how-manage-stress-attorneys-accountants-appraisers-michael-mike-</t>
  </si>
  <si>
    <t>Roseville, MN</t>
  </si>
  <si>
    <t>Mike Gregory is the author of 11 books and over 35 articles. See professional speaking topics at http://collabeffect.com and ADR with IRS and others at http://mikegreg.com.</t>
  </si>
  <si>
    <t>http://mikegreg.com</t>
  </si>
  <si>
    <t>Diana Fletcher</t>
  </si>
  <si>
    <t>I love these ideas! #stressreducing #reduceyourstress #stress RT @balance2018: We all have to deal with stress in our lives. For some, it is occasional but for others, it's a daily grind. Here are 16 different antidotes to stress that are easy to incorporate into your life. Let us know your thoughts and feel free to share with others.</t>
  </si>
  <si>
    <t>https://twitter.com/balance2018/status/1216766902917312512</t>
  </si>
  <si>
    <t>https://pbs.twimg.com/media/EOLTC_6X4AACKiR.jpg</t>
  </si>
  <si>
    <t>HappyWriter,Activist,LifeCoach😊 http://tinyurl.com/oqdutcw http://instagram.com/dicoach/ http://pinterest.com/dicoach #BEKIND #writingcommunity she/her</t>
  </si>
  <si>
    <t>http://www.dianafletcher.com</t>
  </si>
  <si>
    <t>JeanClaude</t>
  </si>
  <si>
    <t>A #HealthyLifestyle! Create yours today for #Optimal #Health and #DiseasePrevention! #Diet - #Omega3 based. #Fitness - 20 mins per day. Lower #stress and #sleep 7+ hrs! #Goal achieved.</t>
  </si>
  <si>
    <t>https://pbs.twimg.com/media/EOP8rjtU4AAMUid.jpg</t>
  </si>
  <si>
    <t>Global USA 🇺🇸 AUSTRALIA 🇦🇺</t>
  </si>
  <si>
    <t>Owner @ The Health &amp; Fitness Center *Nutrition Lifestyle Fitness Expert* #BrainHealth #Omega3 #DiseasePrevention #HealthTips #Alzheimers #Fitness #Diet</t>
  </si>
  <si>
    <t>https://www.linkedin.com/in/jean-claude-morris-a9337914</t>
  </si>
  <si>
    <t>CrimsonBow Sickle Cell Initiative</t>
  </si>
  <si>
    <t>May we not owe the bank of our health. #crimsonbowscinitiative #sicklecell #health #bank #debt #quote #sayings #stress #sleepless #healthy #healthylifestyle</t>
  </si>
  <si>
    <t>https://www.instagram.com/p/B7Tb90tFS5A/?igshid=1o0rz25iv77sq</t>
  </si>
  <si>
    <t>Nigeria</t>
  </si>
  <si>
    <t>We seek to reach out to people whose lives have been affected by the Sickle Cell condition, either directly (sufferers) or indirectly (have a sufferer)</t>
  </si>
  <si>
    <t>http://linktr.ee/crimsonbowscinitiative</t>
  </si>
  <si>
    <t>Rebecca_tweets 🌺🌷🌹</t>
  </si>
  <si>
    <t>#stress someone... Help!😩😩😩</t>
  </si>
  <si>
    <t>https://pbs.twimg.com/media/EOP8BsSUYAMZygX.jpg</t>
  </si>
  <si>
    <t>🕯🕯🕯A rich heart is most divine ❤❤❤Spread 💚 n 🙏🏻 Music Movies Media 🎧🎤🎬 ✨Magical fantasy✨</t>
  </si>
  <si>
    <t>OnDemand E-Learning</t>
  </si>
  <si>
    <t>Whilst #stress is often seen to be an issue faced by the individual #employee, the stress of a #managers staff is most certainly a managers problem. Our short #blog looks at why its important for managers to manage employee stress. #workplace #leadership #responsibility</t>
  </si>
  <si>
    <t>Accredited, quality, cost-effective #elearning courses, with over 300 UK and international clients.</t>
  </si>
  <si>
    <t>Sign-up &amp; SAVE 10% TODAY. We'll email you discount coupons, special offers, FREE products alerts.  #Herbal #Natural #Teas #Health #Remedies #Free #Stress #Vitamins #MensHealth #WomensHealth #wealth</t>
  </si>
  <si>
    <t>http://www.theherbalgardens.com
https://shr.link/mkh1e</t>
  </si>
  <si>
    <t>New Leaf College</t>
  </si>
  <si>
    <t>How important is it for you to get a handle on #stress New information on what we offer on our free @HPFT_Wellbeing #stressmanagement course at @cvsbeh</t>
  </si>
  <si>
    <t>https://pbs.twimg.com/media/EOLk91vWAAAL9Cz.jpg</t>
  </si>
  <si>
    <t>Hertfordshire's Wellbeing &amp; Recovery College info@newleafcollege.co.uk 01442 864966</t>
  </si>
  <si>
    <t>http://www.newleafcollege.co.uk</t>
  </si>
  <si>
    <t>Deb Cohen</t>
  </si>
  <si>
    <t>Survey data from over 1,000 #leaders, #executives, and individual contributors provide insights, feelings and experiences related to the challenges of being a #frontline #manager.  #stress #bosses #development</t>
  </si>
  <si>
    <t>http://bit.ly/2FKzBBq</t>
  </si>
  <si>
    <t>HR Thought Leader</t>
  </si>
  <si>
    <t>http://www.DebCohenLLC.com</t>
  </si>
  <si>
    <t>Kimberlee Bow, MA</t>
  </si>
  <si>
    <t>How the Body Scan #Meditation Practice Reduces Biological #Stress  #mindful #mindfulness</t>
  </si>
  <si>
    <t>Creator, Advocate, Author, Dancer, Triathlete, Ironman Finisher, and Dance/Movement Therapist</t>
  </si>
  <si>
    <t>http://KimberleeBow.com</t>
  </si>
  <si>
    <t>ElsicaStar</t>
  </si>
  <si>
    <t>Nothing comes easy so expect the difficulties and deal with them accordingly in an orderly fashion. This will ease the stress of the situation and enable you to plough on through 🌟🍀🌟 #life #lifequotes #lifeskills #comfortable #success #pain #easy #deal #fashion #ease #stress</t>
  </si>
  <si>
    <t>https://pbs.twimg.com/media/EOP4402XsAY-OPG.jpg</t>
  </si>
  <si>
    <t>Healer, medium, tarot reader, empath, life coach, creative designer in bespoke silver, &amp; beaded jewelry &amp; gifts made from recycled and natural materials 🌟</t>
  </si>
  <si>
    <t>Wellbeing People</t>
  </si>
  <si>
    <t>Great to see @TheNorthbankBID are enjoying our 'You Can Achieve Anything' workshop! Developing cognitive resilience is paramount to dealing with stress and overcoming its negative effects. #workplacewellbeing #stress RT @TheNorthbankBID: In the first of this year’s #NorthbankWellbeing Series we find out how to address our negative thinking and challenge our own thoughts about stressful situations. Thank you to Chloe of the @wellbeingpeople for delivering this workshop on developing cognitive resilience.</t>
  </si>
  <si>
    <t>https://twitter.com/TheNorthbankBID/status/1217064988046741505</t>
  </si>
  <si>
    <t>https://pbs.twimg.com/media/EOPiFiaWAAI6Ygs.jpg</t>
  </si>
  <si>
    <t>Health and wellbeing experts. Creating positive change in physical and mental wellbeing with passion knowledge and vision.</t>
  </si>
  <si>
    <t>http://www.wellbeingpeople.com</t>
  </si>
  <si>
    <t>Siobhan Griffin</t>
  </si>
  <si>
    <t>Can’t wait @SASHLab @grace_mc7 @AdamORiordan172 @aiscoss @Traceyk2014 @megn_ryn @KatieLynn_UL @Siobhan_Howard @amcreaven @DrSGallagher @Paraic_O_S #sashlabontour #stress #loveirishresearch RT @PSI_DHP: Call for abstracts now open for #PHM2020 taking place @UCC Submission deadline is March 20th!   @UCCPublicHealth @AppPsychUCC</t>
  </si>
  <si>
    <t>https://twitter.com/PSI_DHP/status/1217073877496537091
https://tinyurl.com/tkjujvq
https://www.ucc.ie/en/phm/</t>
  </si>
  <si>
    <t>https://pbs.twimg.com/media/EOPqPRSXkAEe3Ui.jpg</t>
  </si>
  <si>
    <t>Limerick, Ireland</t>
  </si>
  <si>
    <t>PhD. Psychology Lecturer @UL @SASHLab. Stress, emotion regulation, and health ⚕️Primary school teacher 👩‍🏫</t>
  </si>
  <si>
    <t>https://www.linkedin.com/in/siobhan-griffin-183166b4/</t>
  </si>
  <si>
    <t>Matthew Royse</t>
  </si>
  <si>
    <t>How to minimize stress while traveling for work  #stress #work #traveling</t>
  </si>
  <si>
    <t>https://buff.ly/2TmoJ4L</t>
  </si>
  <si>
    <t>Speaker, marketing, demand gen, social sellling @syntax_systems, @dukeu teacher, @prdaily @cmicontent @b2community contributor, @depaulmba @penn_state grad</t>
  </si>
  <si>
    <t>https://knowledgeenthusiast.com/</t>
  </si>
  <si>
    <t>[Podcast] “Mindfulness Meditation Made Easy” on RadioMD:  #listen #mindfulness #stress #meditation</t>
  </si>
  <si>
    <t>Dan Hoffman PhD ABPP</t>
  </si>
  <si>
    <t>Fascinating work on how the #toxic #stress of #bullying affects the #brain @BxNeuroCompPsy @AutismOCDDoc @AnneMarieAlbano @nctsn @DrEhrenreich @EmilyBilekPhd @DrBurkeHarris @DrDSinger @DrCamiloOrtiz @emilybazelon @reginegalanti @DrHowardLiu @DrJlieberman @DrCBTMom RT @SandraPimPhD: Emerging and important research on the neurobiology of peer victimization.</t>
  </si>
  <si>
    <t>https://twitter.com/SandraPimPhD/status/1217082816426643456
https://time.com/5672355/bullying-affects-adolescent-brains/?utm_campaign=meetedgar&amp;utm_medium=social&amp;utm_source=meetedgar.com</t>
  </si>
  <si>
    <t>Fresh Meadows, Queens, NY</t>
  </si>
  <si>
    <t>NY Licensed #Psychologist: Board Certified in #CBTworks. Focus: #Anxiety, #trauma, #OCD &amp; related disorders; research, news &amp; encouragement. Tweets =my opinion.</t>
  </si>
  <si>
    <t>http://www.anxietytreatmentqueens.com/index.html</t>
  </si>
  <si>
    <t>LifeWithLessStress</t>
  </si>
  <si>
    <t>" workplaces that address employee well-being improve productivity by up to 12 percent."  Addressing stress = mental health = improved productivity. We can help. #stressmanagement #mentalhealth #lifewithlessstress #stress #stressrelief</t>
  </si>
  <si>
    <t>https://www.inc.com/dave-kerpen/3-ways-business-leaders-can-address-mental-health-in-office.html</t>
  </si>
  <si>
    <t>Helping people conquer their stress for good so they can live the life they love.</t>
  </si>
  <si>
    <t>https://www.facebook.com/groups/289025471781251/</t>
  </si>
  <si>
    <t>Climate Change Initiative</t>
  </si>
  <si>
    <t>Great advice from @nytopinion how to stop freaking out and tackle climate change: drop the shame, focus on systems, and what you already do well. #stress #systems #climatechange</t>
  </si>
  <si>
    <t>http://ow.ly/AwIY50xU8qi</t>
  </si>
  <si>
    <t>Lowell, MA</t>
  </si>
  <si>
    <t>The CCI is an award-winning University Center that informs and supports evidence-based climate action.</t>
  </si>
  <si>
    <t>https://www.climatechangeinitiative.org/</t>
  </si>
  <si>
    <t>EP 479 – Life Requires Change. People don’t really hate change, they may just dislike the process of changing. Today’s Hot Tips ForCelebrating Living On Purpose Month: #stress #resiliency #mentalhealth #productivity #motivation #change #liveonpurpose</t>
  </si>
  <si>
    <t>https://www.podbean.com/eu/pb-qbzu8-cc5801#.Xh3KI_a3Vls.twitter</t>
  </si>
  <si>
    <t>John McLachlan</t>
  </si>
  <si>
    <t>Email can be a huge source of #stress in modern working life, but it doesn’t have to be that way. Why daily messaging has become so toxic – and what emerging tech is doing to stem the tide.  #burnout #timemanagement #timetochange #tuesdaymotivation</t>
  </si>
  <si>
    <t>Leadership &amp; Team Dynamics specialist, Author, Speaker, Clinical Hypnotherapist and #NLP Master Trainer. Dad, Foodie and music lover.</t>
  </si>
  <si>
    <t>Ambre Associates LLC</t>
  </si>
  <si>
    <t>Stress isn't all bad, according to the American Institute of Stress. Eustress — the "good stress" — facilitates personal growth and builds resilience.  via @AIS_StressNews #stress #personalgrowth</t>
  </si>
  <si>
    <t>https://buff.ly/36UrLkI</t>
  </si>
  <si>
    <t>https://pbs.twimg.com/media/EOPz3ZHWsAEz_WS.jpg</t>
  </si>
  <si>
    <t>Glenview, IL</t>
  </si>
  <si>
    <t>Denise Ambre is a Licensed Clinical Social Worker and a Psychoanalyst specializing in individual, couples, adolescent and child therapy</t>
  </si>
  <si>
    <t>http://AmbreAssociates.com</t>
  </si>
  <si>
    <t>MTV English News</t>
  </si>
  <si>
    <t>https://pbs.twimg.com/media/EOPzz-cWsAEceLd.jpg</t>
  </si>
  <si>
    <t>Your go-to source for local, regional and international news - Follow @MTVLebanonNews for Arabic news updates</t>
  </si>
  <si>
    <t>http://mtv.com.lb</t>
  </si>
  <si>
    <t>If you’re feeling overwhelmed try physically calming exercises such as yoga, walking, stretching and mindful breathing.  #stress #stressmanagement #exercise</t>
  </si>
  <si>
    <t>https://pbs.twimg.com/media/EOPzaEdX0AUbTSg.jpg</t>
  </si>
  <si>
    <t>#Stress stat 1: How do you help your business #leaders deal with stress in the #workplace?</t>
  </si>
  <si>
    <t>https://pbs.twimg.com/media/EOPznSrWkAIKM2_.png</t>
  </si>
  <si>
    <t>Drama2Calmer-Mindfulness</t>
  </si>
  <si>
    <t>Looking forward to welcoming our participants and exploring Session One this evening: What is mindfulness? 'There is more right with you than wrong with you' #jonkabatzinn #mindfulness #meditation #mbsr #drama2calmer #personaldevelopment #stress #awareness #jonkabatzinnquotes</t>
  </si>
  <si>
    <t>https://pbs.twimg.com/media/EOPza_nWkAIxNX3.jpg</t>
  </si>
  <si>
    <t>Drama2Calmer is run by @CorneliaBaumann and offers 8-week MBSR (Mindfulness-based stress reduction) courses and Mindfulness workshops for adults and families</t>
  </si>
  <si>
    <t>http://www.drama2calmer.com</t>
  </si>
  <si>
    <t>YogaPathWellness</t>
  </si>
  <si>
    <t>#HealthTip 9: Don’t #stress eat - avoid stressful topics at the dinner table!</t>
  </si>
  <si>
    <t>https://pbs.twimg.com/media/EOPzbIxUYAAlcpE.jpg</t>
  </si>
  <si>
    <t>Sherwood Park &amp; Tofield, AB</t>
  </si>
  <si>
    <t>Hippie/Yogini❤️ On my Path❤️Yoga + Meditation Instructor❤️Essential Oil Educator❤Mentor + Motivator❤️Health + Wellness ❤️Classes❤️Workshops❤️ Retreats❤️☮</t>
  </si>
  <si>
    <t>http://www.yogapathwellness.ca</t>
  </si>
  <si>
    <t>Tara Well PhD</t>
  </si>
  <si>
    <t>When we're stressed, we find it difficult to focus at work, or in our personal lives. This article provides 4 tips to help you cope with daily #stress and #cultivatecalm.  @GreaterGoodSC #TipTuesday</t>
  </si>
  <si>
    <t>https://bit.ly/2QZrBlv</t>
  </si>
  <si>
    <t>https://pbs.twimg.com/media/EOPzbEQWoAAOe7X.jpg</t>
  </si>
  <si>
    <t>Psychology Professor @BarnardCollege @Columbia | #TEDx Speaker | Contributor @PsychToday | Teaching #MirrorMeditation for #selfawareness and #selfcompassion</t>
  </si>
  <si>
    <t>http://www.mirrormeditation.com</t>
  </si>
  <si>
    <t>https://pbs.twimg.com/media/ENSBkvDWwAAGF6M.png</t>
  </si>
  <si>
    <t>Take time today to give back to the people that dont come from the same place you do. It takes a few moments to change the life of a person. #work #quoteoftheday #counselling #hcsmSA #southafrica #stress #help #anxiety #Mindfulness</t>
  </si>
  <si>
    <t>https://pbs.twimg.com/media/EOKptKZX4AIYQAK.jpg</t>
  </si>
  <si>
    <t>EP 478 We would all love a magic lamp or a fairy godmother to make our dreams come true. Hot Tips For Building Resiliency and Celebrating Make Your Dreams Come True Day: #stress #resiliency #mentalhealth #productivity #motivation #dreambigger</t>
  </si>
  <si>
    <t>https://www.podbean.com/eu/pb-sjsnq-cc57fa#.Xh3I1dCIwkQ.twitter</t>
  </si>
  <si>
    <t>Breathe Body&amp;Mind</t>
  </si>
  <si>
    <t>💜Happy Tuesday💜 Stressing out takes energy, imagine all the great things you could do with that energy put elsewhere.... #stress #relax #wellness #selfcare #inspiration #yogalife</t>
  </si>
  <si>
    <t>https://ift.tt/35Nw93D</t>
  </si>
  <si>
    <t>https://pbs.twimg.com/media/EOPxQuVWoAEb4Z4.jpg</t>
  </si>
  <si>
    <t>West Springfield, VA</t>
  </si>
  <si>
    <t>A well-rounded mix of mind and body classes with focus on balance, stretching, core strength, flexibility, toning, aerobic conditioning and relaxation.</t>
  </si>
  <si>
    <t>http://breathebodymind.com</t>
  </si>
  <si>
    <t>JanesonX</t>
  </si>
  <si>
    <t>No #stress We connect you with the right service providers all the time. Less worry and more efficient. Visit  #Nostress #JanesonX</t>
  </si>
  <si>
    <t>http://janesonx.com</t>
  </si>
  <si>
    <t>https://pbs.twimg.com/media/EOPwsJtWoAEcHnf.jpg</t>
  </si>
  <si>
    <t>Kenya</t>
  </si>
  <si>
    <t>Business Services. Bringing access to millions of certified top service providers.</t>
  </si>
  <si>
    <t>https://janesonx.com</t>
  </si>
  <si>
    <t>AdvancedCare</t>
  </si>
  <si>
    <t>Scientists are beginning to understand *why* people report relief from #anxiety &amp; #stress with #medicalcannabis. A new study from @VanderbiltU Medical Center shows a brain molecule produced to protect against stress targets the same receptors as cannabis.</t>
  </si>
  <si>
    <t>https://www.eurekalert.org/pub_releases/2020-01/vumc-ssl011020.php</t>
  </si>
  <si>
    <t>AdvancedCare is built for Clinics and Researchers. Mobile, Wearables, Cannabis &amp; Telemedicine in one flexible platform. #clinicaltrials #cannabisresearch</t>
  </si>
  <si>
    <t>http://www.advancedcare.com</t>
  </si>
  <si>
    <t>Shulman &amp; Partners LLP</t>
  </si>
  <si>
    <t>There is more than one way to manage finances during a divorce. Partner and family lawyer Diana Isaac joins @MRHEEGLOBAL to share some valuable tips on how to minimize #financial #stress during and after a divorce.</t>
  </si>
  <si>
    <t>http://ow.ly/zxVk50xUqK1</t>
  </si>
  <si>
    <t>Toronto - Ontario</t>
  </si>
  <si>
    <t>Family law lawyers helping people in Toronto and across the GTA.</t>
  </si>
  <si>
    <t>http://shulman.ca/</t>
  </si>
  <si>
    <t>"You may feel like a referee as relatives battle, argue and fight there way through what is meant to be an enjoyable time."  #Stress #Christmas</t>
  </si>
  <si>
    <t>https://bit.ly/33bpuQh</t>
  </si>
  <si>
    <t>https://pbs.twimg.com/media/EOPv4FeXsAAbIfy.jpg</t>
  </si>
  <si>
    <t>Bishop&amp;Varga</t>
  </si>
  <si>
    <t>Health Benefits of Hugging, Backed By Science  #TuesdayTip #stress #health #wellness #wellbeing #hugs</t>
  </si>
  <si>
    <t>http://a.msn.com/05/en-ca/BBYUzc4?ocid=st</t>
  </si>
  <si>
    <t>UK and Canada</t>
  </si>
  <si>
    <t>Authors of Spirit-based books online Amazon B&amp;N Indigo. All content contained on this website ©2013-20 Bishop &amp; Varga except where noted. All rights reserved 🦋</t>
  </si>
  <si>
    <t>http://www.kissandtellproductions.com</t>
  </si>
  <si>
    <t>As a business owner, your #employees are your most important assets. You need to do everything you can to ensure they are #fit &amp; #healthy, both mentally &amp;amp; physically, #EAP #stress #anxiety #mentalhealthatwork #counselling #therapy #depression #change #copingstrategies</t>
  </si>
  <si>
    <t>https://pbs.twimg.com/media/EOPvj-BWAAADOJo.jpg</t>
  </si>
  <si>
    <t>Irwin Edgehill Training</t>
  </si>
  <si>
    <t>There really is a cure for workplace stress. But where do you begin? Read a recent blog from us @IrwinE_Training #workplacestress #stress</t>
  </si>
  <si>
    <t>https://irwinedgehilltraining.com/2019/08/01/there-really-is-a-cure-for-workplace-stress/</t>
  </si>
  <si>
    <t>https://pbs.twimg.com/media/EOPvYAkXkAATnub.jpg</t>
  </si>
  <si>
    <t>Bournemouth, Dorset UK</t>
  </si>
  <si>
    <t>Inspirational Trainer, Personal Development &amp; Life Coach | Empowers people to build confidence &amp; resilience to transform their personal &amp; professional lives</t>
  </si>
  <si>
    <t>http://www.irwinedgehilltraining.com</t>
  </si>
  <si>
    <t>DME Supply USA</t>
  </si>
  <si>
    <t>There are 6 different types of incontinence, here's one of them: #incontinence #types #stress #DMESupplyUSA</t>
  </si>
  <si>
    <t>https://dmesupplyusa.com/daily-patient-aids/incontinence.html</t>
  </si>
  <si>
    <t>https://pbs.twimg.com/media/EOPvKAiWsAA3e3k.jpg</t>
  </si>
  <si>
    <t>When your doc offers pills, ask about recipes &amp; #exercise plans. Sometimes they work better! In non-life-threatening situations, a healthful diet, movement, sleep, &amp;amp; #stress management may bring greater returns w/ fewer side effects. Even if you still need a med, lifestyle helps!</t>
  </si>
  <si>
    <t>pic.twitter.com/sTBQZGO5Qg</t>
  </si>
  <si>
    <t>International Business Women's Group</t>
  </si>
  <si>
    <t>Panel Discussion: Impact of Stress on Work, Family &amp; Social Life - January 27th 2020. kindly RSVP your attendance to administrator@ibwgabudhabi.org no later than January 26th 2020. #Abudhabi #women #event #paneldiscussion #impact #stress #work #family #sociallife</t>
  </si>
  <si>
    <t>https://pbs.twimg.com/media/EOPurZSWAAAm1vA.jpg</t>
  </si>
  <si>
    <t>IBWG, non-profit organisation, promote &amp; support the capabilities of professional women in Abu Dhabi.</t>
  </si>
  <si>
    <t>http://www.ibwgabudhabi.org/</t>
  </si>
  <si>
    <t>Tamra E. Raven</t>
  </si>
  <si>
    <t>#10km3x2 #mapMeasureMonitor local #temperature #ER #AIRquality #PM2.5 #cancer |Anomalously warm temperatures are associated with increased #injurydeaths NatureMedicine #K12 #teachers #nurses #schools talk about fear #stress playlove #ecologicalRESTORATION</t>
  </si>
  <si>
    <t>https://www.nature.com/articles/s41591-019-0721-y</t>
  </si>
  <si>
    <t>The Big River, Missouri</t>
  </si>
  <si>
    <t>Plant ecologist: 10km3x2 ECOPLAY=unique:recognizable: complex:predictable:patterning ECOTONE ECOLOGICALRESTORATION endemic plant species:VEGETATION CONNECTIVITY</t>
  </si>
  <si>
    <t>http://eco-gstm.org/tamraraven/</t>
  </si>
  <si>
    <t>💃 🏃‍♀️ 🤸‍♀️ 🧘‍♀️ 🙏Signs &amp; Symptoms of Teenage Depression?⁠Mayo Clinic outlines on my Fb @ the real move happy ⁠⠀ #mayoclinic #teen #teenager #anxiety #mentalhealth #life #stress #awareness #ptsd #positivity #fitness #healthy #garyveechallenge #depressed #endthestigma #depression</t>
  </si>
  <si>
    <t>pic.twitter.com/u7zJViFjbU</t>
  </si>
  <si>
    <t>Mommingit</t>
  </si>
  <si>
    <t>Do yourself a favor and take care of yourself. Check out one of our latest blogs, "When Mom is Happy, Everyone is happy." #selfcare #stress #metime #motherhood</t>
  </si>
  <si>
    <t>https://mommingit.com/when-mom-is-happy-everyone-is-happy/</t>
  </si>
  <si>
    <t>https://pbs.twimg.com/media/EOPsrC7WAAYKLkN.jpg</t>
  </si>
  <si>
    <t>Mothers have asked, "how did I go from a single parent of 2 &amp; unemployed to success". I was asked to create a blog to help others so... WELCOME TO MOMMING IT!</t>
  </si>
  <si>
    <t>Next time worry blots out the joy that's rightfully yours, tell yourself “Come back. It’s all okay. Enjoy this day. It’s here, it’s waiting for you.” #stress #worry #anxiety #perfection</t>
  </si>
  <si>
    <t>http://bit.ly/2M3Up98</t>
  </si>
  <si>
    <t>https://pbs.twimg.com/media/EOPsk8oVAAA_KuT.jpg</t>
  </si>
  <si>
    <t>Reliance Hospitals</t>
  </si>
  <si>
    <t>Premature Ventricular Contractions (PVCs) are extra, abnormal #heartbeats that begin in the ventricles, or lower pumping chambers, that sometimes cause palpitations. They may happen due to underlying #heart #disease, certain #medicines, #alcohol, #stress or #caffeine intake.</t>
  </si>
  <si>
    <t>https://pbs.twimg.com/media/EOJhfh6U0AMfH1Z.jpg</t>
  </si>
  <si>
    <t>Navi</t>
  </si>
  <si>
    <t>Reliance Hospital, a 300-bed super specialty hospital in Navi Mumbai, with over 38 specialty departments and Cancer Care Centres in Akola and Gondia.</t>
  </si>
  <si>
    <t>https://www.reliancehospitals.com/</t>
  </si>
  <si>
    <t>Back to Nature</t>
  </si>
  <si>
    <t>Now you can enjoy your meals #Toxin-free,#bleach-free and most importantly #Stress-free! Switch to our 100% #Compostable #containers made from pure #sugarcane #bagasse today! . . . For orders &amp; other information 📲 +971 4 222 55 32</t>
  </si>
  <si>
    <t>http://Www.backtonature.ae</t>
  </si>
  <si>
    <t>pic.twitter.com/7Ps8CtHagF</t>
  </si>
  <si>
    <t>Back to Nature is driven by a motive for #beingresponsible for environment. Use our 100% “Compostable Tableware” - plates, bowls, cutlery etc. &amp; go #plasticfree</t>
  </si>
  <si>
    <t>http://www.backtonature.ae</t>
  </si>
  <si>
    <t>LiftandShiftFDN</t>
  </si>
  <si>
    <t>Words of wisdom about #stress from a British #Army #veteran turned politician - Sir Winston Churchill #TuesdayThoughts @ New York, New York</t>
  </si>
  <si>
    <t>https://www.instagram.com/p/B7TT1yKJJHg/?igshid=kwof70iig5a1</t>
  </si>
  <si>
    <t>We're a #veteran nonprofit, bringing more #veterans in to #science and #technology. Donate on our website. FB: WeLiftAndShift IG: LiftAndShiftFoundation</t>
  </si>
  <si>
    <t>https://www.weliftandshift.org</t>
  </si>
  <si>
    <t>Ultimate Resilience</t>
  </si>
  <si>
    <t>This is a fascinating article from @PsychToday about what we can learn about how stress effects us by looking at twins and what they have been though  #stress #research #health</t>
  </si>
  <si>
    <t>http://bit.ly/2Tofy3M</t>
  </si>
  <si>
    <t>Tailored evidence-based training by experienced Clinical Psychologists creating thriving, healthy, happy people able to overcome challenge and embrace change.</t>
  </si>
  <si>
    <t>http://www.ultimateresilience.co.uk</t>
  </si>
  <si>
    <t>Shameka Oliver</t>
  </si>
  <si>
    <t>Are you Experiencing Any of the Symptoms Below? Inbox Me Today to Order This Life Saving Product Harmony Drops.. You Won’t Be Disappointed Best Believe That!!!! #CBDOil #Anxiety #Stress #Pain #PMS #ChronicPain…</t>
  </si>
  <si>
    <t>https://www.instagram.com/p/B7TS6MkFHo5/?igshid=33hgf69ebc32</t>
  </si>
  <si>
    <t>Lose 5lbs in 5 days</t>
  </si>
  <si>
    <t>https://retail.totallifechanges.com/FitBossBabe</t>
  </si>
  <si>
    <t>The World Is an Armed Camp. There Is a Way of Escape ▸ | #crime #war #violence #endtime #stress #peace #justice</t>
  </si>
  <si>
    <t>http://dld.bz/dhzyK</t>
  </si>
  <si>
    <t>Compassion training for parents may reduce their #children's #stress @UWMadison</t>
  </si>
  <si>
    <t>https://medicalxpress.com/news/2020-01-compassion-parents-children-stress.html</t>
  </si>
  <si>
    <t>Eclipse Performance</t>
  </si>
  <si>
    <t>Our partnering company @impact__intl with a great clip about stress that relates to performance in sport #Wellbeing #stress #TuesdayMotivation RT @impact__intl: Stress is a common feeling which we all experience at some point during a working week. Check out our #TipoftheWeek to find out how to reduce stress at work in order to boost your happiness and motivation.</t>
  </si>
  <si>
    <t>https://twitter.com/impact__intl/status/1217033223437529090</t>
  </si>
  <si>
    <t>pic.twitter.com/0cLknAs2v9</t>
  </si>
  <si>
    <t>Lake District</t>
  </si>
  <si>
    <t>Eclipse maximises performance and well-being for elite sport teams through customised outdoor adventure</t>
  </si>
  <si>
    <t>http://eclipseperformance.uk</t>
  </si>
  <si>
    <t>Katrina Love Senn</t>
  </si>
  <si>
    <t>Healing Meditations Podcast Launches...  via @KatrinaLoveSenn #healing #meditations #healingmeditations #growth #stress #anxiety</t>
  </si>
  <si>
    <t>http://www.katrinalovesenn.com/index.php/articles/transformation/360-healing-meditations-podcast</t>
  </si>
  <si>
    <t>St Leonards-on-sea, Sussex, UK</t>
  </si>
  <si>
    <t>Katrina Love Senn is an international yoga teacher, healer and best selling author of, 'Losing Weight is a Healing Journey'. Married to @DamienSenn</t>
  </si>
  <si>
    <t>http://www.KatrinaLoveSenn.com</t>
  </si>
  <si>
    <t>Beth Ellen</t>
  </si>
  <si>
    <t>When mice exposed to #stress, #anxiety pathway btwn amygdala&amp;prefrontal cortex strengthened &amp;amp;they experiencd higher levels of anxiety-suggests stress or trauma makes 2-AG &amp;amp; #endocannabinoid system break down resulting in heightend anxiety-related behaviors</t>
  </si>
  <si>
    <t>https://www.inverse.com/article/62256-reason-why-anxious-people-smoke-marijuana</t>
  </si>
  <si>
    <t>Master of Science Columbia University, RDN, Clinical Nutritionist. Nutrition Mission®, Nutrition Is Your Best Health Insurance!®, Nourish Your Skin Naturally®</t>
  </si>
  <si>
    <t>http://NutritionMission.org</t>
  </si>
  <si>
    <t>Fitness Republic Store</t>
  </si>
  <si>
    <t>#Stress? #Anxiety? #Depression?😞 Grab the amazing weighted balls and start your workout.. It will help you to reduce anxiety and depression and help you to stay #healthy:  #Fitnessrepublic #trending #TuesdayMotivation #USA #NYC #fitnessmotivation #fitness</t>
  </si>
  <si>
    <t>https://amzn.to/2tkdLlV</t>
  </si>
  <si>
    <t>https://pbs.twimg.com/media/EOPoCFSWoAAErR9.jpg</t>
  </si>
  <si>
    <t>Fitness Republic is a health and fitness brand which provides a wide range of fitness equipment. #FitnessRepublic #HealthFitness #FitnessEquipments</t>
  </si>
  <si>
    <t>https://amzn.to/2n9ZnJG</t>
  </si>
  <si>
    <t>MDA Training</t>
  </si>
  <si>
    <t>How employees cope with ‘excessive’ workplace #stress ⏩</t>
  </si>
  <si>
    <t>http://ow.ly/IpsA50xUSsk</t>
  </si>
  <si>
    <t>https://pbs.twimg.com/media/EOPn_TfX4AEYwBq.jpg</t>
  </si>
  <si>
    <t>MDA Training - Engaging, experiential and commercially-focused learning solutions designed around your specific needs</t>
  </si>
  <si>
    <t>http://bit.ly/2LC601s</t>
  </si>
  <si>
    <t>Giridakshi</t>
  </si>
  <si>
    <t>Please Follow the link to know more 👇  #Sadhguru #InnerEngineering #Meditation #Yoga #Mindfulness #Stress #Fitness #Happiness #BodyMindSpirit #CauveryCalling</t>
  </si>
  <si>
    <t>https://www.facebook.com/100000616129931/posts/2916441085053067/?d=n</t>
  </si>
  <si>
    <t>https://pbs.twimg.com/media/EOPm3iXXkAEVda6.jpg</t>
  </si>
  <si>
    <t>MiMi</t>
  </si>
  <si>
    <t>That one #DearCoWorker always has to tell you bad news thinking he's doing good. Fucking stop. I haven't even into the store yet. #RetailHell #Stress</t>
  </si>
  <si>
    <t>South Florida</t>
  </si>
  <si>
    <t>oh, NOW you tell me</t>
  </si>
  <si>
    <t>A guide is helpful when learning to #meditate for #stress reduction  @StaceyABurling</t>
  </si>
  <si>
    <t>http://snip.ly/1sj5a</t>
  </si>
  <si>
    <t>https://pbs.twimg.com/media/EOPm6ipXUAEkfg_.jpg</t>
  </si>
  <si>
    <t>https://pbs.twimg.com/media/EOPm1heWAAEt2s_.jpg</t>
  </si>
  <si>
    <t>In order to optimise performance you need to ensure you are fully rested. Therefore, why not try our tips for better sleep and comment on your results below #sleep #recovery #tips #stress</t>
  </si>
  <si>
    <t>https://buff.ly/2TeJsaW</t>
  </si>
  <si>
    <t>https://pbs.twimg.com/media/EOPlsnjX4AEotmf.jpg</t>
  </si>
  <si>
    <t>Real Warriors</t>
  </si>
  <si>
    <t>Questions about #stress? Read articles, order print materials and watch videos on our site today:</t>
  </si>
  <si>
    <t>http://j.mp/RWC-Stress</t>
  </si>
  <si>
    <t>https://pbs.twimg.com/media/EOPkwbGWoAEGO5g.jpg</t>
  </si>
  <si>
    <t>Campaign sponsored by the @PHCoE. Any role in the military can be stressful. For confidential 24/7 support call 866-966-1020. http://bit.ly/RWPolicies</t>
  </si>
  <si>
    <t>https://www.realwarriors.net/</t>
  </si>
  <si>
    <t>Blue Dave</t>
  </si>
  <si>
    <t>Hope so 🙏 #life #stress #blessing</t>
  </si>
  <si>
    <t>https://pbs.twimg.com/media/EOPkmJeX0AEgJUX.jpg</t>
  </si>
  <si>
    <t>Season ticket holder at Everton 💙 Always treat people with kindness and respect ✊ Trying to do what I can, to make this a better world to live in 🌍</t>
  </si>
  <si>
    <t>http://davesworldgroup.wordpress.com</t>
  </si>
  <si>
    <t>Claudia Armani Health Coach &amp; Blogger</t>
  </si>
  <si>
    <t>#Stress is one major driver for #diseases. #Art and #creativity can help lower #cortisol and stress levels.  #stressmanagement #health #coach</t>
  </si>
  <si>
    <t>https://buff.ly/3abvsVa</t>
  </si>
  <si>
    <t>London, UK &amp; Worldwide</t>
  </si>
  <si>
    <t>#Health #Coach &amp; #Pilates Teacher #blogger TOP 10 UK Health Coach blogs 2018 #nutrition #healthy #recipes well-being</t>
  </si>
  <si>
    <t>https://thehealthygourmet.co.uk</t>
  </si>
  <si>
    <t>In the middle of every difficulty, lies opportunity. Einstein #crisis #reputationcrisis #reputation #scandal #adversity #stress #stressmanagement #anger #fear #business #highereducation #sports #entertainment #depression #reporter #editor #news #problemsolving #leadership</t>
  </si>
  <si>
    <t>Her Magic</t>
  </si>
  <si>
    <t>Stress can cause mental imbalance and thus, should be strictly avoided under all circumstances. Check out these pro tips to overcome stressful situations in a hassle-free manner!  #stress #overcomestress #waystoovercomestress #hermagicofficial</t>
  </si>
  <si>
    <t>http://www.hermagic.com/7-relaxing-ways-to-overcome-stress/</t>
  </si>
  <si>
    <t>https://pbs.twimg.com/media/EOPhvu4VAAAKhaJ.jpg</t>
  </si>
  <si>
    <t>Daily Mudras</t>
  </si>
  <si>
    <t>Fat reason  #mudras #dailymudras #fat #stress #tension #sleep #medicine #thyroid #bacteria #genetics #depression</t>
  </si>
  <si>
    <t>https://play.google.com/store/apps/details?id=com.coderays.mudras&amp;hl=en_IN</t>
  </si>
  <si>
    <t>https://pbs.twimg.com/media/EOPhTMFU4AAWC2r.jpg</t>
  </si>
  <si>
    <t>The Compensation Experts</t>
  </si>
  <si>
    <t>Occupational #stress is causing more of the UK's workers to take time off work. Your employer is responsible for protecting you from harm in the workplace. This includes your #MentalHealth. Check out our latest blog post to find out how we can help.</t>
  </si>
  <si>
    <t>https://www.the-compensation-experts.co.uk/the-rise-of-occupational-stress-what-your-employer-needs-to-do-to-reduce-a-public-health-emergency/</t>
  </si>
  <si>
    <t>Personal Injury Experts whom combined have helped thousands of people claim the compensation they deserve to ensure they can continue to live a happy life.</t>
  </si>
  <si>
    <t>http://www.the-compensation-experts.co.uk/</t>
  </si>
  <si>
    <t>Griffin Safety Ltd.</t>
  </si>
  <si>
    <t>Recent figures show that workplace stress, anxiety and depression has increased, so isn’t it about time we trained employees in how to talk about these issues more constructively?  #HealthAndSafety #Workplace #Stress #Anxiety #Depression</t>
  </si>
  <si>
    <t>http://ow.ly/US8D50xTJrP</t>
  </si>
  <si>
    <t>https://pbs.twimg.com/media/EOPhHfOWkAgWGuM.jpg</t>
  </si>
  <si>
    <t>Delivering #NEBOSH and #IOSH #healthandsafety training nationwide. The UK's leading provider of 'Corporate Manslaughter' and 'Managing Contractors' training.</t>
  </si>
  <si>
    <t>http://www.griffinsafetytraining.co.uk</t>
  </si>
  <si>
    <t>Darren Gleeman</t>
  </si>
  <si>
    <t>#positivity #stress # spiritual #love ##pray #health #believe #happiness #spirituality #health #peace #calm #mind #hope #depressed #wisdom #compassion #forgiveness #thankful #anxiety #wisdom #perseverence #meditate</t>
  </si>
  <si>
    <t>https://pbs.twimg.com/media/EOPhAjBXsAEHaC5.jpg</t>
  </si>
  <si>
    <t>#Stress #Management Tip One. Avoid #procrastination by breaking down that dreaded task into small manageable chunks and interweaving into the day. Job complete and no added stress. Try it and see - we work 25min chunks.</t>
  </si>
  <si>
    <t>https://pbs.twimg.com/media/EOPgIroWsAE7j7c.jpg</t>
  </si>
  <si>
    <t>Udder chaos: Cow on the railway sparks rush-hour delays in Scotland If you thought that was odd check out the rants on  #trafficjam #android #ios #free #m25 #m6 #m4 #m62 #m5 #m61 #m65 #stress #roadrage #app #rant</t>
  </si>
  <si>
    <t>https://pbs.twimg.com/media/EOPgGSlXsAAErPJ.jpg</t>
  </si>
  <si>
    <t>NTSAg</t>
  </si>
  <si>
    <t>Bumping this up again - still looking for #FarmWorkers and #Contractors to give us their opinion on #Stress @NFUStweets @IOSH_Rural @LantraUK @YorksAgSoc @YoungFarmersUK RT @NTS_Ag: New call for participants for our study on #stress in farming - we are looking for #FarmWorkers and #contractors to take part and give us their opinions and perspective on stress. Participation involves completing a short online survey:  pls RT</t>
  </si>
  <si>
    <t>https://twitter.com/NTS_Ag/status/1214127971654684673
http://viis.abdn.ac.uk/snapwebhost/s.asp?k=157123916502</t>
  </si>
  <si>
    <t>https://pbs.twimg.com/media/ENly5u8WsAI99rh.jpg</t>
  </si>
  <si>
    <t>Aberdeen, Scotland</t>
  </si>
  <si>
    <t>Non-technical skills research team @aberdeenuni, sharing our #AppliedPsychology approach to #FarmSafety. Using research to produce practical tools.Views our own</t>
  </si>
  <si>
    <t>https://research.abdn.ac.uk/nts-farming/</t>
  </si>
  <si>
    <t>Natu Health</t>
  </si>
  <si>
    <t>Nutri Adrenal Extra 120 Tablets (Freeze Dried Adrenal Concentrate + Synergistic Support) BUY NOW FROM NUTRI ADVANCED AT:  #AdrenalFatigue #Stress #Health #Food #Diet #Nutrition #Supplements #Paleo #Fitness #Fatigue</t>
  </si>
  <si>
    <t>https://www.awin1.com/cread.php?s=2369745&amp;v=12421&amp;q=361437&amp;r=86109</t>
  </si>
  <si>
    <t>https://pbs.twimg.com/media/EOPfUQ5XUAALttE.png</t>
  </si>
  <si>
    <t>Dedicated to healthy living, diet/nutrition, fitness, supplements, herbs, medical science &amp; evidence-based alternative medicine.</t>
  </si>
  <si>
    <t>https://natuhealthblog.blogspot.com/</t>
  </si>
  <si>
    <t>Dinesh pangeni</t>
  </si>
  <si>
    <t>Ignore #stress and #worries.. Like you ignore cameraman in #marriage ceremony</t>
  </si>
  <si>
    <t>Travelling light: how to relieve any lingering worries about your next journey  #TravellingAbroad #Stress #Travel #Airport #Travelling #PanicAttack #TravelAdvice #UKMumSquad</t>
  </si>
  <si>
    <t>https://lttr.ai/MJdI</t>
  </si>
  <si>
    <t>https://pbs.twimg.com/media/EOPdmnKXsAInZj3.png</t>
  </si>
  <si>
    <t>Noam Koenigsberg</t>
  </si>
  <si>
    <t>Did U know that exercising can help reduce #stress #anxiety #depression? Dr. Noam Koenigsberg recommends 4 all his clients 2 hit the gym or walk a few times a wk 2 help alleviate symptoms. Dr. K is a concierge psychiatrist w/an office in Miami &amp; Boca. Call 305-985-2161 4 ur appt</t>
  </si>
  <si>
    <t>https://pbs.twimg.com/media/EOPcLs4WAAAlt8G.png</t>
  </si>
  <si>
    <t>Miami Beach, FL</t>
  </si>
  <si>
    <t>Concierge Psychiatrist, 305-985-2161 http://noamkoenigsbergmd.com</t>
  </si>
  <si>
    <t>Family Flavours</t>
  </si>
  <si>
    <t>Ways to avoid an emotional overload? Clinical Psychologist Haneen Mas’oud offers effective self-care practices in Family Flavours magazine.  #selfcare #stress #anxiety #familyflavours</t>
  </si>
  <si>
    <t>https://bit.ly/2qAu10v</t>
  </si>
  <si>
    <t>Amman, Jordan</t>
  </si>
  <si>
    <t>Family Flavours is a monthly parenting magazine in the Middle East covering parenting, health, diet, fashion, local issues &amp; traditions of the region.</t>
  </si>
  <si>
    <t>http://www.familyflavours.com</t>
  </si>
  <si>
    <t>Mind in Bexley</t>
  </si>
  <si>
    <t>Feeling stressed and not sure how to relax? Please see the National Mind website:  #relaxation #stress #support #selfcare</t>
  </si>
  <si>
    <t>https://www.mind.org.uk/information-support/tips-for-everyday-living/relaxation/relaxation-exercises/?fbclid=IwAR1gjJTs0CrL8n25WwEPaipJ8cNbOWSxkvE1aKiRB_omzsXpUXe8rAL4ZSo#.XhyRCsj7SUm</t>
  </si>
  <si>
    <t>https://pbs.twimg.com/media/EOLC1DYXkAQUm0_.jpg</t>
  </si>
  <si>
    <t>Bexleyheath</t>
  </si>
  <si>
    <t>Mind in Bexley is the leading mental health charity in Bexley and we are affiliated to National Mind. We were established in 1986.</t>
  </si>
  <si>
    <t>http://www.mindinbexley.org.uk/</t>
  </si>
  <si>
    <t>Dr. Rashmi Shetty</t>
  </si>
  <si>
    <t>#ZipThatZit | Unknowingly, a lot of #acne patients end up doing certain things that aggravates their acne. Here are a few things that acne patients can avoid: -Refrain from popping #pimple -Avoid taking #Stress -Reduce #sun exposure -Don’t eat Junk #Food</t>
  </si>
  <si>
    <t>https://pbs.twimg.com/media/EOPZvsfVUAAUnUa.jpg</t>
  </si>
  <si>
    <t>Dr. Rashmi Shetty is a Celebrity #Dermatologist, International Faculty, Author and Expert in #Aesthetics</t>
  </si>
  <si>
    <t>http://www.drrashmishetty.com</t>
  </si>
  <si>
    <t>Dreamlife Intl</t>
  </si>
  <si>
    <t>4 WAYS TO REDUCE STRESS  #stress #tips</t>
  </si>
  <si>
    <t>http://bit.ly/2Rdop5R</t>
  </si>
  <si>
    <t>https://pbs.twimg.com/media/EOPYLluW4AQlXea.jpg</t>
  </si>
  <si>
    <t>+90 countries</t>
  </si>
  <si>
    <t>Are You Ready? It's Your Life! TIP - 'Like' us on http://www.facebook.com/dreamlife.intl - this account is managed by @bphlippo</t>
  </si>
  <si>
    <t>http://www.bigc-consulting.com</t>
  </si>
  <si>
    <t>NeuvanaLife</t>
  </si>
  <si>
    <t>#Stress Less, #Sleep Better, #Focus More, Electronically. Xen may help you achieve your #wellness #goals, whatever they might be. Now until 1/31, when you purchase a Xen Box Set, receive a #free travel case and protective sleeve! Learn more:  #Neuvana #Xen</t>
  </si>
  <si>
    <t>http://neuvanalife.com</t>
  </si>
  <si>
    <t>https://pbs.twimg.com/media/EOPYGP9WkAA7-cY.jpg</t>
  </si>
  <si>
    <t>West Palm Beach, Florida</t>
  </si>
  <si>
    <t>Tune in to wellness.</t>
  </si>
  <si>
    <t>https://neuvanalife.com/</t>
  </si>
  <si>
    <t>Spabreaks.com</t>
  </si>
  <si>
    <t>It’s the ongoing refrain that has an impact on all of our health and wellbeing – signs of stress...fortunately, there are things that can help us handle daily stresses and help keep its common side effects in check #stress #health #wellbeing</t>
  </si>
  <si>
    <t>http://Spabreaks.com is the largest spa recommendation service in Europe. For Customer Service: email customerservice@spabreaks.com or call 0800 043 6600 (option 2)</t>
  </si>
  <si>
    <t>http://www.spabreaks.com</t>
  </si>
  <si>
    <t>17 Days left to book up and start to make a difference to your mind health. Your Mind needs care too! #offer #NLP #hypnotherapy #lifecoaching #stress #anxiety #depression #Health #Happiness #Mindfulness #BOMnlp #Rickmansworth</t>
  </si>
  <si>
    <t>17Days left to take up this offer! #offer #NLP #hypnotherapy #lifecoaching #stress #anxiety #depression #Health #Happiness #Mindfulness RT @BizHelp_London: A special offer from our member @bestofmeNLP Hurry and book now to help clear any negatives in your life that are holding you back from being happy, contented, less stressed. #BizHelpLDN #BOMnlp</t>
  </si>
  <si>
    <t>https://twitter.com/BizHelp_London/status/1215641988529299460
https://twitter.com/bestofmeNLP/status/1215574901551177730</t>
  </si>
  <si>
    <t>Here is what post traumatic health looks like.#Trauma #Stress #Anxiety #Depression #MentalHealth #MentalHealthAwareness #SelfSupport #SelfCare #PositiveMindset #Hope #Recovery #Selflove #SuicidePrevention #Counselling #StopTheStigma #SupportDoNotPunish #Empathy #CharisHealthcare</t>
  </si>
  <si>
    <t>https://pbs.twimg.com/media/EOPVBJBWoAAJCeW.jpg</t>
  </si>
  <si>
    <t>https://pbs.twimg.com/media/EOPUiCLWAAE4XsC.jpg</t>
  </si>
  <si>
    <t>Be Beautiful</t>
  </si>
  <si>
    <t>We feel you... #Acne #Stress #Skin #Relatable</t>
  </si>
  <si>
    <t>https://pbs.twimg.com/media/EOPUhl2XsAEzqbH.jpg</t>
  </si>
  <si>
    <t>Follow us and begin your journey towards unveiling a more beautiful you.</t>
  </si>
  <si>
    <t>http://www.bebeautiful.in</t>
  </si>
  <si>
    <t>The technique can be helpful for people with: anxiety, depression, #chronicpain, #stress, #weightloss issues, other problems.</t>
  </si>
  <si>
    <t>https://pbs.twimg.com/media/EOPQoGmWkAANb27.jpg</t>
  </si>
  <si>
    <t>Dronfield CBT 4U</t>
  </si>
  <si>
    <t>We provide evidenced based and effective CBT and EMDR therapy for anxiety. #anxiety #CBT #Chesterfield #Dronfield #EMDR #HealthAnxiety #OCD #PrivateTherapy #phobia #PTSD #PanicDisorder #ModernMentalHealth #sheffield #stress #SocialAnxiety #therapy #worry GeneralisedAnxiety</t>
  </si>
  <si>
    <t>https://pbs.twimg.com/media/EOPPftGWkAA56AS.jpg</t>
  </si>
  <si>
    <t>Dronfield, England</t>
  </si>
  <si>
    <t>Private Cognitive Behavioural Therapist (CBT) and Eye Movement Desensitisation and Reprocessing (EMDR) for mental health problems in Dronfield</t>
  </si>
  <si>
    <t>http://www.dronfieldcbt4u.com</t>
  </si>
  <si>
    <t>Antonia Dean</t>
  </si>
  <si>
    <t>Yesterday was a write off. I gave up and was in bed by 7pm, my whole body in pain. My brain was telling me I was lazy and good for nothing. Working in mental health doesn't make it any easier to help myself! I really should take my own advice. #fibro #anxiety #stress #TNA</t>
  </si>
  <si>
    <t>Trainee Nursing Associate. Member of the Fibro club. Mother and worrier. Sheffield born and bred.</t>
  </si>
  <si>
    <t>Oxford Publicity</t>
  </si>
  <si>
    <t>There's a myriad of factors that contribute to #psychiatry #mentalhealth professional burnout. This new @APA_Publishing book, out now in Europe, is a 'must-read' for #psychiatrists, highlighting #stress #burnout &amp; #impairment. Buy from a local #bookseller or direct @NBNi_books.</t>
  </si>
  <si>
    <t>https://pbs.twimg.com/media/EOPNCRRXsAUoU17.jpg</t>
  </si>
  <si>
    <t>Towcester, UK</t>
  </si>
  <si>
    <t>Founded in 1989, The Oxford Publicity Partnership Ltd (OPP) successfully manages sales, marketing and publicity for publishers.</t>
  </si>
  <si>
    <t>http://www.oppuk.co.uk</t>
  </si>
  <si>
    <t>Punjab Police Pakistan Official</t>
  </si>
  <si>
    <t>Academic achievements are Important, and so is Mental Health. Wishing all the students good grades and unlimited 5 Minute Breaks! ;) #MentalHealth #Studies #Stress #All_is_Well #AlwaysThereForYou #YouMatter #Police #PunjabPolicePakistan</t>
  </si>
  <si>
    <t>pic.twitter.com/ZRT822xS6B</t>
  </si>
  <si>
    <t>For all intent and purposes this is the official voice representing the Punjab Police and the views of the official spokesperson for the Punjab Police.</t>
  </si>
  <si>
    <t>http://www.punjabpolice.gov.pk</t>
  </si>
  <si>
    <t>adriaan</t>
  </si>
  <si>
    <t>U jst need a nice cup of #tea made with #love at any #time of the #day from #today. And u wna knw y? " Becoz #life is cool at #home " 😋 Believe me. I dn't #stress so much at #home anymo' and I feel like ... I have enaf #time for the #kids nowadays.</t>
  </si>
  <si>
    <t>http://www.youngamomusic.com/The-red-tea-detox/</t>
  </si>
  <si>
    <t>https://pbs.twimg.com/media/EOPLU-dWsAA9KOj.jpg</t>
  </si>
  <si>
    <t>Cape town South Africa</t>
  </si>
  <si>
    <t>http://www.reverbnation.com/youngamo</t>
  </si>
  <si>
    <t>http://www.youngamomusic.com</t>
  </si>
  <si>
    <t>Eucalyptus oil can be used to boost immune activity. Give our Eucalyptus Spearmint plug in refill a try &gt;&amp;gt;  #aromatherapy #essentialoils #stress #anxiety #insomnia #mood #mind #healing #wellness #airfreshener #health #natural #youngliving</t>
  </si>
  <si>
    <t>https://pbs.twimg.com/media/EOPKwArXsAEFHCZ.jpg</t>
  </si>
  <si>
    <t>"Now that I had reframed my stress, I felt better, my eczema improved, my blood test normalized, and I had found the missing puzzle piece. " Read this article by Dr. Natalie Cheng-Kai-On, ND,RAc here:  @natdoctor1 #stress #stressrelief #stressedout</t>
  </si>
  <si>
    <t>http://bit.ly/39g6vYr</t>
  </si>
  <si>
    <t>https://pbs.twimg.com/media/EOPKaBKXUAAlurR.jpg</t>
  </si>
  <si>
    <t>STEVE BAILEY</t>
  </si>
  <si>
    <t>January Blues are a common occurrence in the UK, with 1 in 3 people. Symptoms include low energy, self-esteem and anxiety. Acupuncture provides an effective treatment, helping your body and mind restore balance. #januaryblues #stress #acupuncture</t>
  </si>
  <si>
    <t>https://www.acupuncture.org.uk/public-content/public-pr-press-releases/388-beating-the-winter-blues-with-acupuncture.html</t>
  </si>
  <si>
    <t>https://pbs.twimg.com/media/EOPKPMAXsAESBbk.jpg</t>
  </si>
  <si>
    <t>Long Eaton, Nottingham</t>
  </si>
  <si>
    <t>Charted physiotherapist, podiatrist and acupuncturist providing CPD acupuncture training to healthcare professionals.</t>
  </si>
  <si>
    <t>http://www.stevebaileyacupuncture.com</t>
  </si>
  <si>
    <t>Improve Wellbeing</t>
  </si>
  <si>
    <t>Ikigai, a Japanese concept to live long and happy lives. Image is from the Little book of Ikigai. Can help to reduce #stress and an overall feeling of being healthy.</t>
  </si>
  <si>
    <t>https://pbs.twimg.com/media/EOPIMCzUYAEBBU-.png</t>
  </si>
  <si>
    <t>Scotland, UK</t>
  </si>
  <si>
    <t>#Wellbeing, #stressrelief tips, #mentalhealth. Helping to improve #health and #wellbeing at work. Stress Risk Training, Resilience, Managing Stress</t>
  </si>
  <si>
    <t>https://bit.ly/2CzgIQO</t>
  </si>
  <si>
    <t>Subhojit Sengupta</t>
  </si>
  <si>
    <t>The most unwanted and uninvited guest in your life - pimple #pimple #life #winterproblem #skin #skincare #stress #anxiety</t>
  </si>
  <si>
    <t>Scholar</t>
  </si>
  <si>
    <t>Sleep Fairy and Parent Rescue</t>
  </si>
  <si>
    <t>Are we #hothousing our children? Do you think that the increased numbers of #children with #anxiety and #stress is due to too many activities and not enough down time? Take a look at our facebook page and let us know what you think.  #parenting #parents</t>
  </si>
  <si>
    <t>https://www.facebook.com/sleepfairydee/</t>
  </si>
  <si>
    <t>https://pbs.twimg.com/media/EOPHMB1XsAE8-RU.jpg</t>
  </si>
  <si>
    <t>Bucks Berks Surrey, Hampshire</t>
  </si>
  <si>
    <t>Being a parent isn’t easy. Most families with young children struggle with something and we can help you resolve sleeping and behaviour issues from birth to 11.</t>
  </si>
  <si>
    <t>http://www.sleepfairyparentrescue.co.uk</t>
  </si>
  <si>
    <t>#mentalhealth #stress #depression #anxiety No Comfort Zone: Notes on Living with Post Traumatic Stress Disorder -</t>
  </si>
  <si>
    <t>http://pachaworld.org/mentalhealth-stress-depression-anxiety-no-comfort-zone-notes-on-living-with-post-traumatic-stress-disorder</t>
  </si>
  <si>
    <t>https://pbs.twimg.com/media/EOPE2GPUYAY8r-g.jpg</t>
  </si>
  <si>
    <t>Adam, Diabetic Cyborg</t>
  </si>
  <si>
    <t>Adulting by @yenna_solla  #Nonet #Challenge #Life #Stress #Poem</t>
  </si>
  <si>
    <t>https://link.medium.com/nqm8k3Snd3</t>
  </si>
  <si>
    <t>Longview, TX</t>
  </si>
  <si>
    <t>Stoic Optimist, mental Health/health advocate, geek, sneakerhead, pet lover, Historian, disabled blogger/vlogger w/ T1Diabetes, SPMS CSM MDD = redefined purpose</t>
  </si>
  <si>
    <t>https://www.diabeticcyborg.com</t>
  </si>
  <si>
    <t>Cigna UK HealthCare</t>
  </si>
  <si>
    <t>Globally, how is chronic #stress impacting health systems? #Cigna</t>
  </si>
  <si>
    <t>https://pbs.twimg.com/media/EOPDWf3X4AAY3Y2.jpg</t>
  </si>
  <si>
    <t>Greenock, Scotland</t>
  </si>
  <si>
    <t>We manage employee health benefits by providing managed healthcare plans &amp; dental benefit solutions. This page is for info &amp; isn't monitored for member queries.</t>
  </si>
  <si>
    <t>http://www.cigna.co.uk</t>
  </si>
  <si>
    <t>Health Insurance &amp; Protection</t>
  </si>
  <si>
    <t>Stress related illnesses costing the #NHS over £11bn a year according to research by @Cigna. Nearly three quarters of Brits suffer from #stress</t>
  </si>
  <si>
    <t>https://www.healthinsuranceandprotection.com/wellbeing/stress-related-illnesses-costing-the-nhs-over-11bn-a-year</t>
  </si>
  <si>
    <t>Europe's leading provider of news, insight, analysis &amp; opinion for #health #insurance #protection #employeebenefits &amp; #wellbeing professionals.</t>
  </si>
  <si>
    <t>http://www.healthinsuranceandprotection.com</t>
  </si>
  <si>
    <t>Brian Canavan</t>
  </si>
  <si>
    <t>I'm always banging on about writing your own story - this fab article teaches us how to be aware of getting caught up in the wrong story - How Greater Self-Awareness Can Actually Make You Less Stressed  #stress #purpose #lifebydesign #awareness</t>
  </si>
  <si>
    <t>https://buff.ly/30iIkog</t>
  </si>
  <si>
    <t>https://pbs.twimg.com/media/EOPCp7YW4AIgI1C.jpg</t>
  </si>
  <si>
    <t>Wherever needed</t>
  </si>
  <si>
    <t>Brian Canavan; author &amp; coach; helping you live your optimal life, your way. Love spreading kindness with the LVI Kindness Ambassadors #SuccessWithoutTheStress</t>
  </si>
  <si>
    <t>http://www.briancanavan.com</t>
  </si>
  <si>
    <t>Abu-Tameem Sal Gamza</t>
  </si>
  <si>
    <t>Stress can develop from not knowing how to deal with those in authority in whichever sphere .. to get more insight, read the blog in the link below  #motivation #goalsetting #lifecoach #stress #personaldevelopment</t>
  </si>
  <si>
    <t>http://itsmylifecoach.co.za/why-be-the-dictator</t>
  </si>
  <si>
    <t>Life Coach - Thinker - blogger - optimist - motivator - entrepreneur - athlete</t>
  </si>
  <si>
    <t>https://www.facebook.com/abutameemshares/</t>
  </si>
  <si>
    <t>It is important to seek professional help if we have unresolved trauma. #Trauma #Stress #Anxiety #Depression #MentalHealth #MentalHealthAwareness #SelfSupport #SelfCare #PositiveMindset #Hope #Recovery #Selflove #SuicidePrevention #Counselling #StopTheStigma #SupportDoNotPunish</t>
  </si>
  <si>
    <t>https://pbs.twimg.com/media/EOO_crmWoAAU65t.jpg</t>
  </si>
  <si>
    <t>Get the 7 Day #Stress Busting Action Plan for FREE</t>
  </si>
  <si>
    <t>Social Care Online</t>
  </si>
  <si>
    <t>🆕 RESEARCH FINDINGS: ‘Every day I worry about something’: a qualitative exploration of children’s experiences of stress and coping #children #stress #qualitativeresearch #FREE TO READ #OPENSOURCE 🔗 via @SCIE_SCO</t>
  </si>
  <si>
    <t>https://www.scie-socialcareonline.org.uk/every-day-i-worry-about-something-a-qualitative-exploration-of-childrens-experiences-of-stress-and-coping/r/a1C6f000007TOenEAG</t>
  </si>
  <si>
    <t>Social Care Online - the UK's largest database of social care research and information from @SCIE_socialcare</t>
  </si>
  <si>
    <t>http://www.scie-socialcareonline.org.uk/</t>
  </si>
  <si>
    <t>Letting your light shine #Goodmorning #Caregivers #Stress #Burnout #Alzheimer #Babyboomers #Caring #Familycaregivers #Healthcare #Selfcare #Comeoutreach #Youarenotalone #SHARKSyouth #Endurance</t>
  </si>
  <si>
    <t>https://pbs.twimg.com/media/EOO8iNYWoAE76Tv.jpg</t>
  </si>
  <si>
    <t>Mental health is important and no matter what it is somthing that most people deal with,dont let it be ignored. Help is always one step away. #work #quoteoftheday #counselling #hcsmSA #southafrica #stress #help #anxiety #Mindfulness</t>
  </si>
  <si>
    <t>https://pbs.twimg.com/media/EOKpRU7XkAEqpp_.jpg</t>
  </si>
  <si>
    <t>Humanitarian Academy</t>
  </si>
  <si>
    <t>Looking after your mental health and wellbeing Our free #onlinecourse 'Wellness and Resilience' can help you understand the impact that #stress is having on your life and how to build personal and organisational #resilience. ▶️ #humanitarian #elearning</t>
  </si>
  <si>
    <t>https://goo.gl/c3dNJs</t>
  </si>
  <si>
    <t>https://pbs.twimg.com/media/EOO66MwX0AAolee.jpg</t>
  </si>
  <si>
    <t>Our mission is to enable people around the world to prepare for and respond to crises in their own countries.</t>
  </si>
  <si>
    <t>http://www.humanitarianleadershipacademy.org</t>
  </si>
  <si>
    <t>Rangewell</t>
  </si>
  <si>
    <t>How #employees cope with ‘excessive’ workplace stress according to new research on @SMEwebUK  #HR #wellbeing #stress</t>
  </si>
  <si>
    <t>http://ow.ly/5UOO30q9h8H</t>
  </si>
  <si>
    <t>https://pbs.twimg.com/media/EOO6MVHX4AYD1O3.jpg</t>
  </si>
  <si>
    <t>Every type of #finance for every type of business. 300 lenders &amp; thousands of products mapped so you don’t have to. Used by thousands of advisors - find out why</t>
  </si>
  <si>
    <t>http://www.rangewell.com</t>
  </si>
  <si>
    <t>Reintegration System</t>
  </si>
  <si>
    <t>#LifeCoaching: You need more balance in life? Want to get rid of #stress, overcome #challenges, improve #relationship with a loved one? To speed up #SpitritualGrowth? Change your life with the guidance of the Reintegration System's creator, Nebo Lukovich:</t>
  </si>
  <si>
    <t>http://bit.ly/35xSumh</t>
  </si>
  <si>
    <t>https://pbs.twimg.com/media/EOO5u3RVAAA6Y3k.jpg</t>
  </si>
  <si>
    <t>New frontiers of #SpiritualGrowth. #HolographicPrinciple: inner being→ outer reality→ everyone is fully responsible for their own life. #Meditation #Mindfulness</t>
  </si>
  <si>
    <t>http://www.re-integration.com</t>
  </si>
  <si>
    <t>Miss K</t>
  </si>
  <si>
    <t>#GivingTuesday #ChildhoodCancer #Cancer Imagine your child needs to go to another country every few mos for cancer treatment, surgery &amp; tests: the cost, time away from #family, #stress ~ then imagine your child, wrote a successful book about the experience! RT @alexs_journey: If you can help. #AlexandersJourney</t>
  </si>
  <si>
    <t>https://twitter.com/alexs_journey/status/1217017129368768512
https://www.gofundme.com/f/alexandergoodwinsjourney</t>
  </si>
  <si>
    <t>#Tips #Motivation #Inspiration #Health #LowCarb #Quotes #Military #Vets #BlueLine #Police #Christian 🌼🌼🌼</t>
  </si>
  <si>
    <t>Frugaldom</t>
  </si>
  <si>
    <t>Hints and tips to help frugal students. #studentlife #money #stress RT @WorldHealthScot: Top Health Tips For Students Health tips for students living on a budget, students dealing with the anxiety and stress of college and university life. Student life can be exciting, life changing but it also can be demanding and challenging.  #studentlife</t>
  </si>
  <si>
    <t>https://twitter.com/WorldHealthScot/status/1174178758460354560
https://www.pickthebrain.com/blog/top-health-tips-for-students/</t>
  </si>
  <si>
    <t>Dumfries &amp; Galloway, Scotland</t>
  </si>
  <si>
    <t>Environmental project providing inspiration for writers &amp; artists, and a safehaven for ponies &amp; wildlife. I'm a frugal living writer of fact, fiction &amp; haiku.</t>
  </si>
  <si>
    <t>http://www.frugaldom.com</t>
  </si>
  <si>
    <t>IMS Ghaziabad (UC)</t>
  </si>
  <si>
    <t>When you decide to face your problems head on, you get the #courage to take on even the most difficult of #challenges. #life is not how it happens to you, it's how you live it. #streesmangement #stress #stressrelief #study #studymotivation @Sapnarakesh @imsuc_campus @pushpeshp</t>
  </si>
  <si>
    <t>https://pbs.twimg.com/media/EOO2kspU8AASGXk.jpg</t>
  </si>
  <si>
    <t>Ghaziabad, India</t>
  </si>
  <si>
    <t>IMS Ghaziabad UC Campus official Page #bba #bca #bjmc #bsc #MIB http://imsuc.ac.in</t>
  </si>
  <si>
    <t>http://www.imsuc.ac.in</t>
  </si>
  <si>
    <t>Jumana Al Tamimi</t>
  </si>
  <si>
    <t>Women's stress and depression transferred to children with not a single word ! my recent blog  #socialintelligence #children #women #depression #stress #crying</t>
  </si>
  <si>
    <t>https://jumanakt.wordpress.com/2020/01/14/why-children-cry-i-know-one-answer-or-maybe-more/</t>
  </si>
  <si>
    <t>Associate editor at Gulf News. My views are not their views.</t>
  </si>
  <si>
    <t>Powerful techniques to control #anxiety #stress #worry #negativethoughts</t>
  </si>
  <si>
    <t>https://youtu.be/KSnZJgKTKvI</t>
  </si>
  <si>
    <t>The Importance and the Benefits Derived by Cycling See:  @isrgrajan #TuesdayMotivation #IsrgRajan #Abs #biceps #bicycle #bike #club #Cycle #excercise #fitness #men #ride #six_packs #Society #Stress #tall #Technology</t>
  </si>
  <si>
    <t>https://pbs.twimg.com/media/EOO1lkQUEAAT-_j.jpg</t>
  </si>
  <si>
    <t>Mente</t>
  </si>
  <si>
    <t>Stress-related illness costs the UK over £11 billion every year - how can you help to ease the burden? ▶️  #Stress</t>
  </si>
  <si>
    <t>http://bit.ly/385JYMA</t>
  </si>
  <si>
    <t>We protect businesses by supporting them in managing employee mental health &amp; safety. Email: info@mente.co.uk</t>
  </si>
  <si>
    <t>http://www.mente.co.uk</t>
  </si>
  <si>
    <t>The Recruitment Shop</t>
  </si>
  <si>
    <t>They are in every workplace. So here's how to deal with them and avoid a toxic workplace.  #stress #difficultpeople #stressfulpeople #workplaceadvice</t>
  </si>
  <si>
    <t>https://www.careercontessa.com/advice/problem-coworkers/?fbclid=IwAR2PeYkXuxXWYlHMCYV6BCTs7pGTDLrNUmcNKs1LDZeKpauIgKAeijfwUzU</t>
  </si>
  <si>
    <t>Thornton Heath, Croydon,UK</t>
  </si>
  <si>
    <t>We are a successful recruitment agency with a highly motivated and dedicated team, who have in excess of 20 years of industry experience.</t>
  </si>
  <si>
    <t>http://www.therecruitmentshop.co.uk/index.php</t>
  </si>
  <si>
    <t>Brodies LLP</t>
  </si>
  <si>
    <t>Keeping on top of your work load can be difficult when going through a #divorce. Jennifer Wilkie shares some thoughts on how to deal with the #stress of divorce whilst in the workplace:  #familylaw #marriage #separation #letstalkaboutit</t>
  </si>
  <si>
    <t>https://brodi.es/2txSFjO</t>
  </si>
  <si>
    <t>https://pbs.twimg.com/media/EOOyphnWoAUz_AH.jpg</t>
  </si>
  <si>
    <t>Commercial insight, industry focus, international perspective - Enlightened Thinking from Scotland's leading lawyers.</t>
  </si>
  <si>
    <t>http://www.brodies.com</t>
  </si>
  <si>
    <t>The Fertility Hub</t>
  </si>
  <si>
    <t>This week’s Managing an IVF Unit blog for health care professionals looks at how to address stress in the workplace.  #assistedreproduction #stress #fertilityhub</t>
  </si>
  <si>
    <t>https://thefertilityhub.com/dealing-with-stress-in-an-ivf-clinic/</t>
  </si>
  <si>
    <t>https://pbs.twimg.com/media/EOOypbQXsAAsIdX.jpg</t>
  </si>
  <si>
    <t>Fertility Hub is your one stop resource for information on assisted reproduction. contact@thefertilityhub.com</t>
  </si>
  <si>
    <t>Drivers &amp; Norris</t>
  </si>
  <si>
    <t>Good #estateagents will take the #stress of #movinghome out of your hands. How do you find one that you can trust, while still achieving the best possible price? Rule no. 1 - #chooseaguildagent #theguild #proudguildmember #propertyprofessionals</t>
  </si>
  <si>
    <t>https://www.drivers.co.uk/news/choosing-the-right-estate-agent.html</t>
  </si>
  <si>
    <t>https://pbs.twimg.com/media/EOOyYIoUwAADcDG.png</t>
  </si>
  <si>
    <t>@RelocationAgent Network Agent of the Year 2019 @GuildProperty Lettings and Sales Agent of the Year 2019. Independent real estate &amp; commercial service provider.</t>
  </si>
  <si>
    <t>http://www.drivers.co.uk</t>
  </si>
  <si>
    <t>BTCSoftware</t>
  </si>
  <si>
    <t>Things are getting busier and stress levels are rising. Check out the top tips for managing mental wellness in busy season and beyond. Feel free to share this handy guide!  #SelfAssessment #MentalWellness #WorkplaceStress #Stress #Morethanjustsoftware</t>
  </si>
  <si>
    <t>https://www.financialaccountant.co.uk/blog/managing-mental-wellness-in-self-assessment-season</t>
  </si>
  <si>
    <t>Surrey</t>
  </si>
  <si>
    <t>An independent provider of tax software for small to medium accountancy firms. We combine great design and robust performance with exceptional value for money.</t>
  </si>
  <si>
    <t>http://www.btcsoftware.co.uk</t>
  </si>
  <si>
    <t>Don’t be a night-time clock watcher. Staring at the time when you're struggling to drift off increases your #stress response (especially if you have an earlier wake-up) making it even harder to fall asleep</t>
  </si>
  <si>
    <t>J Partarrieu</t>
  </si>
  <si>
    <t>#stress and #exhaustion are silent killers @ESCardioNews in the news RT @cnni: Chronic stress and exhaustion may be a risk factor for developing a potentially fatal heart flutter, new research suggests</t>
  </si>
  <si>
    <t>https://twitter.com/cnni/status/1216944518022533120
https://cnn.it/2NnP1Qu</t>
  </si>
  <si>
    <t>Following health and wellbeing issues. Based in France.</t>
  </si>
  <si>
    <t>Top Level Income</t>
  </si>
  <si>
    <t>https://buff.ly/2I3xqKi</t>
  </si>
  <si>
    <t>https://pbs.twimg.com/media/EOOxCNyUwAAA7df.jpg</t>
  </si>
  <si>
    <t>Online Marketer &amp; Entrepreneur</t>
  </si>
  <si>
    <t>http://www.toplevelincome.com</t>
  </si>
  <si>
    <t>Vital #exhaustion associated with increased inflammation &amp; activation of the body’s physiologic #stress response. When these two are triggered that can have serious &amp;amp; damaging effects on the heart RT @ESCardioNews: #Burnout linked with irregular heartbeat  #Afib #Prevention #HeartHealth #cardiotwitter #EJPC @cardionews @m_piepoli</t>
  </si>
  <si>
    <t>https://twitter.com/ESCardioNews/status/1217009168185462785
https://bit.ly/3a603Uc</t>
  </si>
  <si>
    <t>https://pbs.twimg.com/media/EOOvXw1XkAEuUMw.jpg</t>
  </si>
  <si>
    <t>👑 Ally Fortis - Tarot Reader &amp; Numerologist 👑</t>
  </si>
  <si>
    <t>While we try so hard to find a cure for #cancer, why don't we try to remove the causes (#chemicals, #radiation, #stress)?</t>
  </si>
  <si>
    <t>Bringing clarity into your life, career &amp; business through tarot, numerology &amp; spirituality👉Readings⤵️ | Contributor for @thrive | Author http://payhip.com/allyfortis</t>
  </si>
  <si>
    <t>https://allyfortis.weebly.com/</t>
  </si>
  <si>
    <t>SPS Hospitals India</t>
  </si>
  <si>
    <t>#Stress seems to worsen or increase the risk of conditions like #obesity, #heart disease, #Alzheimer's disease, #diabetes, #depression, #gastrointestinal problems, and #asthma. know more at  Call 8288886626</t>
  </si>
  <si>
    <t>http://www.spshospitals.com</t>
  </si>
  <si>
    <t>https://pbs.twimg.com/media/EOOvbv4UcAAtA01.jpg</t>
  </si>
  <si>
    <t>Ludhiana, India</t>
  </si>
  <si>
    <t>Best Hospital in Punjab Ludhiana India for Cardiology, #KidneyTransplant, #OrthopaedicSurgey, #HeartSurgery &amp; #livertransplant</t>
  </si>
  <si>
    <t>Juice making is a unique way to manage #stress and build an overall sense of well-being. Take advantage of this fantastic opportunity today in the dance studio on the lower ground between 12pm-1pm as part of #MentalWellnessMonth.</t>
  </si>
  <si>
    <t>Trissa Tismal-Capili</t>
  </si>
  <si>
    <t>https://app.quuu.co/r/BeZkv</t>
  </si>
  <si>
    <t>Los Angeles, California</t>
  </si>
  <si>
    <t>On a mission to help Business owners Stop Overwhelm and Boost their Profits, so they enjoy a life w/ no-tradeoffs</t>
  </si>
  <si>
    <t>http://www.AbundaFlow.com</t>
  </si>
  <si>
    <t>MidYorks NHS Library</t>
  </si>
  <si>
    <t>In January's issue of @bjhcm; #Stress and coping strategies among #NHS executives in #STPs, #Burnout across the healthcare #workforce, Insights for implementing #change in healthcare &amp; more . Access is via NHS @openathens, @midyorkslibrary with any❓</t>
  </si>
  <si>
    <t>https://bit.ly/2PQfaYt</t>
  </si>
  <si>
    <t>https://pbs.twimg.com/media/EOOuieTWkAAGI7H.png</t>
  </si>
  <si>
    <t>Wakefield</t>
  </si>
  <si>
    <t>We provide library services to all @MidYorkshireNHS staff, students on placement @midyorksmeded @PDEUteam &amp; organisations covered by a SLA.</t>
  </si>
  <si>
    <t>http://www.midyorks.nhs.uk/library</t>
  </si>
  <si>
    <t>Career Ambitions</t>
  </si>
  <si>
    <t>Stress is something that affects many of us. I've shared my tips on how to stop yourself from burning out on the blog:  #stress #jobs #careers #careeradvice #coach</t>
  </si>
  <si>
    <t>https://careerambitions.co.uk/manage-stress/</t>
  </si>
  <si>
    <t>Cambridgeshire, UK</t>
  </si>
  <si>
    <t>Katherine gives you fresh perspectives on your career so that you can be proactive and in the driving seat! Tweets by @Recrion &amp; @Ambitionsclub</t>
  </si>
  <si>
    <t>http://www.careerambitions.co.uk</t>
  </si>
  <si>
    <t>The Awareness Centre</t>
  </si>
  <si>
    <t>Regular access to #meditation #apps can help improve #employee #wellbeing and #performance, says research  #workplace #stress #mindfulness</t>
  </si>
  <si>
    <t>https://www.bps.org.uk/news-and-policy/regular-access-meditation-apps-improves-staff-wellbeing-and-performance</t>
  </si>
  <si>
    <t>Offering #counselling support seven days a week from our centres in Clapham &amp; Tooting – helping you fit #therapy into your life. Call 020 8673 4545.</t>
  </si>
  <si>
    <t>https://theawarenesscentre.com</t>
  </si>
  <si>
    <t>It is absolutely imperative that we all take the time to de-stress &amp; let go of all of the worries, concerns, and responsibilities...#stress</t>
  </si>
  <si>
    <t>https://pbs.twimg.com/media/EOOoWazWsAA1mxc.jpg</t>
  </si>
  <si>
    <t>https://pbs.twimg.com/media/EOOoR8TW4AEJELE.jpg</t>
  </si>
  <si>
    <t>Dealing with divorce stress: Do Things That Will Nurture You Emotionally and Physically! Read a good book, get plenty of rest, take a hot bath, develop a new hobby, eat healthy, and surround yourself with positive people.  #FamilyLaw #Divorce #Stress</t>
  </si>
  <si>
    <t>http://ow.ly/H9pS50xPXJ3</t>
  </si>
  <si>
    <t>https://pbs.twimg.com/media/EOOn5TiX4AEqruf.jpg</t>
  </si>
  <si>
    <t>https://pbs.twimg.com/media/EOOmxGQXkAAXHr5.jpg</t>
  </si>
  <si>
    <t>Jayne Cox</t>
  </si>
  <si>
    <t>Notice how you feel this morning, notice your environment and how it makes you feel #Wellbeing #Stress #Anxiety RT @FUSIONspaces: As human animals we are scanning our environment for safety cues and feeling safe allows us to feel a sense of calm. Squirrels Listen to Birdsong for Safety Cues | The Scientist Magazine®  #Wellbeing #WorkplaceWellbeing #Sound #Stress #Anxiety #Trauma</t>
  </si>
  <si>
    <t>https://twitter.com/FUSIONspaces/status/1216998396931792896
http://ht.ly/Bf1N30q9gNw</t>
  </si>
  <si>
    <t xml:space="preserve">Safe &amp; Sound going free range </t>
  </si>
  <si>
    <t>Help the #HumanAnimal go #FreeRangeATWork co-founder @FUSIONspaces #Tech + #Wellbeing = #StressManagement #SSP Practitioner ❤ #Life #Animals #Nature #F1 #hygge</t>
  </si>
  <si>
    <t>http://ht.ly/H9NU30pRhMQ</t>
  </si>
  <si>
    <t>As human animals we are scanning our environment for safety cues and feeling safe allows us to feel a sense of calm. Squirrels Listen to Birdsong for Safety Cues | The Scientist Magazine®  #Wellbeing #WorkplaceWellbeing #Sound #Stress #Anxiety #Trauma</t>
  </si>
  <si>
    <t>http://ht.ly/Bf1N30q9gNw</t>
  </si>
  <si>
    <t>Helen Oakwater</t>
  </si>
  <si>
    <t>Adopted and fostered children are more likely to fill these spaces. #trauma #adoption #stress</t>
  </si>
  <si>
    <t>https://www.theguardian.com/education/2020/jan/14/school-isolation-cubicle-three-toilet-breaks-a-day?CMP=Share_iOSApp_Other</t>
  </si>
  <si>
    <t>Explorer. Intent on melting trauma &amp; future proofing maltreated children. Author (Want to Adopt &amp; Bubble Wrapped Children) International Trainer, Coach, Adopter</t>
  </si>
  <si>
    <t>http://www.FABparents.co.uk</t>
  </si>
  <si>
    <t>Rhiannon Ford</t>
  </si>
  <si>
    <t>What we eat and drink have a big impact on how we feel and think. Choose wisely. Read my blog on #foods to avoid when managing #stress in #divorce</t>
  </si>
  <si>
    <t>http://bit.ly/2SCNmGP</t>
  </si>
  <si>
    <t>https://pbs.twimg.com/media/EOOke6MWkAAZkta.jpg</t>
  </si>
  <si>
    <t>Surrey, United Kingdom</t>
  </si>
  <si>
    <t>#Divorce consultant and coach: Guidance and support from beginning to end of the divorce process. #QueenOf #SDA18 #Top10UKDivorceBlog2018 Awards</t>
  </si>
  <si>
    <t>http://www.rhiannonford.co.uk</t>
  </si>
  <si>
    <t>“Teach Your Child Important Life Skills Through Family Meditation”  #life mindfulness meditation #stress #peace</t>
  </si>
  <si>
    <t>Dawn Sillett</t>
  </si>
  <si>
    <t>Different ways of dealing with workplace #stress depend on how the stressor is perceived - as a challenge or a hindrance. Research report with implications for managers by @IOATWORK</t>
  </si>
  <si>
    <t>https://buff.ly/36QPF0E</t>
  </si>
  <si>
    <t>https://pbs.twimg.com/media/EOOiYm1XsAALMZs.jpg</t>
  </si>
  <si>
    <t>News, tips and thoughts from Zoomly. We specialise in super-focused, bite-sized training &amp; coaching.</t>
  </si>
  <si>
    <t>http://www.zoomly.co.uk</t>
  </si>
  <si>
    <t>💡Studies have shown that when people feel like they are contributing to a higher #purpose, they often have a #healthier and #happier outlook. They can also prove more #resilient to #stress. ..  #Motivation #meaning</t>
  </si>
  <si>
    <t>https://www.bbc.co.uk/programmes/articles/LHW5b3sZlwltz6PDDS1Szw/how-having-a-purpose-can-help-us</t>
  </si>
  <si>
    <t>Eileen Burns</t>
  </si>
  <si>
    <t>So What Is The Fight 😱 Flight Or Freeze Response? It is basically the stress response, our survival response, our bodies physical, mental &amp; emotional way to cope with in pre-historic times a life threatening situation. #stress #stressed Get help at</t>
  </si>
  <si>
    <t>http://www.stress-coach.co.uk</t>
  </si>
  <si>
    <t>https://pbs.twimg.com/media/EOOhBL7WoAAbBUO.jpg</t>
  </si>
  <si>
    <t>Stress Coach &amp; Therapist, Stress Management Expert, Cert Relaxation Therapist Training For Therapists, Meditation Teacher, Established Business since 2000.</t>
  </si>
  <si>
    <t>Christine Hansen</t>
  </si>
  <si>
    <t>If you want to have a talk with me or one of my team members, just head over to Sleep like a Boss, and go to the Sleep Like a Boss team section, where you can pick and choose who you want to work with or who you want to talk to. Read more 👉  #Stress</t>
  </si>
  <si>
    <t>https://bit.ly/2PYbrtl</t>
  </si>
  <si>
    <t>https://pbs.twimg.com/media/EOOgJW9XsAA7ico.jpg</t>
  </si>
  <si>
    <t>Luxembourg</t>
  </si>
  <si>
    <t>#SleepExpert to CEOs, Executives and Successful Entrepreneurs who want to sleep but can't.</t>
  </si>
  <si>
    <t>http://rcl.ink/C5</t>
  </si>
  <si>
    <t>Are you feeling #stuck in the same cycle of behaviour that always seems to get in the way? #Stress #Coaching #therapy</t>
  </si>
  <si>
    <t>http://ow.ly/qO8A30q5mtX</t>
  </si>
  <si>
    <t>https://pbs.twimg.com/media/EOOdlLyWoAEZZCU.png</t>
  </si>
  <si>
    <t>OilScience SA</t>
  </si>
  <si>
    <t>Research has shown that using your CBD products regularly and consistently will produce the best results. Shop online @  #cbd #cbdfacts #cbdoil #hemp #naturalhealing #wellness #health #beauty #natural #stress #anxiety #insomnia #cbdmovement</t>
  </si>
  <si>
    <t>http://www.oilscience.co.za</t>
  </si>
  <si>
    <t>https://pbs.twimg.com/media/EOOdhq1XsAAviRb.jpg</t>
  </si>
  <si>
    <t>Premium CBD products. 100% natural. Vegan-friendly. Zero chemicals or THC. Shop online @ http://oilscience.co.za. #KnowYourSource</t>
  </si>
  <si>
    <t>Alison Smith</t>
  </si>
  <si>
    <t>I love Angie’s poems - always funny and thought provoking in equal measure. Looking forward to hearing her speak on Thursday. #mentalhealth #headstogether #MentalHealthMatters #mentalhealthawareness #stress RT @HeadtorchHQ: “Stressed - I’m not stressed” by @AngieStrachan75  one of the speakers at #worksmental where bringing together the best thinkers &amp; innovators on #mentalhealthatwork, so that other leaders can discover how to make work less, well, mental. #wellbeing #hr</t>
  </si>
  <si>
    <t>https://twitter.com/headtorchhq/status/1216981875098517504
https://www.headtorch.org/stressed-im-not-stressed/</t>
  </si>
  <si>
    <t>https://pbs.twimg.com/media/EOOWkEZW4AAbpUf.jpg</t>
  </si>
  <si>
    <t>Scotland</t>
  </si>
  <si>
    <t>Helping Procurement to disrupt habitual thinking to uncover the pesky zigs (inhibiting growth) &amp; the gorgeous zags (accelerating growth) chatty self @alisonrbcm</t>
  </si>
  <si>
    <t>http://www.thepurchasingcoach.co.uk</t>
  </si>
  <si>
    <t>MONDAY MOMENTS!!! When you speak with like-minded people... they infuse joy into your world and inspire you to shine and glow on! Thank you!!! #meaning #stress #mindset #success #motivational #fun #military #positivity #spiritual #selfesteem #leadership #entrepreneur ✍🏿</t>
  </si>
  <si>
    <t>https://pbs.twimg.com/media/EOOW-KfX0AA3ZGD.png</t>
  </si>
  <si>
    <t>Need some help in learning how to learn? Explore More:  #studentproblems #student #highschool #studying #study #studentlife #stress #StudyWithJoanne #Education #EducationalSpeaker #AcademicAssistance #StudentLifeProblems #Canada #Toronto</t>
  </si>
  <si>
    <t>pic.twitter.com/eCtvPRyNAB</t>
  </si>
  <si>
    <t>https://www.podbean.com/eau/pb-qbzu8-cc5801</t>
  </si>
  <si>
    <t>DifferentBeings</t>
  </si>
  <si>
    <t>Meditation For The Stressed and Skeptical Beginner. #stressrelief #selfcare #meditation #mindful #mindfulthinking #breathe #stress #mentalhealth #anxiety #health</t>
  </si>
  <si>
    <t>http://differentbeings.net/2020/01/14/meditation-for-the-stressed-and-skeptical-beginner/</t>
  </si>
  <si>
    <t>Book Fanatic and Lover of Music.</t>
  </si>
  <si>
    <t>http://differentbeings.net</t>
  </si>
  <si>
    <t>https://pbs.twimg.com/media/EOOQ_ncWkAAa8xd.jpg</t>
  </si>
  <si>
    <t>No matter who you are, we've all stood in chaotic situations whether personal, social, or those overwhelming and stressful work circumstances. So how do we handle these situations and still keep cool? Listen:  | RichPerry #stress</t>
  </si>
  <si>
    <t>🇬🇧oh no, it's him again. 🇬🇧 🦊</t>
  </si>
  <si>
    <t>Morning everyone. Be kind to everyone today, you don't know what private/personal battles they are fighting. #anxiety #stress #PTSD</t>
  </si>
  <si>
    <t>abagoffrogs@hotmail.com</t>
  </si>
  <si>
    <t>All round good egg but a little cracked. A cup of tea and a chat fixes many things - get the kettle on. Banter welcome. May offend. Many interests.</t>
  </si>
  <si>
    <t>A Healthy Gut Is the Secret to Better Sleep, Clear Skin, and Less Stress  #sleep #stress #bacteria #microbiome #health #wellness</t>
  </si>
  <si>
    <t>https://www.vogue.com/article/gut-digestive-health-best-expert-tips-nutritious-life-diet-sleep-stress-exercise-cleanse</t>
  </si>
  <si>
    <t>Random Alaskan</t>
  </si>
  <si>
    <t>I have GOT to get back off the grain/sugar roller coaster. I feel like utter crap. #felloffthepaleowagon #sodumb #stress #lameexcuse</t>
  </si>
  <si>
    <t>Alaska, USA</t>
  </si>
  <si>
    <t>Lifelong Alaskan - most of my years in Fairbanks and the last few in Anchorage. Just hoping to get my butt back to the Golden Heart City where I belong.</t>
  </si>
  <si>
    <t>pic.twitter.com/CT1Gf0K3Cb</t>
  </si>
  <si>
    <t>Karen Docter</t>
  </si>
  <si>
    <t>Dan ~ "You got what you saw. That's refreshingly honest." SATIN PLEASURES, Karen Docter #stress #romance</t>
  </si>
  <si>
    <t>http://amzn.com/B0078VSY6G/?tag=wwwkarendocte-20</t>
  </si>
  <si>
    <t>Mile High City</t>
  </si>
  <si>
    <t>Bestselling Contemporary as Karen Docter--Romance with a Kick! Suspense as K.L. Docter--Women hunted by killers...men who'd die to protect them.</t>
  </si>
  <si>
    <t>http://www.karendocter.com</t>
  </si>
  <si>
    <t>Hakeem Bolling</t>
  </si>
  <si>
    <t>- Don’t #date me, ima #fuck you good &amp; #stress you out. 😭 stay Away ‼️</t>
  </si>
  <si>
    <t>West Philly</t>
  </si>
  <si>
    <t>my condolences to anyone who lost me‼️💯 October 6th A King🤴Was Born😈📌 SC// hak666 IG// ___hak__ #LLK💔🙇🏾‍♂️ #LLR💔🙇🏾‍♂️ #LLZ💔🙇🏾‍♂️</t>
  </si>
  <si>
    <t>http://instagream.com/____hak__</t>
  </si>
  <si>
    <t>Tanya J Peterson NCC</t>
  </si>
  <si>
    <t>The #HolidaySeason is here! Un-Invite #Anxiety #Depression #Stress from your #Celebrations  #Wellbeing #HolidayTips</t>
  </si>
  <si>
    <t>http://bit.ly/2L0tXyj</t>
  </si>
  <si>
    <t>https://pbs.twimg.com/media/EOOGTwxW4AE2Gi6.png</t>
  </si>
  <si>
    <t>Eugene, Oregon</t>
  </si>
  <si>
    <t>I'm the voice of Wellbeing&amp;Words. Through books and articles on http://HealthyPlace.com, I help people help themselves create wellbeing. Live your quality life!</t>
  </si>
  <si>
    <t>http://tanyajpeterson.com</t>
  </si>
  <si>
    <t>Elizabeth</t>
  </si>
  <si>
    <t>#stress Adopting the right attitude can convert a negative stress into a positive one. - Hans Selye</t>
  </si>
  <si>
    <t>Avon, CO</t>
  </si>
  <si>
    <t>#スターウォーズ #ようこそ異境へ</t>
  </si>
  <si>
    <t>Aster Hospitals</t>
  </si>
  <si>
    <t>Come and join us for an interactive live session on how to treat #highriskpregnancy with Dr Sunil Eshwar - Lead Obstetrics &amp; Gynaecology on 16th Jan 2020 at 4:00PM #Pregnancy #PregnantLady #PregnancyCare #Pregnant #Stress #Infertility #Fertility #Anxiety #MaternalFetal #FetalCare</t>
  </si>
  <si>
    <t>https://pbs.twimg.com/media/EOOEnktU0AAUwAs.jpg</t>
  </si>
  <si>
    <t>Aster Hospitals, Bangalore is an initiative of Aster DM Healthcare,a global healthcare group with 193 medical facilities across 8 countries.Founded in 1987.</t>
  </si>
  <si>
    <t>http://www.asterbangalore.com/</t>
  </si>
  <si>
    <t>Yatan Ayurveda</t>
  </si>
  <si>
    <t>Some women will say “I have a few wrinkles but, other than that, I feel fine!” But how do you know you actually are fine? Read More:  #ayurveda #holistic #women #nature #rejuvenation #yoga #wellness #health #stress #holistichealth #melbourne</t>
  </si>
  <si>
    <t>https://www.yatan-ayur.com.au/rejuvenation-for-women/</t>
  </si>
  <si>
    <t>https://pbs.twimg.com/media/EOOEUqXVAAAibhZ.jpg</t>
  </si>
  <si>
    <t>Experience the #healing benefits of #Ayurvedic #medicine with renowned #practitioner and #author Raman Das Mahatyagi. Heal and Bloom with Yatan Ayurveda!</t>
  </si>
  <si>
    <t>http://www.yatan-ayur.com.au</t>
  </si>
  <si>
    <t>The Natural Remedies</t>
  </si>
  <si>
    <t>🧘‍♀️🎼#relax #yoga and #nature sounds in app #naturalremedies , against #insomnia #anxiety and #stress ! Android  iOS  #healthyliving #healthylifestyle #healthtips #nature #gethealthy #holistichealth #yogalove #yogapassion</t>
  </si>
  <si>
    <t>https://play.google.com/store/apps/details?id=com.kaleidosstudio.natural_remedies
https://apps.apple.com/us/app/the-natural-remedies/id1081776412</t>
  </si>
  <si>
    <t>https://pbs.twimg.com/media/EOOA0NfX4AAYBbF.jpg</t>
  </si>
  <si>
    <t>Italia</t>
  </si>
  <si>
    <t>App for iOS and Android. All what you need about natural remedies, health and yoga</t>
  </si>
  <si>
    <t>https://www.naturallifeapp.com/</t>
  </si>
  <si>
    <t>#Yoga for #Stress - best poses to open the heart and relieve the long day grind. via elitedaily  #relief #stress #yoga</t>
  </si>
  <si>
    <t>https://pbs.twimg.com/media/EOOAh5SWkAMe-rq.jpg</t>
  </si>
  <si>
    <t>https://pbs.twimg.com/media/EOOAF_XWkAECqWl.jpg</t>
  </si>
  <si>
    <t>Carole Sian</t>
  </si>
  <si>
    <t>Study sheds light on link between #cannabis, #anxiety and #stress #brainresearch #marijuana #mentalhealth #neuroscience #prefrontalcortex #psychology</t>
  </si>
  <si>
    <t>https://neurosciencenews.com/cannabis-anxiety-stress-15461/</t>
  </si>
  <si>
    <t>North East, uk</t>
  </si>
  <si>
    <t>@FibroFlutters #PatientLeader #patientexpert #Mind @FMAUK @EDSUK #ChronicIllness #fibro #ChronicPain #MEcfs #EDS #HSDs #MentalHealth #IBS #PRAI #WEGOHealthPLN</t>
  </si>
  <si>
    <t>https://fibroflutters.com/</t>
  </si>
  <si>
    <t>World Heart Congress</t>
  </si>
  <si>
    <t>#World #Heart #Congress #May 11-13, 2020 #Tokyo, #Japan #Workshop on #Stress- #Induces #cardiomyopathy: #Taking #first #steps #towards #personalized #medicine Only few #speaker #slots available #HURRYUP @cvi_phila @clinicalcardio2 @HeartCongress @DelhiChildHeart</t>
  </si>
  <si>
    <t>https://pbs.twimg.com/media/EON80LmVAAcYYlr.jpg</t>
  </si>
  <si>
    <t>The World Heart Congress will be held during May 11-13, 2020 @Tokyo Japan which melds brief keynote presentations,Speaker talks,Exhibition, workshops.</t>
  </si>
  <si>
    <t>http://www.heartcongress.conferenceseries.com</t>
  </si>
  <si>
    <t>Much of the stress that people feel doesn't come from having too much to do. It comes from not finishing what they've started. It's always best to keep busy, to plow your anger and energy into something positive. #ThePlanetHealthTv #PlanetHealthCares #Stress #Health #Wellbeing</t>
  </si>
  <si>
    <t>"...for me personally, it is the gift that just keeps on giving!...it’s brought a little lift to me, my own secret #stress #support-system, sometimes motivating, always calming and relaxing."  #WhatIKnowIsReal</t>
  </si>
  <si>
    <t>https://www.soisfibromyalgiareal.com/dont-sweat-the-small-stuffand-its-all-small-stuff-and-fibromyalgia-book-share-i/</t>
  </si>
  <si>
    <t>kratom Temple</t>
  </si>
  <si>
    <t>#Kratom #Extracts- Say Goodbye to #Stress and #Anxiety. Explore a plethora of workout products by visiting</t>
  </si>
  <si>
    <t>https://bit.ly/2Sj5xEy</t>
  </si>
  <si>
    <t>https://pbs.twimg.com/media/EONxqxpUwAAZbgP.jpg</t>
  </si>
  <si>
    <t>Providing you with updated and complete know-how of the Kratom industry.</t>
  </si>
  <si>
    <t>https://kratomtemple.com/</t>
  </si>
  <si>
    <t>EmWrites📚</t>
  </si>
  <si>
    <t>Worst freak out as a student, day one. Instructors are there to help. I'm thankful. I do my best. Life's too short for freak outs. Not good for my health, body, self-confidence. Makes me feel worse, it can kill. Writing and reading are my safe places #stress #anxiety #itsreal</t>
  </si>
  <si>
    <t>Lover of coffee. Writer of fiction. Aspiring author. Chocolate lover of any kind. Recent associate degree graduate. Currently pursuing medical certificate.</t>
  </si>
  <si>
    <t>🧚🏼‍♂️🧠Independent Mind🧠🧚🏼‍♂️</t>
  </si>
  <si>
    <t>LET IT GoOooO! LET IT GoOoOoo! Letting go will release you from pain! 👌🏼🙆🏻‍♀️💆🏻‍♀️🧚🏽 #letitgo #mentalhealth #MentalHealthMatters #BeHappy #pain #EnoughIsEnough #stress #stressrelief #anxiety #help #happy #relax #breakup</t>
  </si>
  <si>
    <t>https://pbs.twimg.com/media/EONttFnU4AAvNsX.jpg</t>
  </si>
  <si>
    <t>Caring about mental and body health! #mentalhealth #depression #anxiety #breakups #separation #independent #confidence #women #heartbroken #stress</t>
  </si>
  <si>
    <t>Nate Anderson</t>
  </si>
  <si>
    <t>#depression #DepressionIsReal #stressed #stress #EVERYDAY hope things will get better soon!</t>
  </si>
  <si>
    <t>https://pbs.twimg.com/media/EONtGjvWkAAEXYf.jpg</t>
  </si>
  <si>
    <t>Lafayette, TN</t>
  </si>
  <si>
    <t>The fine line between social networking and wasting your time.</t>
  </si>
  <si>
    <t>Silvia Damiano</t>
  </si>
  <si>
    <t>A #brain impacted by the trauma of #stress and uncertainty is a brain which cannot make the best decisions.</t>
  </si>
  <si>
    <t>http://bit.ly/2PSQCzE</t>
  </si>
  <si>
    <t>Founder &amp; CEO @aboutmybrain, Speaker, Author, Coach, Leadership Expert, Creator of the #i4Neuroleader Model &amp; Director of the #MakeMeALeader Documentary.</t>
  </si>
  <si>
    <t>http://www.aboutmybrain.com</t>
  </si>
  <si>
    <t>Kat O'Keefe-Kanavos</t>
  </si>
  <si>
    <t>#Cancer #HealthCare #Wellness #Stress #TEDX #MissingLink What is the Missing Link in Cancer Health Care? Cort Davies tells you in his TED-X Talk.  @CortDavies @LarryBurkCEHP @BrianTracy</t>
  </si>
  <si>
    <t>https://www.youtube.com/watch?v=PgqtWPAUgy4</t>
  </si>
  <si>
    <t>#dreams #DreamingHealingPodcast #author #AwardWinner #PublishingCoach #3XCancerSurvivor #WritingCommunity https://www.facebook.com/KatKanavos/?ref=h</t>
  </si>
  <si>
    <t>http://www.KathleenOkeefeKanavos.com</t>
  </si>
  <si>
    <t>#Cancer #HealthCare #Wellness #Stress #TEDX #MissingLink What is the Missing Link in Cancer Health Care? Cort Davies tells you in his TED-X Talk. Cort A. Davies, Speaker/Cancer Thriver Larry Burk Brian Tracy</t>
  </si>
  <si>
    <t>https://lnkd.in/eyuhxkN</t>
  </si>
  <si>
    <t>IndependentlyHappy</t>
  </si>
  <si>
    <t>"There is tomorrow — index finger — then the day the plane takes off — middle finger. Two fingers = two days."  How Much Vulnerability is Too Much? by @indyhayhay #humor #stress #vulnerability</t>
  </si>
  <si>
    <t>https://buff.ly/2HsqANZ</t>
  </si>
  <si>
    <t>https://pbs.twimg.com/media/EONm4FDX0Ag01p6.jpg</t>
  </si>
  <si>
    <t>#Philosopher #Writer #Blogger #Traveler #TravelAgent Happiness architect at http://IndependentlyHappy.com. I take #Happiness seriously so you don't have to.</t>
  </si>
  <si>
    <t>https://www.independentlyhappy.com/</t>
  </si>
  <si>
    <t>Getting Comfortable with Being Uncomfortable. #uncomfortable #comfortable #peaceful #stress #stressfree #relax #stressed #stressedout #peace: It’s time to get comfortable with being uncomfortable. “What?” you might exclaim. “I don’t want to be</t>
  </si>
  <si>
    <t>http://tinyurl.com/y42f34l8</t>
  </si>
  <si>
    <t>https://pbs.twimg.com/media/EONmdodU0AEIJW5.jpg</t>
  </si>
  <si>
    <t>https://pbs.twimg.com/media/EONmdWlVUAArcPN.jpg</t>
  </si>
  <si>
    <t>https://pbs.twimg.com/media/EONknlAXsAETi6M.jpg</t>
  </si>
  <si>
    <t>Let the blessed boghi fire burn away with it everything crumbled in your heart and may it bring light to the darkest corners of your mind! #alphameditation #meharmindcare #Salem #mentalhealth #health #meditation #stress #depression #bhogi #calmmind</t>
  </si>
  <si>
    <t>https://pbs.twimg.com/media/EONjPlpU0AIVjmN.jpg</t>
  </si>
  <si>
    <t>"When you have a #quietmind, you’re in the present moment... 75% of Americans say they deal with psychological #stress on a regular basis, and that’s bad news because… you make bad decisions when you’re stressed." @matthew_ferry joins @djdoug on #NGOB.</t>
  </si>
  <si>
    <t>http://bit.ly/2KCosYV</t>
  </si>
  <si>
    <t>https://pbs.twimg.com/media/EONiwJIX4AEtfPP.jpg</t>
  </si>
  <si>
    <t>Wendy Alsup</t>
  </si>
  <si>
    <t>Oh man. This game. #stress #CLEMvsLSU</t>
  </si>
  <si>
    <t>Rural South Carolina</t>
  </si>
  <si>
    <t>Math instructor and author of Companions in Suffering (IVP, 2020) and Is the Bible Good for Women? (Waterbrook/Multnomah, 2017). Enjoying life on the farm.</t>
  </si>
  <si>
    <t>http://www.theologyforwomen.org</t>
  </si>
  <si>
    <t>Delhi Times</t>
  </si>
  <si>
    <t>As part of our series on #mentalhealth, we tell you why #stress and #anxiety due to excessive work pressure should not be ignored Read:  #MentalHealthAwareness #mentalwellness</t>
  </si>
  <si>
    <t>https://bit.ly/2sqnHKc</t>
  </si>
  <si>
    <t>https://pbs.twimg.com/media/EONhcn0X0AExQYT.jpg</t>
  </si>
  <si>
    <t>Delhi/Gurgaon/Noida</t>
  </si>
  <si>
    <t>The official handle of Delhi, Gurgaon &amp; Noida Times. Follow us for news and updates from Bollywood and TV, exclusive pictures, videos &amp; special stories from NCR</t>
  </si>
  <si>
    <t>http://www.timesofindia.com</t>
  </si>
  <si>
    <t>Relmi Damiano</t>
  </si>
  <si>
    <t>http://bit.ly/33cXuMe</t>
  </si>
  <si>
    <t>Chief Creative Officer @aboutmybrain, Brand &amp; Digital Strategist, Designer/Photographer, Entrepreneurship &amp; Innovation Lecturer, Food Lover, Cook &amp; Samba Dancer</t>
  </si>
  <si>
    <t>Adil عادل</t>
  </si>
  <si>
    <t>https://pbs.twimg.com/media/EONcmn3XsAAi2Ma.jpg</t>
  </si>
  <si>
    <t>मुरादाबाद, लखनऊ, दिल्ली</t>
  </si>
  <si>
    <t>New Account. My 11 year old account @madil80 suspended without assigning any reason. RT's not endorsed. AK fan.. http://chng.it/bCLQwjtk</t>
  </si>
  <si>
    <t>http://www.crowdranger.com</t>
  </si>
  <si>
    <t>#NYC #Psychotherapy Blog: Staying Calm When You're in the Middle of Chaos  #Stress #Coping</t>
  </si>
  <si>
    <t>https://buff.ly/2reIdt3</t>
  </si>
  <si>
    <t>https://pbs.twimg.com/media/EONcY1TWsAEuHvq.jpg</t>
  </si>
  <si>
    <t>ColumbiaDoctors</t>
  </si>
  <si>
    <t>Does more #stress during #pregnancy reduce the chances of having a boy?</t>
  </si>
  <si>
    <t>https://www.cuimc.columbia.edu/news/stress-during-pregnancy-may-affect-babys-sex-risk-preterm-birth</t>
  </si>
  <si>
    <t>ColumbiaDoctors, the faculty practice of CUIMC, has more than 1,800 physicians, dentists, &amp; ANPs in 230 specialties &amp; subspecialties. #patientcare #health</t>
  </si>
  <si>
    <t>http://www.columbiadoctors.org</t>
  </si>
  <si>
    <t>#Stress creates tension = conflict = upsets in UR mind, body &amp; spirit. Only U can change ur mind-Facts &amp;amp; guide @</t>
  </si>
  <si>
    <t>http://bit.ly/HlthWel</t>
  </si>
  <si>
    <t>Learn to deal with #Life #Stress #innerpeace #anxiety #Calming #depression #MindBody #workstress #collegestress #Live  EnTrance is an audio library which promotes self-healing and personal growth. A gym for your mind. Available from our website and YouTube.</t>
  </si>
  <si>
    <t>http://bit.ly/2y0ceiK</t>
  </si>
  <si>
    <t>Dr.Jennifer Harrison</t>
  </si>
  <si>
    <t>Needing some simple but powerful tips to relieve stress &amp; help you be your #BestSelf ? Check out my book at your fave online book retailer (eBook or paperback available.) Click here for more info:  #stress #stressmanagement #transformation #success #goals</t>
  </si>
  <si>
    <t>https://drjenniferharrison.com/my-book/</t>
  </si>
  <si>
    <t>https://pbs.twimg.com/media/EONaD5dX0AUTfft.jpg</t>
  </si>
  <si>
    <t>Stress &amp; Bodymind Health Expert, Bestselling Author, Speaker, Certified Success Trainer, Certified Professional Success Coach, Certified EFT Practitioner</t>
  </si>
  <si>
    <t>http://www.drjenniferharrison.com</t>
  </si>
  <si>
    <t>The #earth may #survive without us but where would be us without it? #Motorism #Life #Quote #Philosophy #Quotes #Wise #Wisdom #Motivation #Inspiration #victory #triumph #Defeat #Frustration #Stress #MentalHealth #Anxiety #Fiasco #destiny #Spirituality #success #successquotes</t>
  </si>
  <si>
    <t>https://pbs.twimg.com/media/EONZ91mUcAAacoQ.jpg</t>
  </si>
  <si>
    <t>Chlo🌻</t>
  </si>
  <si>
    <t>I can feel my heart beating in my chest. But it's a really slow, uneven, DEEP beat. I absolutely love my anxiety. !Gotta love exam week! #AnxietyFeelsLike #stress #anxiety</t>
  </si>
  <si>
    <t>I have an unrealistic dream to be on broadway</t>
  </si>
  <si>
    <t>Celine Healy</t>
  </si>
  <si>
    <t>Discover the Most Powerful Tool There is For Increasing Energy  #online #stress #resolution #techniques</t>
  </si>
  <si>
    <t>http://bit.ly/2NlHUbq
http://bit.ly/2RbSsLa</t>
  </si>
  <si>
    <t>I help busy, motivated, professional career women permanently resolve stress within 37 days so that they feel better and gain more control over their work/life</t>
  </si>
  <si>
    <t>http://www.wellnessthatworks.com.au</t>
  </si>
  <si>
    <t>ProfileTree Leeds</t>
  </si>
  <si>
    <t>How to Deal with Workplace Stress? Exploring Welfare at Work  #stress #anxiety #depression #health #wellness #stressrelief</t>
  </si>
  <si>
    <t>http://profiletree.com/how-to-deal-with-workplace-stress/</t>
  </si>
  <si>
    <t>https://pbs.twimg.com/media/EMYqOH6XsAA0Jq1.jpg</t>
  </si>
  <si>
    <t>Free advertising for #leeds, UK and Ireland business on ProfileTree .. Keep in touch http://on.fb.me/w3sqFE Don't miss the chance.</t>
  </si>
  <si>
    <t>https://www.profiletree.com/agency-services/</t>
  </si>
  <si>
    <t>TheHealthyRD</t>
  </si>
  <si>
    <t>Lavender can reduce anxiety symptoms as well as #cortisol. Learn more here:  #anxiety #anxiolytic #stressrelief #stress</t>
  </si>
  <si>
    <t>https://www.thehealthyrd.com/single-post-lavender-for-anxiety/</t>
  </si>
  <si>
    <t>https://pbs.twimg.com/media/EONTMI3UcAACThP.jpg</t>
  </si>
  <si>
    <t>Montana, USA</t>
  </si>
  <si>
    <t>Nutrition Expert/Masters in Nutritional Science/Holistic Health/Wellness Advocate Nutrition Practice/Functional Medicine</t>
  </si>
  <si>
    <t>https://www.thehealthyrd.com/</t>
  </si>
  <si>
    <t>Stormy</t>
  </si>
  <si>
    <t>Excellent daytime #Medical or #Leisure strain &gt;&amp;gt; Amnesia Haze #Autoflower #Cannabis strain - Easy To Grow For Beginners | #ILGM  #Depression #Stress #Pain #GrowYourOwn #OpLegalizeit #Freedom2Choose</t>
  </si>
  <si>
    <t>https://shop.ilovegrowingmarijuana.com/products/amnesia-haze-autoflower</t>
  </si>
  <si>
    <t>#CostOfWAR #LEAP #Cannabis #HEMP #Realist #VeteransCannabisProject #OpLegalizeit #OpPharma #Freedom2Choose #OpStopSuicide #OpStopAbuse #OpStopBullying #Resist</t>
  </si>
  <si>
    <t>https://www.vetscp.org/</t>
  </si>
  <si>
    <t>Variety Sampler (6-Pack) - An ideal option for beginners!  #Cannabis #CannabisCommunity #plantmedicine #marijuana #edibles #medibles #mmj #concentrate #strains #CannabisMedicinal #MedicalMarijuana #stress #depression #anxiety #inflammation #arthritis #pain</t>
  </si>
  <si>
    <t>https://www.puregreenexpress.ca/variety-sampler-6pack.html#.Xh0jKjGVA84.twitter</t>
  </si>
  <si>
    <t>Budtanicals CBD Dominant 0:1 Capsules - 10mg CBD (30 Count Bottle) - High-quality CBD &amp; coconut oil in vegan capsules!  #CBD #CannabisMedicinal #MedicalMarijuana #cannabinoids #pain #anxiety #stress #depression #arthritis #inflammation #seizures #MS #mmj</t>
  </si>
  <si>
    <t>https://www.puregreenexpress.ca/cbd-dominant-0-1-capsules-10mg-cbd-30-count-bottle.html#.Xh0iQZNmD4Y.twitter</t>
  </si>
  <si>
    <t>TRENDING ALERTS</t>
  </si>
  <si>
    <t>3 Simple Ways To Effective Stress Counseling  #stress #counseling</t>
  </si>
  <si>
    <t>https://www.administrativeinfo.com/2019/03/stress-counseling.html</t>
  </si>
  <si>
    <t>https://pbs.twimg.com/media/EONO7LiXUAcX2a3.png</t>
  </si>
  <si>
    <t>Gilgit, Pakistan</t>
  </si>
  <si>
    <t>https://amazonhots.blogspot.com/</t>
  </si>
  <si>
    <t>https://pbs.twimg.com/media/EONO3YIX4AcxNeT.jpg</t>
  </si>
  <si>
    <t>The Quickest Way to Stop Stress | I find myself doing this all day long.. #stress #healthylifestyle</t>
  </si>
  <si>
    <t>https://buff.ly/2p1VJyI</t>
  </si>
  <si>
    <t>https://pbs.twimg.com/media/EONOsiWW4AE_KCK.jpg</t>
  </si>
  <si>
    <t>CareersInGovernment</t>
  </si>
  <si>
    <t>How to Chill Out and Relax Already  #stress #stewart #productivity @outsidemagazine</t>
  </si>
  <si>
    <t>https://www.outsideonline.com/2406992/new-ways-to-relax</t>
  </si>
  <si>
    <t>The nation's largest State and Local Government Job Board &amp; Career Center dedicated to matching qualified individuals with rewarding Careers.</t>
  </si>
  <si>
    <t>http://www.careersingovernment.com</t>
  </si>
  <si>
    <t>BC Vapes CBD Cartridge - ACDC 10:1 (CBD 74.50% / THC 7.21%) - Treat pain &amp; anxiety! NO PG, PEG, VG, MCT or Vitamin E!  #CBD #vape #acdc #strain #thc #Cannabis #MedicalMarijuana #CannabisMedicinal #pain #chronicillness #chronicpain #anxiety #stress</t>
  </si>
  <si>
    <t>https://www.puregreenexpress.ca/bc-vapes-cbd-cartridge-acdc-10-1-cbd-thc.html#.Xh0eweukspU.twitter</t>
  </si>
  <si>
    <t>𝒮𝓉𝑒𝓅𝒽𝒶𝓃𝒾𝑒 𝐹𝑜𝓌𝓁𝑒𝓇</t>
  </si>
  <si>
    <t>If you've had enough of all Monday has thrown at you today (bc, well, it's Monday), give this five-minute seated flow a try. 😃 #beginneryoga #yogaflow #vinyasa #stressmanagement #stressrelief #stress #MondayMood</t>
  </si>
  <si>
    <t>https://youtu.be/3exzd6PWyeI</t>
  </si>
  <si>
    <t>https://pbs.twimg.com/media/EONJ9DmWAAA2seG.jpg</t>
  </si>
  <si>
    <t>I empower women to start + develop a yoga practice, (online + in person) for selfcare, wellness,+ less stress. Book a class with me TODAY! 👇 #beginneryoga</t>
  </si>
  <si>
    <t>http://linktr.ee/stephaniefowleryoga</t>
  </si>
  <si>
    <t>Daily Health Post</t>
  </si>
  <si>
    <t>In case you missed it, check out "Scientists Have Proven That Negativity Makes Cancer Grow Inside The Body"  #Stress #Negativity #Privacy #Cancer #BloodPressure</t>
  </si>
  <si>
    <t>https://lttr.ai/MIix</t>
  </si>
  <si>
    <t>https://pbs.twimg.com/media/EONJ1qwWoAA6VYA.jpg</t>
  </si>
  <si>
    <t>Receive FREE updates from us straight to your inbox.👇👇👇👇👇👇👇 https://dailyhealthpost.com/subscribe/</t>
  </si>
  <si>
    <t>https://dailyhealthpost.com</t>
  </si>
  <si>
    <t>Dividend Diplomats</t>
  </si>
  <si>
    <t>Stressful day today... thought I tweeted this yesterday, I have to post it again. Dividends bring a bright light to it all... #Dividends #Investing #Stress #MentalHealth #MondayMotivation</t>
  </si>
  <si>
    <t>https://www.dividenddiplomats.com/how-dividend-investing-reduces-stress/</t>
  </si>
  <si>
    <t>Two 20 something dudes who are blogging about #Investing, #Frugality, Passive Income &amp; attempting to Reinvest Our Dividends to Financial Freedom!</t>
  </si>
  <si>
    <t>http://www.dividenddiplomats.com/</t>
  </si>
  <si>
    <t>5 Ways to Let #Nature Absorb Your #Stress … #stressrelief #garden</t>
  </si>
  <si>
    <t>http://itsgardeningtime.com/?p=338&amp;utm_source=ReviveOldPost&amp;utm_medium=social&amp;utm_campaign=ReviveOldPost</t>
  </si>
  <si>
    <t>http://bit.ly/2WKGMkN</t>
  </si>
  <si>
    <t>Is it time to play just the tip? #mindurance #psychology #bigsky #stress #growth #perform #athlete #sport #sports #sportpsychology #fitness #fit #goals @ Big Sky, Montana</t>
  </si>
  <si>
    <t>https://www.instagram.com/p/B7SA9S1A58t/?igshid=1tnphv45iwbh4</t>
  </si>
  <si>
    <t>hplus_creative</t>
  </si>
  <si>
    <t>⛓️ MINDFUL M O M E N T ⛓️ A message of self care from H+ VO @fvckrender 💕 + + + #hpluscreative #creativeagency #hplus #cinema4d #art #design #mindfulness #mind #relax #anxiety #stress #moment #relaxation #3d #art #digitalart #digitalpainting</t>
  </si>
  <si>
    <t>https://pbs.twimg.com/media/EONFeSHXUAApEdW.jpg</t>
  </si>
  <si>
    <t>Representing the future of visual media.</t>
  </si>
  <si>
    <t>http://www.hpluscreative.com</t>
  </si>
  <si>
    <t>Get 15% Discount on All Products with Code 60226295 #Save! at 👍 #Supplements #Vitamins #Health #SkinCare #Vegetarian #NonGMO #Coupon #Verified #BodyBuilding #Beauty #Stress #Cholesterol #Fitness #Hormone #HealthyLiving #Omega3 #WeightLoss #antiaging</t>
  </si>
  <si>
    <t>https://pbs.twimg.com/media/EONFT7-XkAYTUaa.jpg</t>
  </si>
  <si>
    <t>TLugoMSW</t>
  </si>
  <si>
    <t>I built a #wall today to combat my #Trump #Stress Make #tea not #war #tealover ❤🧡💛💚💙💜</t>
  </si>
  <si>
    <t>https://pbs.twimg.com/media/EONFKHhXsAAHfBu.jpg</t>
  </si>
  <si>
    <t>Wellness Coach, Weightlifting Enthusiast, Social Worker, Ally &amp; Advocate 💜 Go Gophers!</t>
  </si>
  <si>
    <t>"If you want to conquer fear, do not sit home and think about it. Go out and get busy." #nevergiveup #liveoutloud #successquote #successful #selfesteem #selfaware #selfcarefirst #motivationquote #mindset #money #stress #blessed #millionaire #buildyourempire #motivate #believe</t>
  </si>
  <si>
    <t>https://pbs.twimg.com/media/EONEWQzXkAEqEkH.jpg</t>
  </si>
  <si>
    <t>"Body Scanning: Learning how to reduce anxiety and improve resiliency - Most of the time it is hard to stop and take a moment to check in with sensations and emotions because life is just too busy."  #anxiety #bodyscanning #pain #stress</t>
  </si>
  <si>
    <t>https://lttr.ai/MIhG</t>
  </si>
  <si>
    <t>https://pbs.twimg.com/media/EONEE-5WkAEBJYP.jpg</t>
  </si>
  <si>
    <t>Create Your Own Personal Growth Plan And Decrease #Stress Through a Mindfulness Approach...</t>
  </si>
  <si>
    <t>https://buff.ly/2I9uw5X</t>
  </si>
  <si>
    <t>https://pbs.twimg.com/media/EONBVvmX0AIXrAn.jpg</t>
  </si>
  <si>
    <t>Texas PSR</t>
  </si>
  <si>
    <t>Here’s a five-step plan to deal with the #stress and become part of the #solution. #ClimateAction</t>
  </si>
  <si>
    <t>https://www.nytimes.com/2020/01/10/opinion/how-to-help-climate-change.html</t>
  </si>
  <si>
    <t>http://www.texaspsr.org</t>
  </si>
  <si>
    <t>Learn to deal with the killer that is Stress. #Stress #innerpeace #anxiety #Calming #depression #MindBody #bipolar  EnTrance is an audio library which promotes self-healing and personal growth. A gym for your mind. Available from our website and YouTube.</t>
  </si>
  <si>
    <t>http://bit.ly/2ytGZ2y</t>
  </si>
  <si>
    <t>This program trains service members to help fellow warriors who are overwhelmed by #stress in combat situations. Check out our #CliniciansCorner blog featuring recent @WRAIR findings.</t>
  </si>
  <si>
    <t>https://pbs.twimg.com/media/EOMqE9sWAAAxnly.jpg</t>
  </si>
  <si>
    <t>A. Celeste Books</t>
  </si>
  <si>
    <t>#DeepBreathing can help ease #tension #stress #anxiety and more. #meditation</t>
  </si>
  <si>
    <t>https://pbs.twimg.com/media/EOM9hcSWoAIwLV_.png</t>
  </si>
  <si>
    <t>Dallas-Fort Worth, Texas</t>
  </si>
  <si>
    <t>Author/Writer who is passionate about: faith, family, friends, football, fitness, fashion, sports, style, shopping, chocolate, health, wellness &amp; humanity. ΣΓΡ</t>
  </si>
  <si>
    <t>http://www.acelestebooks.com</t>
  </si>
  <si>
    <t>Ivy Bess</t>
  </si>
  <si>
    <t>There are many benefits of stretching, let's name few: Relieves stress, improves digestion, reduces anxiety, soothes headache, health, decreases muscle soreness, improves posture #health #stretching #muscles #stress #HealthyLife</t>
  </si>
  <si>
    <t>https://pbs.twimg.com/media/EOM8_P1XkAINGYk.jpg</t>
  </si>
  <si>
    <t>Yoga, Gym &amp; Fitness Freak, Visual Designer, Healthy Food Artist, Coffee Addict. The Best Coffee in America! Order now! ⬇️</t>
  </si>
  <si>
    <t>http://bit.ly/BestCoffeeInAmerica</t>
  </si>
  <si>
    <t>Noli P. Manalo</t>
  </si>
  <si>
    <t>#PositiveStress or simply looking at #Stress as necessary reaction of our body to get ready and adjust and thus we must translate this to a thought of #Joy of having this automatic impulse in our body💡 So think of it as #Good 👊❤️😊 #FreshActions 💪 #GaryVee ♾ #MDCo believes 💎</t>
  </si>
  <si>
    <t>https://pbs.twimg.com/media/EOM4YRQUcAIjcOi.jpg</t>
  </si>
  <si>
    <t>I'm in pain due to tension in muscles, from #stress upper back, shoulders, neck and my jaw is clenched like a vice. Time for a body scan #meditation and #massage booked for tomorrow #selfcare #stressfree</t>
  </si>
  <si>
    <t>Melanie McCool</t>
  </si>
  <si>
    <t>You can make your mornings run more smoothly. Take a look at these suggestions for feeling more relaxed as you start each day. #stress #stressreduction #peacefulmorning</t>
  </si>
  <si>
    <t>http://sponsoringsuccess.net/gbq</t>
  </si>
  <si>
    <t>https://pbs.twimg.com/media/EOM1cInWsAEXltZ.png</t>
  </si>
  <si>
    <t>Sunny Florida</t>
  </si>
  <si>
    <t>Rapid Transformational Hypnotist | RTT Hypnosis | Medical Hypnotherapist | Truth Speaker | World Changer</t>
  </si>
  <si>
    <t>https://www.mindworxco.com</t>
  </si>
  <si>
    <t>Confessions of a Midwest Stress Addict</t>
  </si>
  <si>
    <t>Where did you #travel last?  #stress #addict #haha #funny #noyouare #stl #midwest #midwestlife #blondelife #confession #tbt #happy #instamood #love #instagood #like4likes #beach #mexico #Italy #love</t>
  </si>
  <si>
    <t>https://www.facebook.com/ConfessionsOfAMidwestStressAddict/</t>
  </si>
  <si>
    <t>https://pbs.twimg.com/media/EOM1IQuX4AAuHX9.jpg</t>
  </si>
  <si>
    <t>Have you ever woken up one day and everything is seemingly fine but then you realize you haven’t gotten out of bed yet?</t>
  </si>
  <si>
    <t>https://m.facebook.com/ConfessionsOfAMidwestStressAddict</t>
  </si>
  <si>
    <t>Linda Samuels CPO-CD</t>
  </si>
  <si>
    <t>Have you experimented with "Morning Pages" as an antidote for stress and anxiety?  Fascinating post from Donna Matthews #stress #anxiety #writing</t>
  </si>
  <si>
    <t>http://ow.ly/hqPX50xUAgh</t>
  </si>
  <si>
    <t>https://pbs.twimg.com/media/EOM1DL-WkAEFCEN.jpg</t>
  </si>
  <si>
    <t>Croton on Hudson, NY</t>
  </si>
  <si>
    <t>Compassionate, enthusiastic Professional Organizer, Author &amp; Blogger. Find me at http://ohsoorganized.com.</t>
  </si>
  <si>
    <t>http://www.ohsoorganized.com</t>
  </si>
  <si>
    <t>8 simple ways to manage #stress. #MondayMotivation RT @havingtime: 8 Simple ways to manage stress: 1. Exercise 2. Meditate 3. Get more sleep 4. Learn to say “no” 5. Take regular short breaks 6. Avoid caffeine, nicotine &amp; alcohol 7. Manage your time effectively &amp;amp; efficiently 8. Reduce multi tasking, focus on your priorities.</t>
  </si>
  <si>
    <t>https://twitter.com/havingtime/status/1216835322492923912</t>
  </si>
  <si>
    <t>https://pbs.twimg.com/media/EOMRRtYW4AAsydu.jpg</t>
  </si>
  <si>
    <t>MFLN Family Dev.</t>
  </si>
  <si>
    <t>Stress is a natural part of life. Learn some tips for managing #stress from this blog @IntrepidHeroes.</t>
  </si>
  <si>
    <t>https://bit.ly/2PXLTwI</t>
  </si>
  <si>
    <t>MFLN Family Development is part of @Milfamln and connects professionals working with military families to the latest research, resources, and interventions.</t>
  </si>
  <si>
    <t>http://blogs.extension.org/militaryfamilies/family-development/</t>
  </si>
  <si>
    <t>STRESSless- Enhance Self Care | Lynnis Minutes  #stress</t>
  </si>
  <si>
    <t>https://youtu.be/ZsBCMhVELBA</t>
  </si>
  <si>
    <t>ᒍᗩᑎƖᔕ ᒪᗩᑎGFOᖇᗪ</t>
  </si>
  <si>
    <t>These professional athletes love our CBD, endorse it, and use it @  #cbd #cbdoil #bryanbrothers #tennis #professionalathletes #legal #wholesale #certified #endorsed #pain #anxiety #insomnia #Fibromyalgia #stress #acne #depression</t>
  </si>
  <si>
    <t>http://www.cbdbiocareanywhere.com</t>
  </si>
  <si>
    <t>https://pbs.twimg.com/media/EOM0W0fXkAAjfse.jpg</t>
  </si>
  <si>
    <t>🌱Full Spectrum #CBD Oil 🌱Whole Plant Extraction 🌱Organically Grown in USA 🌱3rd Party Testing🌱 Discount Code: Janisannl 💚 #Wholesale pricing available.</t>
  </si>
  <si>
    <t>Where will you travel next?  #stress #addict #haha #funny #noyouare #stl #midwest #midwestlife #blondelife #confession #tbt #happy #instamood #love…</t>
  </si>
  <si>
    <t>https://www.facebook.com/ConfessionsOfAMidwestStressAddict/
https://www.instagram.com/p/B7R35i1BjZx/?igshid=oe54fx4is7bd</t>
  </si>
  <si>
    <t>Is Trump winning the border wars? #Love #stress #strife #faith #cope #improve #emboldened #confidence #Trump #maturity #patience #serenity #positive #leadership #humility #servitude #parenting #Christian #Devotion #Bible #God #Christ #Border</t>
  </si>
  <si>
    <t>https://youtu.be/9kMiLqhKD_Y</t>
  </si>
  <si>
    <t>Alexa Sininsky</t>
  </si>
  <si>
    <t>Nothing like letting hot shower water hit your neck and chest to relieve the stresses of life.🤣🚿 #HappyMonday #Shower #Stress #HotWater</t>
  </si>
  <si>
    <t>Alexa. 24. LI, NY. Joey, 5-4-12.💚</t>
  </si>
  <si>
    <t>https://www.youtube.com/channel/UCVOPzLmbuZz_sX_Tz98WqIw</t>
  </si>
  <si>
    <t>Helen</t>
  </si>
  <si>
    <t>Mindfulness Coach by US Department of Veterans Affairs (VA) #Mindfulness helps reduce #PTSD symptoms &amp; #Stress. This is a great app that helps teach it and helps you #Relax!</t>
  </si>
  <si>
    <t>https://apps.apple.com/us/app/mindfulness-coach/id804284729</t>
  </si>
  <si>
    <t>https://pbs.twimg.com/media/EOMxkYDWAAA9wbX.jpg</t>
  </si>
  <si>
    <t>Blessed 2 be counseling #Veterans at a wellness clinic! as a #SocialWorker, #HelpOthersAlways 💖 #StevenACohenMilitaryFamilyClinic #suicidepreventionAdvocate</t>
  </si>
  <si>
    <t>Sheila Caldwell</t>
  </si>
  <si>
    <t>Understandable...parent/family #stress transferred to the young ones. RT @nctsn: New article looks at how #disasters can be distressing for young #children.</t>
  </si>
  <si>
    <t>https://twitter.com/nctsn/status/1216842706141569024
http://ow.ly/cikg50xUuYK</t>
  </si>
  <si>
    <t>RN School Nurse</t>
  </si>
  <si>
    <t>Every week FREE Items directly from our website: Supplements, Diet, Weight Loss and more  or  #Herbal #Natural #Teas #Health #Remedies #Free #Stress #Vitamins #MensHealth #WomensHealth #wealth</t>
  </si>
  <si>
    <t>http://www.TheHerbalGardens.com
http://www.TheHerbalGardensStore.com
https://shr.link/q1wfa</t>
  </si>
  <si>
    <t>Energy Focus</t>
  </si>
  <si>
    <t>Energy Focus LED Lighting is an essential part of supporting your little Einstein’s' daily activities. When children routinely play under poor lighting, they experience restlessness, #stress and #fatigue long term. . #schoolculture #edtech #Cleantech</t>
  </si>
  <si>
    <t>http://bit.ly/36SdNzV</t>
  </si>
  <si>
    <t>Solon, OH</t>
  </si>
  <si>
    <t>Leading the standard for high-quality #flickerfree #LED #lighting. #cleantech</t>
  </si>
  <si>
    <t>https://shop.energyfocus.com/</t>
  </si>
  <si>
    <t>NelsonCreations</t>
  </si>
  <si>
    <t>Meditate with Lepidolite to remove negative emotional attachments or resentment energy. Lepidolite is excellent to use for emotional healing, purification and relaxation. Lepidolite Angel &gt;  #fear #fearless #meditate #meditation #crystalhealing #stress</t>
  </si>
  <si>
    <t>https://amzn.to/2uFPV4q</t>
  </si>
  <si>
    <t>https://pbs.twimg.com/media/EOMmzHxWsAYH7tc.jpg</t>
  </si>
  <si>
    <t>Hendersonville, NC</t>
  </si>
  <si>
    <t>I love gemstones &amp; crystals! They saved my sanity while working in a high-stress corporate job. And then helped me build this business to share them with you!</t>
  </si>
  <si>
    <t>http://www.nelsoncreations.com</t>
  </si>
  <si>
    <t>Ali D</t>
  </si>
  <si>
    <t>Breathe deeply. Know that you are here and here is the only place you CAN be. In this moment, you are safe. #MentalHealthAwareness #mentalhealth #anxiety #depression #psychosis #breathing #writing #write #MondayMotivation #monday #stress #mindfulness #MindfulMonday #mindful</t>
  </si>
  <si>
    <t>24 year old blogger, mental health advocate, and peer worker, living beyond the label schizoaffective. Follow me on IG: written_in_the_photo</t>
  </si>
  <si>
    <t>http://ThePhilosophicalPsychotic.com</t>
  </si>
  <si>
    <t>SNHU</t>
  </si>
  <si>
    <t>The National Institute of Mental Health recommends 5 initial strategies for dealing with #stress. 👇</t>
  </si>
  <si>
    <t>Manchester, NH</t>
  </si>
  <si>
    <t>Flexible. Affordable. And achievable. SNHU offers 200+ career-focused programs to over 100,000 students online and on our 300-acre campus.</t>
  </si>
  <si>
    <t>http://www.snhu.edu</t>
  </si>
  <si>
    <t>SB at #CES2020</t>
  </si>
  <si>
    <t>When pregnant moms are stressed out, babies' brains suffer #Health #pregnancy #stress via</t>
  </si>
  <si>
    <t>http://twinybots.ch
https://www.eurekalert.org/pub_releases/2020-01/cnh-wpm011020.php</t>
  </si>
  <si>
    <t>#CES2020 #AI #ML #Robots #Crypto #BitCoin #5G #Security #IoT #Industry40 #4IR #Blockchain #AR #VR #MR #IntelligentEdge #IntelligentCloud #ImmersiveExperiences</t>
  </si>
  <si>
    <t>http://jcnssa.coach</t>
  </si>
  <si>
    <t>ComprehensiveFinCon</t>
  </si>
  <si>
    <t>http://myf.mg/5bws</t>
  </si>
  <si>
    <t>Bloomington, IN</t>
  </si>
  <si>
    <t>Securities offered through J.W. Cole Financial, Inc. (JWC), Member http://www.finra.org/ http://www.sipc.org/</t>
  </si>
  <si>
    <t>http://www.cfci.us/</t>
  </si>
  <si>
    <t>https://pbs.twimg.com/media/EOMg8HSXUAIXQgT.jpg</t>
  </si>
  <si>
    <t>https://pbs.twimg.com/media/EOMg795X0Acc7Eo.jpg</t>
  </si>
  <si>
    <t>Just killed it.. I mean myself at the gym.  #stress #addict #haha #funny #noyouare #stl #midwest #midwestlife #blondelife #confession #tbt #happy #instamood…</t>
  </si>
  <si>
    <t>https://www.facebook.com/ConfessionsOfAMidwestStressAddict/
https://www.instagram.com/p/B7RtI7Rh0as/?igshid=l733oyhnymn</t>
  </si>
  <si>
    <t>pharmahealthtalk</t>
  </si>
  <si>
    <t>#stress and #wellness on pharmahealthtalk</t>
  </si>
  <si>
    <t>https://pharmahealthtalk.co.uk/pharmahealthtalk-on-stress-and-wellbeing/</t>
  </si>
  <si>
    <t>creating a platform for health and mental wellness and wellbeing through health promotions, health talk, health tips from a Clinical Pharmacy perspective.</t>
  </si>
  <si>
    <t>http://pharmahealthtalk.co.uk</t>
  </si>
  <si>
    <t>Sign up to our mailing list to get exclusive offers and insight! 🤓 #happy #mentalhealth #stress #anxiety #motivationalspeaker #tla #tlamindset #CBT #sportspsychology #psychologyfacts #mindsetcoaching #performancecoach #mentalhealthsupport #strongnotskinny #psychology</t>
  </si>
  <si>
    <t>pic.twitter.com/BWqrwVknvj</t>
  </si>
  <si>
    <t>ASEGS.TV</t>
  </si>
  <si>
    <t>What do normal people actually do to distress themselves #stress #MondayMotivation</t>
  </si>
  <si>
    <t>Follow me 👉</t>
  </si>
  <si>
    <t>17 | @Youtube | Creator | Streamer | Gamer</t>
  </si>
  <si>
    <t>http://www.youtube.com/AsegsTV</t>
  </si>
  <si>
    <t>Golareh Safarian</t>
  </si>
  <si>
    <t>Exercise your mind with this 22-minute musically guided meditation by @TheHealingSalon #meditation #mind #mindfulness #guidedmeditation #spiritualhealing #healing #meditate #stress #stressmanagement #ASMR #music RT @TheHealingSalon: The Healing Salon Presents Mind Music, A new way to train your mind and enhance your powers of concentration.  #meditation #music #meditationmusic #mindmusic #thehealingsalon #trance #trancemusic #mindfulness #stressmanagement #spiritualgrowth #healing</t>
  </si>
  <si>
    <t>https://twitter.com/TheHealingSalon/status/1216845842994225152
https://youtu.be/S05bt0rPZGk</t>
  </si>
  <si>
    <t>https://pbs.twimg.com/media/EOMa1rEU4AARggc.jpg</t>
  </si>
  <si>
    <t>Artist | Author | Director</t>
  </si>
  <si>
    <t>http://www.golarehsafarian.com</t>
  </si>
  <si>
    <t>PsykoPoet</t>
  </si>
  <si>
    <t>Are you feeling #stressed ? Try this chant; "It's alright. It's ok. Nothing really matters. Fuck it. Yay!" (Repeat till calm or when stressful situation passes) #stress #stressmanagement #stressed</t>
  </si>
  <si>
    <t>Herts, UK</t>
  </si>
  <si>
    <t>♏🐍😾🐧 🗿⏳📵🔞📜📷🎮🎦📢📼💾🎨🎭🎸🎹🎯📻🐈🐜🌇🌆🌃🌌🌋🎱🔨🚀🆘🆓💡💤🔥💥💨🌠</t>
  </si>
  <si>
    <t>http://www.facebook.com/PsykoPoet</t>
  </si>
  <si>
    <t>New York Open Center</t>
  </si>
  <si>
    <t>TRE® (#Trauma/Tension Release Exercises) is a series of exercises designed to activate the body's natural reflexes to release deeply held #stress, tension &amp; trauma. Phil Lynch, advanced practitioner and seasoned instructor, explains how how they work.</t>
  </si>
  <si>
    <t>http://bit.ly/36TgbGO</t>
  </si>
  <si>
    <t>pic.twitter.com/e2bcYvb1ZQ</t>
  </si>
  <si>
    <t>The New York Open Center offers holistically-based educational programs to create positive transformation in individuals and the world.</t>
  </si>
  <si>
    <t>http://www.opencenter.org/</t>
  </si>
  <si>
    <t>Dr. Bruce A. Johnson</t>
  </si>
  <si>
    <t>💬 How do you address challenging communication situations? Are you able to be tactful and diplomatic?  #personalbest #communication #tact #diplomacy #selfdevelopment #wellbeing #stress #mentalhealth #determination #strength #challenges</t>
  </si>
  <si>
    <t>http://www.drbruceajohnson.com/blog/2016/08/communication-can-be-transformed-diplomacy-tact</t>
  </si>
  <si>
    <t>Professor, School of Education, Performance Improvement Leadership/Training &amp; Performance Improvement</t>
  </si>
  <si>
    <t>http://www.drbruceajohnson.com/</t>
  </si>
  <si>
    <t>Tip 5 - Laugh-- #Humor is a great #stress reducer. #Studies indicate laughter can make you healthier!</t>
  </si>
  <si>
    <t>No matter how old you are, from elders to youngsters, there is a hunger, a noticeable craving for connecting with people.  #grief #Stress #Loss #GriefSupport #GriefJourney #GriefandLoss #Depression #GriefSucks #GriefAwareness #Support #5stagesofgrief</t>
  </si>
  <si>
    <t>https://medium.com/@edy1nathan/deeper-connections-f9b8aceaf17b</t>
  </si>
  <si>
    <t>This study demonstrates how interpersonal conflicts can negatively impact your health.  #conflict #conflictresolution #knowconflict #conflicts #conflictmanagement #conflictmanagementskills #stress #stressed #stressrelief</t>
  </si>
  <si>
    <t>http://bit.ly/2KH3MgK</t>
  </si>
  <si>
    <t>https://pbs.twimg.com/media/EOMXv3GWsAMdda5.jpg</t>
  </si>
  <si>
    <t>Lachlan Nicolson</t>
  </si>
  <si>
    <t>Avoid The Overlap: Five Tips To Reduce Stress  #productivity #stress #wellbeing</t>
  </si>
  <si>
    <t>https://buff.ly/2MVyl0y</t>
  </si>
  <si>
    <t>https://pbs.twimg.com/media/EOMXv1JW4Ag9ANy.jpg</t>
  </si>
  <si>
    <t>Marketing guy | Thoughts on life, business and travel | Based in beautiful Brisbane</t>
  </si>
  <si>
    <t>https://linktr.ee/lachynicolson</t>
  </si>
  <si>
    <t>Bridget Daley</t>
  </si>
  <si>
    <t>3 tips on how to deal with stress &gt;  #stress #wellbeing #entrepreneurship #selfcare</t>
  </si>
  <si>
    <t>http://bit.ly/2OdQyYU</t>
  </si>
  <si>
    <t>https://pbs.twimg.com/media/EOMXu2FW4AAG8rV.jpg</t>
  </si>
  <si>
    <t>A platform for parent business owners supporting parents through their business journey! Parents in Business Magazine, Directory &amp; Online Hub #Businessowners</t>
  </si>
  <si>
    <t>https://www.parentsinbiz.co.uk/links/</t>
  </si>
  <si>
    <t>the teapotmOnk</t>
  </si>
  <si>
    <t>How useful is #TaiChi for health and for help in reducing #stress?</t>
  </si>
  <si>
    <t>https://www.teapotmonk.com/articles/can-tai-chi-help-reduce-stress</t>
  </si>
  <si>
    <t>Devon Uk &amp; Andalucia Spain</t>
  </si>
  <si>
    <t>#TaiChi Online Courses, videos, books and articles on the roots and practices of Tai Chi with a delicious guru-free and freshly brewed approach.</t>
  </si>
  <si>
    <t>https://www.teapotmonk.com</t>
  </si>
  <si>
    <t>Dr. I</t>
  </si>
  <si>
    <t>Creating — and recreating— time bubbles allows us to live in more #stable environments, maintain balance or #homeostasis, an equilibrium minimizing #stress and improving #survival. Learn more about my upcoming book Routineology at .</t>
  </si>
  <si>
    <t>http://angeliscovich.com</t>
  </si>
  <si>
    <t>https://pbs.twimg.com/media/EOMUJpQX0AAgfXR.png</t>
  </si>
  <si>
    <t>Santa Barbara, CA</t>
  </si>
  <si>
    <t>Experienced Chief Executive Officer Skilled in Guest Lecturing, Strategic Planning, Business Development, Routineology, Merger and Acquisitions, and Leadership.</t>
  </si>
  <si>
    <t>http://www.angeliscovich.com</t>
  </si>
  <si>
    <t>Don’t just do something! Sit there! (Learn to relax!)  #Meditation #mindset #stress</t>
  </si>
  <si>
    <t>https://lttr.ai/MITY</t>
  </si>
  <si>
    <t>https://pbs.twimg.com/media/EOMUIhnXUAsd_Qj.png</t>
  </si>
  <si>
    <t>https://pbs.twimg.com/media/EOMTQFaWoAAU09F.jpg</t>
  </si>
  <si>
    <t>Mitigate ur #stress w/ a little help from Ashwagandha. Ayurvedic herbs used safely &amp; affectively for centuries. Try ours in #vegan capsules🌿 Help get your creativity flowing again:  #MondayMotivation #MondayMorning #Ayurveda #photography #mondaythoughts</t>
  </si>
  <si>
    <t>https://pbs.twimg.com/media/EOMRi9bWoAEUhML.jpg</t>
  </si>
  <si>
    <t>Chris Williams</t>
  </si>
  <si>
    <t>Really interesting concept in this ep about the sine wave : the highs and lows of work and the impact they have. Excellent find by @ledarville #stress #workplace RT @ledarville: As part of my ongoing quest to make my workplaces free of (destructive) stress, I listened to this ep of All in the Mind - very interesting (and shocking) hearing about @amateuradam's experiences...our NHS professionals deserve so much better</t>
  </si>
  <si>
    <t>https://twitter.com/ledarville/status/1216683861008179201
https://www.bbc.co.uk/programmes/m0009zd3</t>
  </si>
  <si>
    <t>Was a Brit abroad in New York, Dublin &amp; now back in the UK. Telling stories and jokes. Album Love Your Accent recorded at Otto's, NYC for free at the website!</t>
  </si>
  <si>
    <t>http://www.morefromchris.com</t>
  </si>
  <si>
    <t>anna.belle_wrestler</t>
  </si>
  <si>
    <t>Cause we all needed #Stress #Anxiety #MemtalHealth</t>
  </si>
  <si>
    <t>http://franticworld.com/a-ten-day-guide-to-de-stressing-your-life/</t>
  </si>
  <si>
    <t>El Centro (California)</t>
  </si>
  <si>
    <t>Youtuber 🎬 Eating Disorders Survivor 💪 From Anna to Belle 🔜 Graphic Design 💻 From Córdoba City 🇦🇷 Living in El Centro 🇺🇸 🏳️‍🌈LGBT🏳️‍🌈 #TEAMSTALLION</t>
  </si>
  <si>
    <t>Andrea 💕 🏴󠁧󠁢󠁳󠁣󠁴󠁿</t>
  </si>
  <si>
    <t>Need help and advice I have been off work for the cold I am back on Thursday and I am scared about what my boss is going to say to me she doesn’t have a good way in talking to people what do I do #advice #saveme #helpme #stress #anxiety</t>
  </si>
  <si>
    <t>25 Years Old Scottish • Taylor Swift • Demi Lovato •Christina Grimmie •TWD •Supernatural •WWE • Becky Lynch •Seth Rollins •Roman Regins • The Usos •Jon Moxley</t>
  </si>
  <si>
    <t>Uncommon Competitor</t>
  </si>
  <si>
    <t>Stressed out? Ask this, “What did you simplify today?” *Magnify this picture to find 8 MUST KNOW stats that impact your happiness! #stress #leadership #simplify #values @minimalism @MinimalismFilm @aplusk @actionhappiness @DHMovement @tao_happiness @PsycheResearch @MeikWiking</t>
  </si>
  <si>
    <t>https://pbs.twimg.com/media/EOMOmL1WsAEOFtp.jpg</t>
  </si>
  <si>
    <t>Building leaders, not followers. CEO, Performance Coach, Keynote Speaker &amp; Author of http://amzn.to/2nSvQBm #UncommonCompetitor</t>
  </si>
  <si>
    <t>http://ScottSavor.com</t>
  </si>
  <si>
    <t>Whole Body Therapies</t>
  </si>
  <si>
    <t>Blue lights stimulate muscle, skin cells &amp; nerves throughout the #circulatory system. It helps #decrease bad #bacteria that causes #acne &amp;amp; teeth to yellow. This color light also provides lubrication for joints, helps infections &amp;amp; #stress! #thewoodlandstx #springtx #health</t>
  </si>
  <si>
    <t>https://pbs.twimg.com/media/EOMM89rX4AAwlgz.jpg</t>
  </si>
  <si>
    <t>26730 I-45 North, Spring, TX</t>
  </si>
  <si>
    <t>We offer state of the art: - Electric Dual Chamber Cryotherapy - Local Cryotherapy - Halotherapy / salt therapy - NormaTec compressions - Infrared Sauna</t>
  </si>
  <si>
    <t>http://www.wholebodytherapies.com</t>
  </si>
  <si>
    <t>Dragofix</t>
  </si>
  <si>
    <t>When pregnant moms are stressed out, babies' brains suffer  #health #pregnancy #stress #brain #brains #BrainHealth</t>
  </si>
  <si>
    <t>https://www.eurekalert.org/pub_releases/2020-01/cnh-wpm011020.php</t>
  </si>
  <si>
    <t>Finland</t>
  </si>
  <si>
    <t>Minimalism, health, organic healthy plant-based food, nature, environment, privacy, transparency, animal &amp; human rights Ⓥ, UBI, renewables,etc. Lang: en/fi</t>
  </si>
  <si>
    <t>We have over 100 fabric paterns to choose from. Come check us out. #Anxiety #anxietyrelief #stress #insomnia #ptsd</t>
  </si>
  <si>
    <t>https://pbs.twimg.com/media/EOMKwVPUwAA1Zk0.jpg</t>
  </si>
  <si>
    <t>https://pbs.twimg.com/media/EOMKGApWoAAHKi6.jpg</t>
  </si>
  <si>
    <t>Henry Stockman</t>
  </si>
  <si>
    <t>These quick tips from @TheMuse will help you reduce #stress and improve #productivity on #CleanOffYourDeskDay!</t>
  </si>
  <si>
    <t>http://vlsm.io/2fw3</t>
  </si>
  <si>
    <t>https://pbs.twimg.com/media/EOMKEscXsAAsgx2.jpg</t>
  </si>
  <si>
    <t>With over 23 years of experience as a Farmers Insurance Agent, we enjoy servicing the Chattanooga TN metro area.</t>
  </si>
  <si>
    <t>https://agents.farmers.com/tn/chattanooga/henry-stockman</t>
  </si>
  <si>
    <t>https://pbs.twimg.com/media/EOMKBWXWkAAlfl_.jpg</t>
  </si>
  <si>
    <t>Peggy Johnson</t>
  </si>
  <si>
    <t>https://kingsumo.com/g/9agctd/giveaway-january-2020/1g9wve6</t>
  </si>
  <si>
    <t>Virginia</t>
  </si>
  <si>
    <t>Love God, family and country...enjoys travel, camping &amp; quilting,</t>
  </si>
  <si>
    <t>Stressed? Lavender essential oil has also been known for many health benefits #Stress #Anxiety #Depression #Calming #Healing #lavender #Essentialoils</t>
  </si>
  <si>
    <t>pic.twitter.com/cxBnBzKRmm</t>
  </si>
  <si>
    <t>Lisa Ellis RD MSW</t>
  </si>
  <si>
    <t>Experiencing #nature--even on a gloomy winter's day--can reinvigorate our spirit, reduce #stress, encourage #gratitude &amp; support #mindful perspectives! #stressrelief #Healing #mindfulness #MondayMotivaton #selfcare</t>
  </si>
  <si>
    <t>https://tinyurl.com/v59xt8s</t>
  </si>
  <si>
    <t>White Plains, NY</t>
  </si>
  <si>
    <t>#Dietitian, #Nutrition Therapist, Social Worker. Profiled in @WestchesterMag. Featured in @runnersworld @redbookmag @WomansDay @TodaysDietitian, Proud Mom of 4</t>
  </si>
  <si>
    <t>http://www.integratingnutrition.com/</t>
  </si>
  <si>
    <t>MuslimCounsellorNtwk</t>
  </si>
  <si>
    <t>BBC News - Evening emails 'overwhelm working parents'  #stress #workpressure #mentalhealth #wellbeing</t>
  </si>
  <si>
    <t>Online / Worldwide</t>
  </si>
  <si>
    <t>Muslim Counsellor &amp; Psychotherapist Network. THE Home for Muslim Counsellors, Psychotherapists, Psychiatrists &amp; Psychologists (Qualified and Trainees/Students).</t>
  </si>
  <si>
    <t>http://www.mcapn.co.uk</t>
  </si>
  <si>
    <t>Quote of the day: Without giving up hope - that there;s somewhere better to be, that there's someone better to be - we will never relax with where we are or who we are. Pema Chodron #Stress #StressManagement #Happiness #SelfEsteem #Confidence #MentalHealthAwareness #CalmPeople</t>
  </si>
  <si>
    <t>https://pbs.twimg.com/media/EOMGh-9X4AYMIG-.jpg</t>
  </si>
  <si>
    <t>#stress 'Stress is another form of low level fear.'</t>
  </si>
  <si>
    <t>https://pbs.twimg.com/media/EOMEXr1W4AAoxh6.png</t>
  </si>
  <si>
    <t>RoweIKF</t>
  </si>
  <si>
    <t>#timemanagement and #stress are leaders in killing the spirit! On episode #winteriscoming of the #KindaFamous #podcast me and carlitamargarita talk about what's really killing our #productivity. #linkinbio🔥🔥🔥🔥…</t>
  </si>
  <si>
    <t>https://www.instagram.com/p/B7Re4YMA6DV/?igshid=zm6gadvnxa88</t>
  </si>
  <si>
    <t>Wichita, KS | Dallas</t>
  </si>
  <si>
    <t>Filmmaker at @arowefilms | Host of the I'm Kinda Famous Podcast (Spotify ITUNEs Google) | retired rapper IG: roweknows Shop: http://aRowefilms.com/buynow</t>
  </si>
  <si>
    <t>https://linktr.ee/roweknows</t>
  </si>
  <si>
    <t>Anthony Master of Massage</t>
  </si>
  <si>
    <t>#massage #massagetherapist #stress #less #best Need to destress? The BEST way to do that is to receive a Massage! Book your appointment today! Details below: Website:  Call: 0403 126 562 LIKE on Facebook:  FOLLOW on Twitter!</t>
  </si>
  <si>
    <t>http://www.anthonymasterofmassage.com.au
https://www.facebook.com/anthonymasterofmassage1</t>
  </si>
  <si>
    <t>https://pbs.twimg.com/media/EOMDcMuUUAA-u0D.jpg</t>
  </si>
  <si>
    <t>Lalor, Melbourne</t>
  </si>
  <si>
    <t>RMT - Est. 2014 (@mcitywrestling - since August 2015) - Rx: Remedial, Relaxation, DTM, TRP, MFR &amp; Cupping, Reflexology, MLD. $80 1Hr &amp; $50 30 Min. 👍💆‍♂️💆‍♀️</t>
  </si>
  <si>
    <t>http://www.anthonymasterofmassage.com.au</t>
  </si>
  <si>
    <t>Strawberry Cough available now!  #marijuana #stress #sativa #strawberry #thc #cannahealth</t>
  </si>
  <si>
    <t>https://www.puregreenexpress.ca/strawberry-cough.html#.XhzSizGZch4.twitter</t>
  </si>
  <si>
    <t>How Business Benefits from Massage Therapy #Fitness #Stress #stressmanagement #stressrelief #BusinessNews #BusinessTips</t>
  </si>
  <si>
    <t>https://hubs.ly/H0myxSx0</t>
  </si>
  <si>
    <t>https://pbs.twimg.com/media/EOMB7sfXsAMctjC.jpg</t>
  </si>
  <si>
    <t>happyconfidentkids</t>
  </si>
  <si>
    <t>#Tension, #anxiety and #stress stress are often held in our shoulders and neck, this easy to follow technique can release this using motion and #breathing #mentalhealth and create #calm and #Happiness #WiltsHour</t>
  </si>
  <si>
    <t>https://www.happyconfidentkids.org.uk/top-tips</t>
  </si>
  <si>
    <t>https://pbs.twimg.com/media/EOMByoRWsAAgpoK.jpg</t>
  </si>
  <si>
    <t>Happy Confident Kids aims to help your child gain confidence, resolve anxiety and develop resilience., using techniques from NLP combined with play therapy.</t>
  </si>
  <si>
    <t>http://www.happyconfidentkids.org.uk</t>
  </si>
  <si>
    <t>If you've been following posts on my five-part BONUS program, #money moves to to tame #financial #stress and achieve #wellbeing, here's part four:</t>
  </si>
  <si>
    <t>https://bit.ly/36WFSq0</t>
  </si>
  <si>
    <t>https://pbs.twimg.com/media/EOMBYHLX4AA5-rh.jpg</t>
  </si>
  <si>
    <t>Melotti Media Copywriting</t>
  </si>
  <si>
    <t>Our thoughts can work against our progress when times get tough. So it's important to rise above that inner stress monster. How do you do that? #anxiety #mentalhealth #stress #business</t>
  </si>
  <si>
    <t>https://pbs.twimg.com/media/EOMAB-wUcAAnmkH.jpg</t>
  </si>
  <si>
    <t>Award Winning Copywriting and Marketing Agency</t>
  </si>
  <si>
    <t>http://www.melottimedia.com.au</t>
  </si>
  <si>
    <t>Marilyn Kvasnok</t>
  </si>
  <si>
    <t>#DidYouKnow #stress #HealthTalkToday  43% of all adults suffer adverse health effects from stress.</t>
  </si>
  <si>
    <t>http://StarTeamUSA.net</t>
  </si>
  <si>
    <t>https://pbs.twimg.com/media/EOL_svXWkAAC7-g.jpg</t>
  </si>
  <si>
    <t>NE Ohio</t>
  </si>
  <si>
    <t>Full time caregiver, full time home business, living green and loving life. Let's talk health ➤ http://www.facebook.com/HealthTalkToday</t>
  </si>
  <si>
    <t>http://www.HealthTalkToday.net</t>
  </si>
  <si>
    <t>Serenity Hypnotherapy</t>
  </si>
  <si>
    <t>Serenity Hypnotherapy is now very pleased to announce that it’s able to offer EMDR with hypnosis. Get in touch for more information  #emdr #emdrtherapist #emdrwithhypnosis #ptsd #stress #trauma #anxiety #phobia #fears #serenity #wirral #networxhour</t>
  </si>
  <si>
    <t>http://www.serenity-hypnotherapy.co.uk</t>
  </si>
  <si>
    <t>https://pbs.twimg.com/media/EOL_bXjXkAIYutE.jpg</t>
  </si>
  <si>
    <t>Wirral</t>
  </si>
  <si>
    <t>Hypnotherapist 💚 Empowering you to take back control of your life &amp; make changes through the power of hypnosis Wirral 👉https://youtu.be/mjZzsxi09Lc</t>
  </si>
  <si>
    <t>AIHA</t>
  </si>
  <si>
    <t>Stress. What is it doing to you and how do you relax?  #stress #safety</t>
  </si>
  <si>
    <t>http://bit.ly/2tO7K0w</t>
  </si>
  <si>
    <t>https://pbs.twimg.com/media/EOL-gNWWsAExhLl.jpg</t>
  </si>
  <si>
    <t>Falls Church VA 22042 USA</t>
  </si>
  <si>
    <t>AIHA: Protecting Worker Health (American Industrial Hygiene Association) | 703.849.8888 | Social Media Disclaimer: http://bit.ly/aihadisclaimer</t>
  </si>
  <si>
    <t>http://www.aiha.org</t>
  </si>
  <si>
    <t>#Fibromyalgia and #Stress ..."I guess after all these years, I’ve come to know that it doesn’t seem to be about the “body part of the moment”."  … #WhatIKnowIsReal</t>
  </si>
  <si>
    <t>Is #BrainFog Caused by #CellularStress?  #stress #brain #cognitive #health #wellness</t>
  </si>
  <si>
    <t>http://bit.ly/2xvvc2G</t>
  </si>
  <si>
    <t>https://pbs.twimg.com/media/EOL94GtX4AYUFj_.jpg</t>
  </si>
  <si>
    <t>According to researchers, people with high level of #stress are more sensitive to #pain and practicing yoga on a regular basis can improve pain, as well as sensitivity to pain:  #yoga #yogainspiration #yogalife #yogapractice #yogastudent</t>
  </si>
  <si>
    <t>https://pbs.twimg.com/media/EOL909kUwAEflEx.png</t>
  </si>
  <si>
    <t>The Gut Stuff</t>
  </si>
  <si>
    <t>#MentalHealthMonday tip: De-stress⁠ What works for you will be different from someone else so focus on what helps you relax... yoga 🧘🏽‍♀️, a walk🚶🏽‍♀️, or even some mindfulness ☯️⁠ ⁠ Gut more info about #stress and the #gut and the rest of our tips:</t>
  </si>
  <si>
    <t>https://thegutstuff.com/the-gut-blog/stress-and-the-gut/</t>
  </si>
  <si>
    <t>https://pbs.twimg.com/media/EOL9ZrSX4AEMIMI.jpg</t>
  </si>
  <si>
    <t>Backed by a fearless team of nutritionists, dietitians, GPs, and scientists who want to empower #guthealth in EVERYONE💩</t>
  </si>
  <si>
    <t>http://thegutstuff.com</t>
  </si>
  <si>
    <t>“What the mind can conceive, it can achieve.” – Napoleon Hill #nevergiveup #liveoutloud #WealthManagement #successquote #successful #selfesteem #selfaware #selfcarefirst #coaching #motivationquote #mindset #money #stress #blessed #millionaire #buildyourempire #motivate #believe</t>
  </si>
  <si>
    <t>https://pbs.twimg.com/media/EOL9YxDWoAAx4nq.jpg</t>
  </si>
  <si>
    <t>Issues #concentrating? Many doctor visits are connected to issues re: #stress, including #anxiety, #depression, #insomnia, &amp; #fatigue, which are the most common causes of poor #concentration. #Massage has proven to reduce all these indicators.</t>
  </si>
  <si>
    <t>https://pbs.twimg.com/media/EOL9bU4WoAc_uBP.jpg</t>
  </si>
  <si>
    <t>SimplyHealthClinic</t>
  </si>
  <si>
    <t>Look after yourself, look after your mental health. If you are experiencing: #stress #anxiety #depression #lonliness #feelingoverwhelmed Please do not suffer in silence. Contact…</t>
  </si>
  <si>
    <t>https://www.simplyhealthclinic.co.uk/contact-us/</t>
  </si>
  <si>
    <t>https://pbs.twimg.com/media/EOL8jThXsAETGsz.jpg</t>
  </si>
  <si>
    <t>Bromley, London</t>
  </si>
  <si>
    <t>I am a Natural Health and Wellbeing Practititioner supporting both General Health and Women’s health issues through the use of Natural medicine.</t>
  </si>
  <si>
    <t>http://www.simplyhealthclinic.co.uk</t>
  </si>
  <si>
    <t>Tip 2 - Develop a positive attitude--people with positive attitudes are #happier, more #successful, and better able to handle crisis and #stress. And in concert with the positive attitude, get an attitude of #gratitude for what you have instead of dwelling on what you don't.</t>
  </si>
  <si>
    <t>Sarah Hanratty</t>
  </si>
  <si>
    <t>Simple nutritional interventions to help you manage stress #stress #nutrition</t>
  </si>
  <si>
    <t>http://bit.ly/2B3yfAA</t>
  </si>
  <si>
    <t>https://pbs.twimg.com/media/EOL8NgEUcAEWT1l.jpg</t>
  </si>
  <si>
    <t>Moseley, Birmingham, UK</t>
  </si>
  <si>
    <t>Nutritional solutions for complex, common and even perplexing health issues. Gut and Psychology. Disordered eating. Food and mood. Digestive health. Brain food.</t>
  </si>
  <si>
    <t>http://www.anappleaday.org.uk</t>
  </si>
  <si>
    <t>S</t>
  </si>
  <si>
    <t>This Genius Process for Prioritizing Reduces #Stress and Increases #Productivity  @Entrepreneur</t>
  </si>
  <si>
    <t>https://buff.ly/2FIp9KN</t>
  </si>
  <si>
    <t>https://pbs.twimg.com/media/EOL7E8JXsAAH88E.jpg</t>
  </si>
  <si>
    <t>Really need to write something interesting here...</t>
  </si>
  <si>
    <t>Residents Against Longridge Rd Energy Centre</t>
  </si>
  <si>
    <t>This is why residents of Preston, Grimsargh &amp; beyond are so concerned about plans to build massive incinerator in Preston. #StopRedScarIncinerstor 🏭🔥😷 #publichealth #stress #CleanAirIsAHumanRight RT @TheBHF: @WHO The UK’s current legal limit is not as strict as the level recommended by @WHO. While the Government is focussing on air pollution as a health issue, we want MPs to take action and push for tighter legal limits against air pollution.</t>
  </si>
  <si>
    <t>https://twitter.com/TheBHF/status/1216755679723249664</t>
  </si>
  <si>
    <t>Preston, England</t>
  </si>
  <si>
    <t>An account for those concerned about the proposed incinerator at Longridge Road Energy Centre, Preston #StopRedScarIncinerator 📧 ralrec.preston@gmail.com</t>
  </si>
  <si>
    <t>https://www.facebook.com/groups/2058266190923078/</t>
  </si>
  <si>
    <t>#Tension, #anxiety and #stress stress are often held in our shoulders and neck, this easy to follow technique can release this using motion and #breathing #mentalhealth and create #calm and #Happiness #dorsethour</t>
  </si>
  <si>
    <t>https://youtu.be/WvvL3dMG580</t>
  </si>
  <si>
    <t>https://pbs.twimg.com/media/EOL6h6jWkAEY4vu.jpg</t>
  </si>
  <si>
    <t>Peaceful Nature Sounds 🙏  #nature #naturelovers #Water #zen #ZenMusic #meditation #mindfulness #mind #deep #waves #stressfree #stress #Peace #peaceful #relax #relaxing #relaxation #unwind</t>
  </si>
  <si>
    <t>http://relaxingzenmusic.com/downloads/relaxing-water-zen-nature-sounds/</t>
  </si>
  <si>
    <t>Carole CG 🌍</t>
  </si>
  <si>
    <t>The #Mindfulness Skill That Is Crucial for Stress: A new #study suggests that practicing acceptance helps reduce our #stress more than simple mindful awareness - @MindfulOnline Link -&gt;  #wellbeing #personalgrowth #nostress</t>
  </si>
  <si>
    <t>https://bit.ly/2QO7pnC</t>
  </si>
  <si>
    <t>https://pbs.twimg.com/media/EOL5F35XsAAK-Dc.jpg</t>
  </si>
  <si>
    <t>Montpellier/Dijon/Paris FRANCE</t>
  </si>
  <si>
    <t>#Tech • #Economics #CircularEconomy #Sustainability #SustainableFashion 🌱 #Fashion #Marketing #Luxury #Retail • #Education #Art #Nature 🌿 • #Wellbeing</t>
  </si>
  <si>
    <t>How To Soothe and Cure The Busy, Busy Mind. #mind #busymind #stress #burnout #generativemind #receptivemind #fear #thoughts #thinking: We might say there are two types of mind within us -- the mind that is generative and the mind that is receptive.</t>
  </si>
  <si>
    <t>http://tinyurl.com/y65dc2hz</t>
  </si>
  <si>
    <t>https://pbs.twimg.com/media/EOL4Nq4WoAEohya.jpg</t>
  </si>
  <si>
    <t>https://pbs.twimg.com/media/EOL4NguWoAExfPf.jpg</t>
  </si>
  <si>
    <t>Nicole Beurkens</t>
  </si>
  <si>
    <t>One of my favorite things to do!📖Did you know that spending time #reading for pleasure can actually be good for you?⁣⁣ 🤓Reports show that reading for pleasure regularly can lower levels of #stress and #depression. #readingcommunity #author #literature #booklovers</t>
  </si>
  <si>
    <t>https://pbs.twimg.com/media/EOL30SbWoAA2h7L.jpg</t>
  </si>
  <si>
    <t>Clinical #psychologist specializing in evaluation and #treatment of behavior and #learning challenges.</t>
  </si>
  <si>
    <t>http://www.drbeurkens.com</t>
  </si>
  <si>
    <t>FamilyKind</t>
  </si>
  <si>
    <t>Holiday engagements, though, can often bring added stress to an already stressful time of year…here are some tips to reduce the #stress.</t>
  </si>
  <si>
    <t>http://ow.ly/BKZh50xUgpJ</t>
  </si>
  <si>
    <t>We provide support to families experiencing separation &amp; divorce. #Divorce #Coparenting #Mediation #theNADP Like us on Facebook http://facebook.com/familykind</t>
  </si>
  <si>
    <t>http://www.familykind.org/</t>
  </si>
  <si>
    <t>Surprising #Stress #Triggers and How to Handle Them:</t>
  </si>
  <si>
    <t>https://timesofsandiego.com/tech/2020/01/05/surprising-stress-triggers-and-how-to-handle-them/</t>
  </si>
  <si>
    <t>Naphtali Hoff, PsyD</t>
  </si>
  <si>
    <t>It's finally here! Unless you've been hiding in a cave (or just don't have what to do with me on #linkedin, you know that I help #overworked clients become more #productive and get their work done, so that they can reduce #stress and get home at a decen…</t>
  </si>
  <si>
    <t>https://lnkd.in/dzMNRUN</t>
  </si>
  <si>
    <t>Greater NYC Area</t>
  </si>
  <si>
    <t>The coach to call when you want to do it all. Empowering understaffed leaders to get more done and build great teams. http://impactfulcoaching.com</t>
  </si>
  <si>
    <t>http://ImpactfulCoaching.com</t>
  </si>
  <si>
    <t>JohnSmith - Resistance Soldier</t>
  </si>
  <si>
    <t>Everyday is max #stress with #orangeman in the @WhiteHouse. Patiently waiting for an rnd to the madness,, #TrumpResignNow</t>
  </si>
  <si>
    <t>Belleville, IL</t>
  </si>
  <si>
    <t>Democrat without apology - Proud Snowflake, deal with it! blue dot in a red area in a deep blue state #FBR #RESIST #voteblue #StrongerTogether #GunControlNow</t>
  </si>
  <si>
    <t>The Ralston Group</t>
  </si>
  <si>
    <t>The better equipped your team is to manage #stress , the stronger your chances are to focus your energies on the high-impact areas where only you can contribute. Here are some tips to boost your own and your team's #productivity</t>
  </si>
  <si>
    <t>https://www.inc.com/tanya-hall/how-to-boost-productivity-during-busiest-time-of-year.html</t>
  </si>
  <si>
    <t>https://pbs.twimg.com/media/EOLzbC7W4AI_DiH.jpg</t>
  </si>
  <si>
    <t>𝚆𝚎'𝚛𝚎 𝚙𝚊𝚜𝚜𝚒𝚘𝚗𝚊𝚝𝚎 𝚊𝚋𝚘𝚞𝚝 𝚑𝚎𝚕𝚙𝚒𝚗𝚐 𝚎𝚗𝚝𝚛𝚎𝚙𝚛𝚎𝚗𝚎𝚞𝚛𝚜. 𝚆𝚎’𝚟𝚎 𝚋𝚎𝚎𝚗 𝚝𝚑𝚎𝚛𝚎 𝚊𝚗𝚍 𝚔𝚗𝚘𝚠 𝚝𝚑𝚊𝚝 𝚖𝚊𝚗𝚊𝚐𝚒𝚗𝚐 𝚏𝚒𝚗𝚊𝚗𝚌𝚎𝚜, 𝚜𝚝𝚛𝚊𝚝𝚎𝚐𝚒𝚌 𝚙𝚕𝚊𝚗𝚗𝚒𝚗𝚐 𝚊𝚗𝚍 𝚍𝚎𝚊𝚕𝚒𝚗𝚐 𝚠𝚒𝚝𝚑 𝚒𝚗𝚟𝚎𝚜𝚝𝚘𝚛𝚜 𝚒𝚜 𝚑𝚊𝚛𝚍.</t>
  </si>
  <si>
    <t>http://ralston.co</t>
  </si>
  <si>
    <t>Ulises Santamaría</t>
  </si>
  <si>
    <t>Occupational #stress in Remotely Piloted #Aircraft System operators. #Drone #DronePilot #DroneOperator #AirForce #Study #ResearchHighlight #UAV #OccupationalMedicine</t>
  </si>
  <si>
    <t>https://www.kcl.ac.uk/kcmhr/publications/assetfiles/2019/phillips2019.pdf</t>
  </si>
  <si>
    <t>@Maldito_Arte @CasaBlanca_Mx @AV3aerovisual Google Street View Trusted Photographer</t>
  </si>
  <si>
    <t>http://www.ulisessantamaria.com/</t>
  </si>
  <si>
    <t>Kameela Osman, MSW, RSW, C.Hyp</t>
  </si>
  <si>
    <t>3 Tips For Worry! #worrier #worryless #stress #mindset #mindfulness #acceptance #acceptancecommitmenttherapy</t>
  </si>
  <si>
    <t>pic.twitter.com/f7qiFPIJnp</t>
  </si>
  <si>
    <t>Bowmanville, Ontario</t>
  </si>
  <si>
    <t>Clinical Social Worker / Psychotherapist 10yrs + supporting mental, emotional, relational wellness. Focus: Perinatal, Relationship &amp; Mindset Counselling</t>
  </si>
  <si>
    <t>http://www.elitec-c.com</t>
  </si>
  <si>
    <t>Mohit Gupta</t>
  </si>
  <si>
    <t>How to lower #stress?</t>
  </si>
  <si>
    <t>http://sqlcan.com/2020/01/13/how-to-lower-stress/</t>
  </si>
  <si>
    <t>Microsoft Data, Analytics &amp; AI PFE @ Microsoft Canada. Blogging @ http://www.sqlcan.com/</t>
  </si>
  <si>
    <t>http://www.sqlcan.com</t>
  </si>
  <si>
    <t>Bethan</t>
  </si>
  <si>
    <t>exam season slowly killing me off and they’ve only been happening for one day #stress</t>
  </si>
  <si>
    <t>“Learn how to practice mindfulness without taking up much of your valuable time”  #stress meditation #peace #mindfulness</t>
  </si>
  <si>
    <t>Joanne Gore</t>
  </si>
  <si>
    <t>Managing #tradeshows &amp; #events is in every corporate marketer’s job description. Here's how to take the #stress out of planning YOUR next #event - before, during and after:  #B2B #Marketing #Print #leadgen #usergroup #behappy #breathe</t>
  </si>
  <si>
    <t>http://ow.ly/gdUL50vzQaH</t>
  </si>
  <si>
    <t>https://pbs.twimg.com/media/EOLwzpfXUAAYKO5.jpg</t>
  </si>
  <si>
    <t>Toronto, Ontario Canada</t>
  </si>
  <si>
    <t>B2B marketer who's passionate about print | Founder, Joanne Gore Communications | Vice-Chair, Xplor Int'l | Past-President, Xplor Canada | Wellness Coach, WW</t>
  </si>
  <si>
    <t>https://www.joannegorecommunications.com</t>
  </si>
  <si>
    <t>"10 Ways To Calm Your Mind"  #Calmthemind #Anxiety #Stress #Hypnosis</t>
  </si>
  <si>
    <t>https://lttr.ai/MH4g</t>
  </si>
  <si>
    <t>https://pbs.twimg.com/media/EOLwJ-PX4AgVW2d.jpg</t>
  </si>
  <si>
    <t>Anxious about something this week? Think about why and work out some solutions! #mentalhealth #anxiety #stress #depression #ptsd #psychology #lcsw #therapy #motivationmonday #mondaymotivation #selfcare</t>
  </si>
  <si>
    <t>https://pbs.twimg.com/media/EOLv5EvX4AMmX3-.jpg</t>
  </si>
  <si>
    <t>10 brain training hacks that will sharpen your mind  . . . . #neurofeedback #biofeedback #brainhealth #braintraining #neuroplasticity #brainmap #brainscan #EEG #mentalhealth #brain #stress #mindfulness #healthymind</t>
  </si>
  <si>
    <t>http://ow.ly/Qc9y50xQmfw</t>
  </si>
  <si>
    <t>hannah</t>
  </si>
  <si>
    <t>I love how my period starts on finals week. Like thank you as if I wasn’t already stressed now I’m in pain too. #thanks #period #cramps #finals #test #pain #stress #ugggg</t>
  </si>
  <si>
    <t>Snap:hannahj-828</t>
  </si>
  <si>
    <t>lettuce make thyme to turnip the beet 🤙 sταγ τrιρργ lιττlε hιρργ 🤙 if you call me Hannah banana we can’t be friends• she/her</t>
  </si>
  <si>
    <t>This #stress-busting #smoothie is packed with good-for-you ingredients that can help release nervous tension. Give this a whirl if you’re feeling the stress. Recipe from Lisa Chilvers, R.H.N. here:  #healthyrecipe #mentalwellness #holisticnutrition</t>
  </si>
  <si>
    <t>http://ow.ly/T4dy50xFAHM</t>
  </si>
  <si>
    <t>https://pbs.twimg.com/media/EOLuzK8WsAAm_rt.jpg</t>
  </si>
  <si>
    <t>Cogito Corporation</t>
  </si>
  <si>
    <t>Exhaustion impacts potential. #Compassion fatigue results from over-empathizing with others to the point of taking on their #stress. Our new blog explains why and shares steps toward enhancing #EQ to avoid the emotional toll:</t>
  </si>
  <si>
    <t>http://bit.ly/2R2sLws</t>
  </si>
  <si>
    <t>Through behavioral science &amp; #AI, Cogito provides human aware technology to help professionals elevate their performance and #EQ.</t>
  </si>
  <si>
    <t>https://www.cogitocorp.com</t>
  </si>
  <si>
    <t>#January is National Mental #Wellness Month. In honor of that we'll be sharing some tips to deal with #stress: Tip 1 - Avoid negative self talk--laugh at your #mistakes and say I'll remember next time.</t>
  </si>
  <si>
    <t>WordOfTheHour</t>
  </si>
  <si>
    <t>#stress : pressure, strain - French: stress - German: der Stress - Italian: stress - Portuguese: estresse - Spanish: estrés ------------------ Report incorrect translation @</t>
  </si>
  <si>
    <t>https://redd.it/95v7rk</t>
  </si>
  <si>
    <t>I am a bot and every hour I share a word and a definition to help expand your #vocabulary. Have a nice day!</t>
  </si>
  <si>
    <t>https://wordofthehour.org</t>
  </si>
  <si>
    <t>Having a cluttered desk is an invitation for chaos. Our free @HPFT_Wellbeing #stressmanagement course @cvsbeh in #Hertfordshire helps you understand the signs of #stress and provides you with tips for coping in every day life. Book here:</t>
  </si>
  <si>
    <t>https://tinyurl.com/ufe4gm9</t>
  </si>
  <si>
    <t>pic.twitter.com/q2grdBup8R</t>
  </si>
  <si>
    <t>Our Sweet Pea &amp; Citrus is sure to brighten any room.  #aromatherapy #essentialoils #stress #anxiety #insomnia #mood #mind #healing #wellness #airfreshener #health #natural #youngliving</t>
  </si>
  <si>
    <t>http://dld.bz/g5cdr</t>
  </si>
  <si>
    <t>https://pbs.twimg.com/media/EOLr0eIX0AAEFNZ.jpg</t>
  </si>
  <si>
    <t>https://pbs.twimg.com/media/EOLrFw7WkAEkRoC.jpg</t>
  </si>
  <si>
    <t>We Buy Houses For Cash - No Hassle</t>
  </si>
  <si>
    <t>At Freedom Solutions Trust, we can help you skip the hassle and #stress of #homeselling:  Give us a call today: (267) 737-8408 for a FREE consultation. #Philadelphia #buyinghome #sellyourhome</t>
  </si>
  <si>
    <t>http://homesellerfreedom.com/home</t>
  </si>
  <si>
    <t>https://pbs.twimg.com/media/EOLq8KOUcAI4WB_.png</t>
  </si>
  <si>
    <t>Honest people running our family business, we offer a quick and convenient way to sell your home fast for cash. We buy in any condition! Call us: (267) 737-8408</t>
  </si>
  <si>
    <t>http://homesellerfreedom.com/home/</t>
  </si>
  <si>
    <t>Ontario CoE for CYMH</t>
  </si>
  <si>
    <t>#DYK research shows that #stress triggered by clutter can also trigger coping and avoidance strategies like eating junk food, oversleeping or binge-watching TV? Keep your resolutions on track by tidying your work space today! #CleanOffYourDeskDay</t>
  </si>
  <si>
    <t>https://pbs.twimg.com/media/EOLpN3EWoAEOGn5.jpg</t>
  </si>
  <si>
    <t>The Ontario Centre of Excellence for Child and Youth Mental Health. Raising the bar for child, youth and family mental health across Ontario.</t>
  </si>
  <si>
    <t>http://cymh.ca</t>
  </si>
  <si>
    <t>NanoTrac Technologies</t>
  </si>
  <si>
    <t>News Medical Research could help explain why some people use marijuana when stressed or anxious: A molecule produced by the brain that activates the same receptors as marijuana is protective against stress by reducing…  #Anxiety #Stress Via @newsmedical</t>
  </si>
  <si>
    <t>http://dlvr.it/RMyscm</t>
  </si>
  <si>
    <t>https://pbs.twimg.com/media/EOLoiPTUwAAbm2F.jpg</t>
  </si>
  <si>
    <t>NanoTrac Technologies helping others to navigate the duality of science and reason while working for the benefit of all mankind #NanoTrac #Nanotechnology #Nano</t>
  </si>
  <si>
    <t>WE Consulting &amp; Benefits</t>
  </si>
  <si>
    <t>According to leading insurance companies, mental disorders are quickly becoming one of the leading causes of Long-Term Disability claims in Canada. Considering this fact, this is a smart move by @StarbucksCanada!  #stress #employeebenefits #meditation</t>
  </si>
  <si>
    <t>https://www.benefitscanada.com/news/starbucks-offering-meditation-app-to-all-canadian-employees-141257</t>
  </si>
  <si>
    <t>https://pbs.twimg.com/media/EOLoeNWUcAEAmM_.jpg</t>
  </si>
  <si>
    <t>Port Coquitlam &amp; Kelowna, BC</t>
  </si>
  <si>
    <t>We work for you! WE optimize #benefits plans and we won't walk away when we're done. Administration? Tracking? Claims? We provide the whole package.</t>
  </si>
  <si>
    <t>http://www.weconsultants.ca</t>
  </si>
  <si>
    <t>Jacquelyn Van Sant</t>
  </si>
  <si>
    <t>Ugh. I have a rather unpleasant #stress #headache. I'm a week behind on all of my #projects due to a high priority project and being #sick most of last week. Two projects in particular are elevating my stress. #Mondays.</t>
  </si>
  <si>
    <t>pic.twitter.com/V5p3ZhuJ4m</t>
  </si>
  <si>
    <t>Web consultant/developer, blogger, disciple of Christ, wife, and mom of three boys age 3 and under. May your home be filled with love, joy, peace, and laughter!</t>
  </si>
  <si>
    <t>http://www.jacquelynvansant.com</t>
  </si>
  <si>
    <t>Able Recovery</t>
  </si>
  <si>
    <t>#Treatment helps you identify that “something” toward #fulfillment &amp; #contentment. #sober #addiction #recovery #stress #stressmanagement</t>
  </si>
  <si>
    <t>https://pbs.twimg.com/media/EOLnt2yX4AMHaVP.jpg</t>
  </si>
  <si>
    <t>Oklahoma City, OK</t>
  </si>
  <si>
    <t>Able Recovery is an outpatient #SubstanceAbuse #TreatmentCenter specializes #OpiateAddiction #Treatment #OklahomaCity 405-605-4005 info@ablerecovery.net</t>
  </si>
  <si>
    <t>http://AbleRecovery.net</t>
  </si>
  <si>
    <t>Heal Yourself Natural. Herbal &amp; Natural Products Available! Shop Online at  or call us for more information: 1-877-626-4112 #Herbal #Natural #Teas #Health #Remedies #Free #Stress #Vitamins #MensHealth #WomensHealth #wealth</t>
  </si>
  <si>
    <t>http://www.TheHerbalGardens.com
https://shr.link/pedy1</t>
  </si>
  <si>
    <t>Effects of Yoga on Thalamic Gamma-Aminobutyric Acid, Mood and Depression: Analysis of Two Randomized Controlled Trials Source -   #Yoga #Health #Depression #Anxiety #Exercise #Science #MentalHealth #Stress #Brain #GABA</t>
  </si>
  <si>
    <t>http://www.jneuropsychiatry.org/peer-review/effects-of-yoga-on-thalamic-gammaaminobutyric-acid-mood-and-depression-analysis-of-two-randomized-controlled-trials-12856.html
http://thenaturalhealthblogger.com</t>
  </si>
  <si>
    <t>https://pbs.twimg.com/media/EOLlhH0X4AATebY.jpg</t>
  </si>
  <si>
    <t>Time for some #selfcare #DIY @doterra. #mentalhealth #stress #anxiety #prevention #essentialoils</t>
  </si>
  <si>
    <t>https://pbs.twimg.com/media/EOLlVjwX0AY0URF.jpg</t>
  </si>
  <si>
    <t>spunkyoldbroad</t>
  </si>
  <si>
    <t>Stress! There’s that ugly word again. Bad stress comes from high demand and low control. When you have no say in something that is important to you, #stress results. So you need the following coping mechanisms:  #positivemindset</t>
  </si>
  <si>
    <t>https://bit.ly/2PPnJUS</t>
  </si>
  <si>
    <t>Miami Beach and San Diego</t>
  </si>
  <si>
    <t>77 years young- living a NO EXCUSES life! Mentor for many #boomer women in #health, #wealth and #lifestyle. Special programs for breast cancer survivors.</t>
  </si>
  <si>
    <t>http://www.spunkyoldbroad.com</t>
  </si>
  <si>
    <t>Bradford Cooper, PhD, MSPT, MBA</t>
  </si>
  <si>
    <t>Thrilled to have the one &amp; only @kellymcgonigal join us on this week's episode!! We waited 6 months to get this scheduled &amp;amp; it was WELL worth the wait!! #stress #compassion #movement #willpower</t>
  </si>
  <si>
    <t>https://www.buzzsprout.com/204059/1950243-willpower-stress-movement-and-compassion-the-dr-kelly-mcgonigal-interview</t>
  </si>
  <si>
    <t>Colorado</t>
  </si>
  <si>
    <t>Captivated &amp; curious wellness company CEO/human perf junkie. 11x Ironman (4x Kona), 3x Dad, 2x patent holder, 1X Husband 😘, RAAM winner &amp; Catalyst podcast host</t>
  </si>
  <si>
    <t>http://www.CatalystCoachingInstitute.com</t>
  </si>
  <si>
    <t>Designs for Health</t>
  </si>
  <si>
    <t>Did you know tinnitus affects approximately 10% to 15% of the population; its cause is unknown and the underlying mechanisms are not understood?  #functionalmedicine #tinnitus #stress #diet #healthyhabits #health #wellness #designsforhealth #blog</t>
  </si>
  <si>
    <t>https://okt.to/TpV40j</t>
  </si>
  <si>
    <t>https://pbs.twimg.com/media/EOLkaRQWAAEO58n.jpg</t>
  </si>
  <si>
    <t>The professional's choice for research-driven synergistic nutritional formulations and comprehensive practice support. Family owned and operated!</t>
  </si>
  <si>
    <t>http://DesignsForHealth.com</t>
  </si>
  <si>
    <t>Ang</t>
  </si>
  <si>
    <t>If #weightedblankets are supposed to help with stress, then I should have one draped over me while in bed, at work, getting groceries, and while showering. #stressed #stress #weightedblanket</t>
  </si>
  <si>
    <t>pic.twitter.com/WabDdK8Ovp</t>
  </si>
  <si>
    <t>Only Life360 knows</t>
  </si>
  <si>
    <t>Pronounced "Anj" (short for Angela). Laugh more, grumble less. I eat gluten. Occasionally tweet about #ThisIsUs.</t>
  </si>
  <si>
    <t>We are now open on a Saturday. #anxiety #CBT #Chesterfield #depression #Dronfield #Derbyshire #EMDR #GeneralisedAnxietyDisorder #HealthAnxiety #OCD #PrivateTherapy #phobia #psychotherapy #panic #PTSD #sheffield #stress #SocialAnxiety #SouthYorkshire</t>
  </si>
  <si>
    <t>http://dronfieldcbt4u.com</t>
  </si>
  <si>
    <t>pic.twitter.com/yEwuRgZjBq</t>
  </si>
  <si>
    <t>Brandon Faison 🐊</t>
  </si>
  <si>
    <t>Lord help me with the amount of #Stress and crazy shit going on in my life right now is insane! 🙃🌀🤯</t>
  </si>
  <si>
    <t>Pensacola FL</t>
  </si>
  <si>
    <t>F͙A͙T͙H͙E͙R͙-ℌ𝔘𝔖𝔅𝔄𝔑𝔇-ℬ𝓇𝑜𝓉𝒽𝑒𝓇 #GoGators 🐊🐊 #WhoDat ⚜️ #Foodie 🍽 #BlueCollar 🛠🇺🇸 #Nerd 🎮🦸🏻‍♂️🦹🏼‍♂️ #MMA 👊🏻</t>
  </si>
  <si>
    <t>EJBiotechnology</t>
  </si>
  <si>
    <t>A stress-tolerant #yeast #clone was obtained using adaptive evolution by a freeze–thaw method coupled with #stress shock selection. The selected robust yeast #strain exhibits potential for #bioethanol production through VHG fermentation.  #Fermentation</t>
  </si>
  <si>
    <t>http://bit.ly/2Tk03dj</t>
  </si>
  <si>
    <t>https://pbs.twimg.com/media/EOLiIbUX4AA5pXU.png</t>
  </si>
  <si>
    <t>Valparaiso, Chile</t>
  </si>
  <si>
    <t>International journal published since 1998 by the Pontificia Universidad Católica de Valparaíso and from 2014, through Elsevier B.V.</t>
  </si>
  <si>
    <t>http://www.ejbiotechnology.info</t>
  </si>
  <si>
    <t>Maryville Acupuncture</t>
  </si>
  <si>
    <t>Acupuncture and Weight Loss⁠ ⁠ #readourblog #acupuncture #weightloss #canacupuncturehelp #llifestylemedicine #energy #readmore #acupunctureforpain #stress #anxiety #digestiveissues #seasonalallergies #insomnia #lackofsleep #lowenergy #backpain #chronicpain</t>
  </si>
  <si>
    <t>https://pbs.twimg.com/media/EOLgxMAX0AQLIaH.jpg</t>
  </si>
  <si>
    <t>Maryville, TN</t>
  </si>
  <si>
    <t>Coming soon! 865-315-3157</t>
  </si>
  <si>
    <t>St Albert Sangster's</t>
  </si>
  <si>
    <t>Linden is not as well known as some other classics. Health Canada supports its efficacy for relieving nervousness and restlessness. Linden is one of those few herbs that can be used safely by both adults and teens. #stress #mentalwellbeing #selfcare #mindfulness #selflove</t>
  </si>
  <si>
    <t>https://pbs.twimg.com/media/EOLeqG4XsAAujGt.jpg</t>
  </si>
  <si>
    <t>St. Albert, Alberta</t>
  </si>
  <si>
    <t>Natural Health Foods and Suppliments</t>
  </si>
  <si>
    <t>https://www.facebook.com/profile.php?id=100009671628728</t>
  </si>
  <si>
    <t>HEMPVET</t>
  </si>
  <si>
    <t>#Monday can be dreadful for both you and your pup. Does your dog suffer from separation anxiety? Purchase our CALM SUPPORT soft chews! These help with #anxiety and lessens #stress for your furry friends! Visit our website for more information:</t>
  </si>
  <si>
    <t>https://www.hempvet.pet/</t>
  </si>
  <si>
    <t>https://pbs.twimg.com/media/EOLeO19WoAYy32U.jpg</t>
  </si>
  <si>
    <t>Vermont, USA</t>
  </si>
  <si>
    <t>Broad-Spectrum Non-GMO Hemp-Based Pet Health Remedies</t>
  </si>
  <si>
    <t>https://www.hempvet.pet</t>
  </si>
  <si>
    <t>Leigh Tremaine</t>
  </si>
  <si>
    <t>How to clear unresourceful states like #stress, #anxiety, and #depression, and the blocks behind them. Develop powerful states of inner wellness.  #selfhelp</t>
  </si>
  <si>
    <t>https://www.youtube.com/watch?v=3YpwmvYsDwk&amp;list=PLPC_upIFNnjxMAiW8C-7WxCOYn3KitgYL&amp;index=4</t>
  </si>
  <si>
    <t>Fed up of being frustrated, blocked and stressed? Get your FREE Inner Wellness Session at http://LeighTremaine.com | Self-Development | Meditation | Mindfulness | EFT</t>
  </si>
  <si>
    <t>http://www.leightremaine.com</t>
  </si>
  <si>
    <t>Lawyers Summit</t>
  </si>
  <si>
    <t>Be sure to catch Anne Collier’s session, How to Be More Resilient and #Productive Under #Stress Recognize when you’re allowing a reaction to cause you stress &amp; dictate your behavior! Register for the #Lawyers Summit  #lawyer #attorney #lawfirms #lawfirm</t>
  </si>
  <si>
    <t>https://bit.ly/2Njogg0</t>
  </si>
  <si>
    <t>https://pbs.twimg.com/media/EOLeMrZX4AAH4oq.jpg</t>
  </si>
  <si>
    <t>5 days, 20+ Experts &amp; YOU! January 13-17, 2020 Start off 2020 with the FREE, online LAWYERS SUMMIT Get real-world advice to manage and grow your legal career!</t>
  </si>
  <si>
    <t>WeedStocksNews</t>
  </si>
  <si>
    <t>#Cannabis Can Keep You Calm, Study Suggests: #Scientists Discover How #Weed Short-Circuits #Brain Connections Linked to #Stress and #Anxiety Disorders</t>
  </si>
  <si>
    <t>https://www.dailymail.co.uk/health/article-7882143/Cannabis-calm-short-circuiting-anxiety-brain.html</t>
  </si>
  <si>
    <t>https://pbs.twimg.com/media/EOLeCCtXUAA87AM.jpg</t>
  </si>
  <si>
    <t>News for investors and traders of legal marijuana and hemp stocks. Nothing on this profile constitutes, or is meant to constitute, advice of any kind.</t>
  </si>
  <si>
    <t>OliDog Pet Wellness</t>
  </si>
  <si>
    <t>Does your #dog suffer from #separationanxiety or #noisephobias? #CBD has been extensively studied for its effect on #stress and #anxiety. Effective for panic and post-traumatic stress disorders. Try this #FullSpectrumCBD  #PetPTSD #PetAnxiety #DogAnxiety</t>
  </si>
  <si>
    <t>https://www.olidogpetwellness.ca/</t>
  </si>
  <si>
    <t>https://pbs.twimg.com/media/EOLcuQFWoAAu7h8.jpg</t>
  </si>
  <si>
    <t>Douro-Dummer, Ontario</t>
  </si>
  <si>
    <t>#OliDog #Canadian #PetWellness #CBD #HempCBD #Dogs #PetWellness #FullSpectrumCBD #Legacy420 #CBDForPets</t>
  </si>
  <si>
    <t>http://olidogpetwellness.ca</t>
  </si>
  <si>
    <t>Tom Foster</t>
  </si>
  <si>
    <t>Coming out the 20th #depresssion #overcome #ptsd #stress #mentalhealth #tommyal #frost #author #poems #poet #vision #video #art #team #thoughts #heart #growth #experience #usa #nj #jersey #newark #hillside #gwb…</t>
  </si>
  <si>
    <t>https://www.instagram.com/p/B7RLbvjFP7x/?igshid=kq9zdp6c89un</t>
  </si>
  <si>
    <t>Hillside, NJ</t>
  </si>
  <si>
    <t>Founder of Rebel Record Company Artist|Songwriter|Audio Engineer|NJ DEVIL</t>
  </si>
  <si>
    <t>http://www.datpiff.com/profile/TommyAlFrost</t>
  </si>
  <si>
    <t>How Stress Affects Gut Health ▸  #Guthealth #Stress #Digestion</t>
  </si>
  <si>
    <t>https://lttr.ai/MHkw</t>
  </si>
  <si>
    <t>https://pbs.twimg.com/media/EOLa1bmXsAAXuYM.jpg</t>
  </si>
  <si>
    <t>Build. Business Networking</t>
  </si>
  <si>
    <t>#Stress is so common in the workplace whether you're employed or self employed so how do you deal with stress at work? Take a look at our #blog which will give you some guidance</t>
  </si>
  <si>
    <t>https://www.buildmynetwork.co.uk/2019/09/25/how-to-deal-with-stress-at-work/</t>
  </si>
  <si>
    <t>Nottingham, England</t>
  </si>
  <si>
    <t>😌 We're a relaxed business #networking group that’s open to all! 📖 Read interesting #business topics on our blog 🤝 #buildmynetwork 🏆 #QueenOf #SmartSocial</t>
  </si>
  <si>
    <t>http://buildmynetwork.co.uk</t>
  </si>
  <si>
    <t>What good does it do our kids to achieve academic and career success if it makes them miserable? #college #education #happiness #stress</t>
  </si>
  <si>
    <t>http://lisakaplin.com/why-cant-our-kids-just-live-in-the-moment/</t>
  </si>
  <si>
    <t>Gwyn McGee</t>
  </si>
  <si>
    <t>To support you during these #stress filled times here is our Free app, Gift Of The Tin Man. For Beyond Maya Press, The Tin Man’s heart represents a powerful connection for mastering life. #MondayMotivation #youarenotalone #hope</t>
  </si>
  <si>
    <t>http://AppStore.com/GiftOfTheTinMan</t>
  </si>
  <si>
    <t>https://pbs.twimg.com/media/EOLZIVSU0AASxJI.jpg</t>
  </si>
  <si>
    <t>Dunnigan, CA</t>
  </si>
  <si>
    <t>Author</t>
  </si>
  <si>
    <t>http://www.youtube.com/user/Gwynmcgee?feature=mhee</t>
  </si>
  <si>
    <t>#Mindfulness can help us to be more present, manage #stress and difficult #emotions better, among other things. For 17 simple ways to incorporate present centered awareness into your day, check out @ClevelandClinic.</t>
  </si>
  <si>
    <t>http://ow.ly/6JlT50xOFCu</t>
  </si>
  <si>
    <t>Herrera Law</t>
  </si>
  <si>
    <t>Car accidents are very common and incredibly stressful. The Los Angeles Police Department allows car accident victims to file accident reports online! #herreralaw #accidents #cars #stress #file #online #lapd #losangeles #help</t>
  </si>
  <si>
    <t>https://pbs.twimg.com/media/EOLYtCKU0AAhGXT.jpg</t>
  </si>
  <si>
    <t>Herrera Law focuses on personal injury cases.</t>
  </si>
  <si>
    <t>#Smoking can be a source of #stress for you and your #MilFam. The @DeptVetAffairs Stay Quit Coach app can help you stop smoking forever: (iOS and Android download: ). More military-related smoking cessation tools are at .</t>
  </si>
  <si>
    <t>https://go.usa.gov/xPUNP
https://veterans.smokefree.gov/</t>
  </si>
  <si>
    <t>https://pbs.twimg.com/media/EOLX8TcWsAIAOl9.jpg</t>
  </si>
  <si>
    <t>Give your child a better start in life #stressfree #stressrelief #stress #pranichealing #mcks #children #family</t>
  </si>
  <si>
    <t>https://pbs.twimg.com/media/EOLWt2TX4AAFVvO.jpg</t>
  </si>
  <si>
    <t>Ramona Wildeman</t>
  </si>
  <si>
    <t>NASTY WEATHER: High winds and flurries in Langley forecast  #BCStorm #snow #safety #roadconditions #stress</t>
  </si>
  <si>
    <t>https://www.aldergrovestar.com/news/weather-flurries-remain-in-langley-forecast/</t>
  </si>
  <si>
    <t>Langley, BC</t>
  </si>
  <si>
    <t>Entrepreneur and Story Teller. Photographer. Writer. Life Coach ⚖️Relentlessly pursuing an inspired life. ✨ Healthy living in an empty nest. 🧠</t>
  </si>
  <si>
    <t>http://rlwildeman.neora.com</t>
  </si>
  <si>
    <t>#HowTo EASILY ground yourself in #stress or #anxiety causing situations in minutes</t>
  </si>
  <si>
    <t>http://www.binauralblog.com/binaural-spiritual-alignment</t>
  </si>
  <si>
    <t>https://pbs.twimg.com/media/EOLWekIW4AEx_1f.jpg</t>
  </si>
  <si>
    <t>Men Are Human</t>
  </si>
  <si>
    <t>#MaleSuicide is heavily related to stress. #Stress is caused by men being overburdened, and treated as #disposable commodities. And that is caused, in large part, by the #EmpathyGap. RT @JohnDavisJDLLM: @KennethJolivet @andrewpain1974 @men_are_human It is most definitely related to cortisol output. If you sustain cortisol (and other cytokine)s output too long, it causes brain inflammation. There is, virtually, a 100% correlation in autopsies of suicide victims between chronic brain inflammation and suicide.</t>
  </si>
  <si>
    <t>https://twitter.com/JohnDavisJDLLM/status/1216747133136539651</t>
  </si>
  <si>
    <t>Men Are Human is a gender-equality group fighting for the rights of male victims of discrimination, #SexualAssault, #DomesticAbuse, #MaleSuicide and much more.</t>
  </si>
  <si>
    <t>http://www.menarehuman.com</t>
  </si>
  <si>
    <t>Catherine Limperopoulos, Ph.D.: 'It's critical that we routinely to do these screenings and provide pregnant women with access to interventions to lower their #stress levels.  via @EurekAlert</t>
  </si>
  <si>
    <t>https://eurekalert.org/e/9XzJ</t>
  </si>
  <si>
    <t>16 #mentalhealth lessons completed for year 9s @wildernschool what a clever lot!! #anxiety #depression #copingstrategies #stress #youthengagement #empowerment #dispellingmyths #happytips #positivethinking</t>
  </si>
  <si>
    <t>https://pbs.twimg.com/media/EOLVGjaXsAARa8k.jpg</t>
  </si>
  <si>
    <t>DynamiteYoga https://DynamiteYoga.com</t>
  </si>
  <si>
    <t>By improving #anxiety and #stress, #meditating can help to improve your emotional #health, and the health of your mind and soul:  #yoga #fitness #Mantra #exercise #yogalife #healthtips #fitness #fit: The study of #asana is not about mastering posture. It…</t>
  </si>
  <si>
    <t>https://dynamiteyoga.com/dynamiteyoga-meditation.php</t>
  </si>
  <si>
    <t>https://pbs.twimg.com/media/EOLUZ9XVAAQEJqS.jpg</t>
  </si>
  <si>
    <t>#YogaStudio #Yogi #Yoga #fitness #meditation #love #gym #workout #motivation #yogi #health #yogalife #fit #namaste #yogainspiration #pilates #yogaeverydamnday</t>
  </si>
  <si>
    <t>https://dynamiteyoga.com</t>
  </si>
  <si>
    <t>Yoga for a #Healthy Mind and Body. Yoga can lessen the #stress in your life, help you focus better, and improve the overall health, and fitness:  #yoga #meditation #yogi #yogastudio #yogainspiration #yogalife</t>
  </si>
  <si>
    <t>https://gleeyoga.com/our-blog.php</t>
  </si>
  <si>
    <t>https://pbs.twimg.com/media/EOLUZoZVUAAS_YO.png</t>
  </si>
  <si>
    <t>The Business Health Group</t>
  </si>
  <si>
    <t>🤯 Q: I’m always busy, what can I add into my day to help with my stress? #stress #EmployeeEngagement #mentalhealth #productivity</t>
  </si>
  <si>
    <t>pic.twitter.com/N8HEWB0gDG</t>
  </si>
  <si>
    <t>Wilmslow, England</t>
  </si>
  <si>
    <t>Educating, empowering &amp; engaging people to lead healthier, happier lives both in and out of work.</t>
  </si>
  <si>
    <t>http://www.thebusinesshealthgroup.com</t>
  </si>
  <si>
    <t>CogniFit</t>
  </si>
  <si>
    <t>Is your job stressing you out? Learn how to survive job stress #stress #jobstress</t>
  </si>
  <si>
    <t>http://ow.ly/9hgx50xJKFc</t>
  </si>
  <si>
    <t>CogniFit offers online assessments and training software for your cognition, cognitive abilities and skills</t>
  </si>
  <si>
    <t>http://www.cognifit.com</t>
  </si>
  <si>
    <t>Jane Piper</t>
  </si>
  <si>
    <t>Heading home but going to do emails later? Would banning out of hours emails help you and your employees #well-being. NO according to this research showing loss of control leads to more #stress</t>
  </si>
  <si>
    <t>http://ow.ly/Hzp350xThHy</t>
  </si>
  <si>
    <t>Making Work Better in a Digital Age : Organisational Psychologist : Coach : HR Consultant for Pipsy GmbH</t>
  </si>
  <si>
    <t>http://www.pipsy.ch</t>
  </si>
  <si>
    <t>Jean Ann Larson</t>
  </si>
  <si>
    <t>Good #tips to enhance your #personalproductivity less #interruptions equals less #stress higher #productivity</t>
  </si>
  <si>
    <t>https://lnkd.in/eKugjV9</t>
  </si>
  <si>
    <t>Birmingham, Alabama USA</t>
  </si>
  <si>
    <t>Chief Leadership Development Officer, Dr. in OC, Consultant specializing in executive team and #leadershipdevelopment, and #change #Keynotespeaker, #author Mom</t>
  </si>
  <si>
    <t>http://www.jeanannlarson.org</t>
  </si>
  <si>
    <t>Did you take the world by storm today? Today is always a good day when you take everything you have learnt and change the world with it. #work #quoteoftheday #counselling #hcsmSA #southafrica #stress #help #anxiety #Mindfulness</t>
  </si>
  <si>
    <t>https://pbs.twimg.com/media/EOKo6u3XUAAb8p5.jpg</t>
  </si>
  <si>
    <t>Are You Highly Productive or a Poser? - Venture Out - Jan 14, 2020 -  #livesmarter #lifehack #livebetter #happylife #smartliving #ventureout #productivity #hustle #riseandgrind #slay #grit #toxic #culture #healthimpacts #stress #hustleporn #checklist</t>
  </si>
  <si>
    <t>https://mailchi.mp/2815f197a6de/venture-out-jan-7-3001841</t>
  </si>
  <si>
    <t>Treat phobias and fears using hypnotherapy  #anxiety #stress #depression #childhoodtrauma #therapy #desensitisation #controlledexposure #CBT #treatment #visualisation #emetophobia #fearofvomit #claustrophobia</t>
  </si>
  <si>
    <t>http://www.clinicalhypnotherapy-cardiff.co.uk/treat-your-phobia-and-fear-in-cardiff/</t>
  </si>
  <si>
    <t>https://pbs.twimg.com/media/EOLRYPvX4AInwhy.jpg</t>
  </si>
  <si>
    <t>Go easy on yourself! According to research, striving for perfection can create #Stress #Depression #Anxiety creating poor #MentalHealth And stop worrying about #Security and #Safety issues. We can help and advise you on both #ProudToProtect #ConstructionUK #ItsOKNotToBeOK</t>
  </si>
  <si>
    <t>https://pbs.twimg.com/media/EOLQ_r1XsAMuSkz.jpg</t>
  </si>
  <si>
    <t>Élyséenne &amp; Co.</t>
  </si>
  <si>
    <t>Taking a #bath and getting a #massage can never be more #relaxing with #Élyséenne &amp; Co.’s #CBD-infused products. The amazing #relaxant , #antidepressant, and anti inflammatory allows you to fully release your #stress and muscles #tensions, #relieving your #body, #mind, and #soul.</t>
  </si>
  <si>
    <t>https://pbs.twimg.com/media/EOLPXYpUEAAvOg5.jpg</t>
  </si>
  <si>
    <t>Ashland, OR</t>
  </si>
  <si>
    <t>Élyséenne &amp; Co. curates #luxury #CBD #Beauty &amp; #Skincare Collections. We #grow and #source only the #finest #natural ingredients to meet our clients’ demands.</t>
  </si>
  <si>
    <t>http://www.facebook.com/elyseenne.co</t>
  </si>
  <si>
    <t>Here’s Why You Need to Travel to Aruba in 2020 ▸  #Stress #TravelGuides #election #Aruba</t>
  </si>
  <si>
    <t>https://lttr.ai/MHRP</t>
  </si>
  <si>
    <t>https://pbs.twimg.com/media/EOLN9XMXsAA06e0.jpg</t>
  </si>
  <si>
    <t>The Minimalist Millennial</t>
  </si>
  <si>
    <t>My first blog post!  #blogging #minimalism #Millennials #medium #writing #stress #anxiety #newyear #declutter #stuff #materialism #consumerism</t>
  </si>
  <si>
    <t>https://bit.ly/37Uz4cq</t>
  </si>
  <si>
    <t>Soon to be mature student @ Winchester University * Philosophy * Freedom * Adventure * Minimalist * Hygge</t>
  </si>
  <si>
    <t>Emerald HRM</t>
  </si>
  <si>
    <t>Caring responsibilities or not, no one should feel "pressured" into checking email outside of working hours. Just because you can doesn't mean you should #WorkLifeBalance #Email #Stress #HRM</t>
  </si>
  <si>
    <t>Bingley, West Yorkshire</t>
  </si>
  <si>
    <t>The HR Publishing Team at Emerald sharing information, the latest content and academic research in HR, Learning and Org Studies.</t>
  </si>
  <si>
    <t>http://www.emeraldinsight.com</t>
  </si>
  <si>
    <t>Divine Mercy Univ</t>
  </si>
  <si>
    <t>Our Center for #Trauma and Resiliency Studies is hosting its first two workshops of the year on this upcoming Friday and Saturday! Learn how to minimize stress with trainings on Compassion #Stress Management and Compassion Fatigue #Therapy. Register:</t>
  </si>
  <si>
    <t>http://ow.ly/hdU950xU79U</t>
  </si>
  <si>
    <t>https://pbs.twimg.com/media/EOLK8lJWkAA9Y-E.jpg</t>
  </si>
  <si>
    <t>Sterling, VA</t>
  </si>
  <si>
    <t>A groundbreaking graduate university of counseling and psychology integrating the Catholic understanding of the person, marriage and the family.</t>
  </si>
  <si>
    <t>http://www.divinemercy.edu</t>
  </si>
  <si>
    <t>https://pbs.twimg.com/media/EN7oRSUX4AER1-8.jpg</t>
  </si>
  <si>
    <t>Download This Poster For Free. ➤  #Stress #BeyondYourControl</t>
  </si>
  <si>
    <t>http://bit.ly/2MKS2KB</t>
  </si>
  <si>
    <t>https://pbs.twimg.com/media/EOLJQSeX0AMhyn1.jpg</t>
  </si>
  <si>
    <t>Gaynor Buller Acupuncture</t>
  </si>
  <si>
    <t>Suffering with uncomfortable IBS? Have you thought about giving acupuncture a try. It can be very effective for the symptoms • • #acupuncture #chinesemedicine #TCM #cupping #moxa #moxibustion #relaxation #stress #acupoints #IBS</t>
  </si>
  <si>
    <t>Streetly, Sutton Coldfield</t>
  </si>
  <si>
    <t>Fully qualified and insured acupuncturist with 20 yrs experience. Passionate about your health. Facebook page: Gaynor Buller Acupuncture</t>
  </si>
  <si>
    <t>http://www.gaynorbullerclinic.co.uk</t>
  </si>
  <si>
    <t>V FOR VIBES</t>
  </si>
  <si>
    <t>During the cold winter months, consider whether a weighted blanket might solve the chill in the air for you, while possibly helping with insomnia and anxiety too! Seems like a win-win:  #vforvibes #stress #gravityblanket</t>
  </si>
  <si>
    <t>https://bit.ly/37po5HA</t>
  </si>
  <si>
    <t>Miami, USA</t>
  </si>
  <si>
    <t>Empowering Women - One Vibe At A Time.</t>
  </si>
  <si>
    <t>http://vforvibes.com</t>
  </si>
  <si>
    <t>"Humbleness has a tendency to disarm detractors and deploying it can often help turn a disaster into an opportunity.” Trudi Harris Dubon #communications #stress #impression #perception #publicrelations #mediarelations #message #socialmedia #humility #psychology #crisis #leaders</t>
  </si>
  <si>
    <t>Dr. Vincent Pedre</t>
  </si>
  <si>
    <t>C'mon Kids! My prescription: Do this at least 1x per day for your everyday stress, winter weather stress, travel stress, less daylight SAD stress, political stress, environmental stress, humanity #stress! Get #meditating! #meditation #breathe</t>
  </si>
  <si>
    <t>https://bit.ly/35LdZQh</t>
  </si>
  <si>
    <t>https://pbs.twimg.com/media/EOLHGNLXUAAo21K.jpg</t>
  </si>
  <si>
    <t>The Bridge between Holistic &amp; Western Medicine. Functional Medicine. Integrative Doctor, Acupuncturist. Author of Happy Gut</t>
  </si>
  <si>
    <t>http://www.happygutlife.com</t>
  </si>
  <si>
    <t>Alyson Schafer</t>
  </si>
  <si>
    <t>Stress in our kids is not limited to university. At the elementary level, more and more schools are incorporating evidence-based stress reducers such as yoga, mindfulness mediation, tapping and more.  #parenting #stress</t>
  </si>
  <si>
    <t>https://www.toronto.com/opinion-story/9793922-did-you-know-kids-along-with-parents-have-stress-ask-alyson/</t>
  </si>
  <si>
    <t>https://pbs.twimg.com/media/EOLFeA3XUAgLY5D.jpg</t>
  </si>
  <si>
    <t>Speaker. Parenting Expert. Family Therapist. Best Selling Author. Columnist. Media Personality. Helping you lower the stress of raising kids- one tip at a time.</t>
  </si>
  <si>
    <t>http://www.alysonschafer.com</t>
  </si>
  <si>
    <t>6 Tips For A Happy, Healthy New Year : Shots - Health News : NPR  #mentalhealth #wellness #selfhelp #selfcare #therapy #resolutions #newyear #change #anxiety #stress #worry</t>
  </si>
  <si>
    <t>https://www.npr.org/sections/health-shots/2019/12/31/792505428/start-fresh-6-tips-for-mental-health-in-2020?fbclid=IwAR184-5XhKPRpPhYkr_Au7dE8oWB6EVLYboqic5y2HGzjqMKs3avUnYp4r8</t>
  </si>
  <si>
    <t>Some of the most significant advancements in the last 10 years reveal just how far we’ve come with mental health, and how far we have to go. #anxiety #ptsd #stress #mindfulness #changingbrainhealth #mentalhealth #psychology #depression</t>
  </si>
  <si>
    <t>https://hubs.ly/H0myp930</t>
  </si>
  <si>
    <t>Study sheds light on link between cannabis, #anxiety and #stress @neurocellpress</t>
  </si>
  <si>
    <t>https://medicalxpress.com/news/2020-01-link-cannabis-anxiety-stress.html</t>
  </si>
  <si>
    <t>#Stress is the result of U wanting &amp; UR sub-mind not wanting &amp;amp; = inner conflict. Find inner harmony @  #health #loa</t>
  </si>
  <si>
    <t>DCSL</t>
  </si>
  <si>
    <t>Some things are unavoidable at the workplace. One of which is stress. A lot of people have found the best practice to cope and manage work stress. How do you manage stress? Comment below to help another professional. #ManagingStress #Stress #WorkStress #WorkPlace #Professional</t>
  </si>
  <si>
    <t>https://pbs.twimg.com/media/EOLDXwdXsAAAmqr.jpg</t>
  </si>
  <si>
    <t>DCSL Corporate Services Limited is a private limited liability company which provides company secretarial, governance, immigration and training services.</t>
  </si>
  <si>
    <t>Following in the steps of the #BurgerKing ad ... "#Damn! Our blankets are comfortable!" #weightedblankets #quilts #blankets #anxiety #stress #sleep</t>
  </si>
  <si>
    <t>https://pbs.twimg.com/media/EOLCwjFXsAE7lR-.jpg</t>
  </si>
  <si>
    <t>dieatto</t>
  </si>
  <si>
    <t>Cycle Regularly And Mix Up Workouts For Maximum Benefits. ​Like, Build Muscle, Cut Fat, Reduce Stress &amp; Anxiety, Treat Arthritis. 😍 #cycling #healthylifestyle #exercise #fitness #benefits #healthy #fat #muscle #legs #stress #sleep #anxiety #arthritis</t>
  </si>
  <si>
    <t>pic.twitter.com/AApTp5K0JU</t>
  </si>
  <si>
    <t>Gurgaon, India</t>
  </si>
  <si>
    <t>India’s first AI powered Diet Bot! Creating Exclusive, Authentic and Research based Diet Plans using Machine Learning Algorithms.</t>
  </si>
  <si>
    <t>http://www.dieatto.com</t>
  </si>
  <si>
    <t>Colby Shipwash</t>
  </si>
  <si>
    <t>"Do you drink the exact same coffee brand every morning when trying to wake up fully at your desk?"  #Stress #Coffee #Travel</t>
  </si>
  <si>
    <t>https://lttr.ai/MHEL</t>
  </si>
  <si>
    <t>https://pbs.twimg.com/media/EOLCOp3WkAkdues.png</t>
  </si>
  <si>
    <t>Dallas Tx</t>
  </si>
  <si>
    <t>Days of a Domestic Dad is a Dad to 5 kids. Husband to @7onashoestring, with solid values, Influencer, Travel/Lifestyle Blogger, Twitter Party Friendly</t>
  </si>
  <si>
    <t>http://daysofadomesticdad.com/</t>
  </si>
  <si>
    <t>https://pbs.twimg.com/media/EOLAtrKWoAMYztI.jpg</t>
  </si>
  <si>
    <t>Abby Meier</t>
  </si>
  <si>
    <t>Like 24 hours til I’m back at school for the spring semester. I guess I should pack up soon.... #Stress #itsfine #college</t>
  </si>
  <si>
    <t>Children and Family Ministry Crown College '21 July 31st 2020💍</t>
  </si>
  <si>
    <t>American Institute for Preventive Medicine</t>
  </si>
  <si>
    <t>News Your Employees Can Use...  #aipm #healthylife #seasonalaffectivedisorder #SAD #winter #depression #sleepwell #exercise #stress #managestress #sunlight #lighttherapy #mentalhealth #wellbeing #wellness #healthyliving #selfcare</t>
  </si>
  <si>
    <t>http://www.healthylife.com/blog/short-days-long-nights-bright-news-your-employees-can-use/</t>
  </si>
  <si>
    <t>https://pbs.twimg.com/media/EOK_gyXXkAAqAe7.jpg</t>
  </si>
  <si>
    <t>Farmington Hills, MI</t>
  </si>
  <si>
    <t>Bright ideas about wellness, health and productivity from the American Institute for Preventive Medicine.</t>
  </si>
  <si>
    <t>http://www.healthylife.com/blog</t>
  </si>
  <si>
    <t>Jazz Kang</t>
  </si>
  <si>
    <t>Workplace stress on the rise: It’s estimated that mental health cost the UK economy close to £35bn in 2018, largely due to reduced productivity. Read more now!  @TrainingZone #stress #MentalHealthMatters #Productivity</t>
  </si>
  <si>
    <t>http://bit.ly/3a6CIlq</t>
  </si>
  <si>
    <t>Derby, England</t>
  </si>
  <si>
    <t>Jazz Kang is a very experienced #psychotherapist, #supervisor &amp; #trainer with over 20 years of experience working with diverse service users.</t>
  </si>
  <si>
    <t>http://jazzkang.com/</t>
  </si>
  <si>
    <t>Baldness is often hereditary and mainly found in men. It can start as early as in your 20s and can be treated  #HealthRenewal #HairLoss #hormones #balding #baldness #hairfallout #thyroid #stress #alopecia #supplements</t>
  </si>
  <si>
    <t>http://ow.ly/1lRN30fuv9Q</t>
  </si>
  <si>
    <t>https://pbs.twimg.com/media/EOK-cnJWAAEgoGG.jpg</t>
  </si>
  <si>
    <t>Want Happier Workers? A New Study Says This 1 Small #Change 'Significantly' Reduces #Stress:</t>
  </si>
  <si>
    <t>https://www.inc.com/bill-murphy-jr/want-to-be-happier-at-work-a-new-study-in-a-truly-terrible-work-environment-says-employees-who-do-this-are-significantly-less-stressed.html</t>
  </si>
  <si>
    <t>David Pagliaccio</t>
  </si>
  <si>
    <t>Out now in @TheJCPP: we find an interaction between prenatal #AirPollution exposure and early life #stress magnifying risk for attention and though problems in children. #Pollution can be neurotoxic and bad for #mentalhealth.</t>
  </si>
  <si>
    <t>https://onlinelibrary.wiley.com/doi/10.1111/jcpp.13189</t>
  </si>
  <si>
    <t>Neuroscientist at NYSPI/ @ColumbiaPsych doing MRI research on pediatric mental health 🧠🗽🌈 he/him Part of the @CogDevelopLab</t>
  </si>
  <si>
    <t>NaturalProductsNews</t>
  </si>
  <si>
    <t>Nelsons: Heritage with relevance – CEO Claire Ferguson talks about authenticity and social responsibility @cherryhealey @Fearnecotton @The_RHS @TeamSportsAid #Nelsons #healthcare #homeopathy #naturalhealth #paralympians #sleep #stress #trefriwwellsspa</t>
  </si>
  <si>
    <t>https://wp.me/p9ipTI-b6u</t>
  </si>
  <si>
    <t>https://pbs.twimg.com/media/EOK9RYHWoAA7Cel.jpg</t>
  </si>
  <si>
    <t>Natural Products is Britain’s leading trade magazine for the natural and organic products industry.</t>
  </si>
  <si>
    <t>http://www.naturalproductsonline.co.uk</t>
  </si>
  <si>
    <t>Myo Thwin Myint, MD</t>
  </si>
  <si>
    <t>The effects of #ClimateChange on #child #Health include: Physical &amp; psychological sequelae of #Weather disasters (e.g. hurricanes, flooding, wildfires) Increased #Heat #stress Decreased air #quality Altered vector-borne #disease patterns Food, #Water, and nutrient insecurity RT @AmerAcadPeds: Children seeing news about the Australia wildfires may understand that these are not isolated events: climate change is making wildfires worse and more frequent, but we have the tools we need now to protect their future. More on how #ClimateChangesHealth:</t>
  </si>
  <si>
    <t>https://twitter.com/AmerAcadPeds/status/1216719074824196103
https://www.aap.org/en-us/advocacy-and-policy/aap-health-initiatives/climate-change/Pages/Climate-Change-and-Childrens-Health.aspx</t>
  </si>
  <si>
    <t>🏳️‍🌈 child and adolescent psychiatrist, pediatrician, triple boarder, academic physician, training programs director, advocate, 610 stomper 🏳️‍🌈</t>
  </si>
  <si>
    <t>MNC Associates</t>
  </si>
  <si>
    <t>Our bodies are well equipped to handle #stress in small doses, but when stress becomes long-term or chronic, it can have serious effects on the body. Learn more about the effect of stress on different parts of the body @APAHelpCenter</t>
  </si>
  <si>
    <t>http://ow.ly/WPIU50xRtHp</t>
  </si>
  <si>
    <t>Avenue Psychotherapy Services, Therapy, Counselling and Advisory Service, Est. 1995</t>
  </si>
  <si>
    <t>https://www.facebook.com/MNCAssociatesOnLine/</t>
  </si>
  <si>
    <t>Sue Speake, LMFT</t>
  </si>
  <si>
    <t>We all get #overwhelmed by #stress. Breathe, take a walk — just don't #overeat. Avoid #fastfood, and #junkfood! Don't give up! #weightloss #healthybody #fitness #Mentalhealth #LMFT #overwhelmed #discouraged #KeepGoing</t>
  </si>
  <si>
    <t>http://www.amazon.com/dp/0986441805/ref=cm_sw_r_tw_dp_vQM.ub1KG4G0W</t>
  </si>
  <si>
    <t>Licensed Marriage Family Therapist, Founder MicroSteps® Therapy, Author "THE END OF LIVING LARGE... " http://www.amazon.com/dp/0986441805/ref=cm_sw_r_tw_dp_vQM.ub1KG4G0W,</t>
  </si>
  <si>
    <t>http://microstepstherapy.com</t>
  </si>
  <si>
    <t>Laughter Club🇮🇳</t>
  </si>
  <si>
    <t>Some istupid boys will open their books,night before exam just to click pic of it and to post it on Instagram story, captioning*blah,blah,blah* #exams #blog #stress</t>
  </si>
  <si>
    <t>Hindustan wale</t>
  </si>
  <si>
    <t>Practical batein,khudka meme,Frank,*aur single bhi hu😜* ,Insta:-joker_15.5</t>
  </si>
  <si>
    <t>Ben Kubassek</t>
  </si>
  <si>
    <t>[Blog Post] "Are You Setting the Goal Bar too High?"  #balance #stress</t>
  </si>
  <si>
    <t>https://bit.ly/2LyzkGh</t>
  </si>
  <si>
    <t>https://pbs.twimg.com/media/EOK7eknX4Ao02m_.jpg</t>
  </si>
  <si>
    <t>www.knowgogrow.com</t>
  </si>
  <si>
    <t>Founder of @KnowGoGrow helping young entrepreneurs KNOW, GO &amp; GROW | Love sharing inspirational quotes @benkubassek | author | speaker | hugger</t>
  </si>
  <si>
    <t>http://www.succeedwithoutburnout.com</t>
  </si>
  <si>
    <t>Improve! Increase! Decrease Stress!!  #TimeManagement #WorkLifeBalance #Productivity #QualityOfLife #Organization #stress</t>
  </si>
  <si>
    <t>http://www.WorkingSmarterNotLonger.com</t>
  </si>
  <si>
    <t>https://pbs.twimg.com/media/EOK7Fq0XkAIn6bC.jpg</t>
  </si>
  <si>
    <t>The early proactive intervention in the form of intrapersonal education increases quality of life and decreases the chances of #stress, #burnout, #depression, #anxiety etc. Find out more in @hrmagazine:  #ProactiveMentalWellness #MentalHealthAtWork</t>
  </si>
  <si>
    <t>http://hrmagazine.co.uk/article-details/intrapersonal-skills-as-a-proactive-way-to-personal-sustainability</t>
  </si>
  <si>
    <t>https://pbs.twimg.com/media/EOK67MoWAAMhHb_.png</t>
  </si>
  <si>
    <t>Ziff Davis B2B</t>
  </si>
  <si>
    <t>Does being a #CEO mean you're the most stressed, or is it those with the lowest job rankings who are suffering? Here's how rank and seniority affects your stress levels 👇 #HR #leadership #stress #occupationalhealth #mentalhealthawareness</t>
  </si>
  <si>
    <t>https://www.ziffdavisb2b.co.uk/rank-workplace-stress/</t>
  </si>
  <si>
    <t>Global market leader in omni-channel marketing, providing our customers with precise access to the world’s most powerful technology buyers. #demandgeneration</t>
  </si>
  <si>
    <t>http://www.ziffdavisb2b.com</t>
  </si>
  <si>
    <t>As just about every socialized human being can attest, interpersonal relationships play a significant role in our experience of #stress — either contributing to it and or alleviating it. Discover more:  #mentalhealth #anxiety #depression</t>
  </si>
  <si>
    <t>https://www.brainpickings.org/2015/10/07/esther-sternberg-stress-relationships/</t>
  </si>
  <si>
    <t>Priti Robyn Ross</t>
  </si>
  <si>
    <t>Turn your Stress to Serenity! When you “get it” your body and life will begin to reflect it. #stress #serenity #yourlife #makechanges #growth #youareworthit #benefits #stressrelief</t>
  </si>
  <si>
    <t>https://pbs.twimg.com/media/EOK5ZWnWoAAyFyM.jpg</t>
  </si>
  <si>
    <t>A lover of life, yoga, nature, adventure, honesty, authenticity, laughter and lifelong soul friendships…</t>
  </si>
  <si>
    <t>http://www.LifeAsYoga.com</t>
  </si>
  <si>
    <t>Element Coaching and Wellbeing</t>
  </si>
  <si>
    <t>We curated our De-Stress Program for clients in high-stress jobs! It includes high-intensity sessions followed by breathing and relaxation techniques, as well as identifying ways to lower stress as part of a healthier and more active lifestyle! #health #fitness #stress #HIIT</t>
  </si>
  <si>
    <t>https://pbs.twimg.com/media/EOK5Hx8XkAA7gS_.jpg</t>
  </si>
  <si>
    <t>Exercise, Health and Wellness Coaching for Individuals, Businesses and The Community.</t>
  </si>
  <si>
    <t>My IK Spa</t>
  </si>
  <si>
    <t>Wendy Irwin, as a holistic healer, herbalist, author, an entrepreneur, is offering an array of products. Check our product line:  #knowledge #mantras #author #herbalife #gemstones #healer #anxiety #stress #lifestyle</t>
  </si>
  <si>
    <t>https://qoo.ly/33tur3</t>
  </si>
  <si>
    <t>https://pbs.twimg.com/media/EOK5DQfWkAMzgIP.png</t>
  </si>
  <si>
    <t>Wendy Irwin is an holistic healer, herbalist, author, entrepreneur, and a true creative force for a joyful life style.</t>
  </si>
  <si>
    <t>3 steps to relieve anxiety (free #hypnotherapy #mp3). #depression #stress #anxiety</t>
  </si>
  <si>
    <t>http://ow.ly/A5PD30q83SC</t>
  </si>
  <si>
    <t>https://pbs.twimg.com/media/EOK3-eSXkAUpUq_.jpg</t>
  </si>
  <si>
    <t>"Life begins at the end of your comfort zone." Neale Donald Walsch #nevergiveup #liveoutloud #successquote #successful #selfesteem #selfaware #selfcarefirst #coaching #motivationquote #mindset #money #stress #blessed #millionaire #buildyourempire #motivate #believe</t>
  </si>
  <si>
    <t>https://pbs.twimg.com/media/EOK3l4CX0AI9rdv.jpg</t>
  </si>
  <si>
    <t>Daniel Fryer</t>
  </si>
  <si>
    <t>Want to know how hypnotherapy helped with work-place bullying? Read on . . .  #Bullying #Bully #workplaceexperience #Stress #selfesteem #selfworth #hypnotherapy #Hypnosis #Hypnostised</t>
  </si>
  <si>
    <t>https://buff.ly/2Nmio5J</t>
  </si>
  <si>
    <t>Psychotherapist / expert speaker &amp; author of The Four Thoughts That F*ck You Up (and how to fix them) / plays second fiddle to a Staffy</t>
  </si>
  <si>
    <t>http://www.danielfryer.com</t>
  </si>
  <si>
    <t>Design 2 Fashion</t>
  </si>
  <si>
    <t>Connect the children with parents more #stressfree #children #family #stressrelief #stress #pranichealing #mcks</t>
  </si>
  <si>
    <t>https://pbs.twimg.com/media/EOK3rEDWoAMfVKL.jpg</t>
  </si>
  <si>
    <t>Come and Join, Grow the Industry: May it be Clothes, Designing, Photography, Make-Up, Dress-Making, Colouring, Creating or just Watching Fashion, etc.</t>
  </si>
  <si>
    <t>https://www.twitter.com/Design2Fashion</t>
  </si>
  <si>
    <t>Sigrid Chu</t>
  </si>
  <si>
    <t>"The simpler it is, the more time we have to enjoy and appreciate it."  #Happiness #Stress #Life</t>
  </si>
  <si>
    <t>https://lttr.ai/MHAZ</t>
  </si>
  <si>
    <t>https://pbs.twimg.com/media/EOK3q3nW4AQB4oI.png</t>
  </si>
  <si>
    <t>Storyteller at Life Notes to File (http://www.lifenotestofile.com). #Familyfirst. #Blogger. #LifeLessons that inspire meaningful living. #WritingCommunity.</t>
  </si>
  <si>
    <t>http://www.lifenotestofile.com</t>
  </si>
  <si>
    <t>Keep Fit Kingdom</t>
  </si>
  <si>
    <t>IT'S MONDAY, time to get MARTIAL and blitz those goals, starting here!  #jiujitsu #confidence #keepfit #martialarts #training #mental #mentalhealth #MMA #health #stress #stressrelief #UFC #wellbeing #healthy #healthylifestyle #goals #mondaymotivation</t>
  </si>
  <si>
    <t>https://keepfitkingdom.com/5-psychological-benefits-of-martial-arts-training/</t>
  </si>
  <si>
    <t>https://pbs.twimg.com/media/EOK2gTGW4AEbwBv.jpg</t>
  </si>
  <si>
    <t>Keep Fit Kingdom's mission is to help a billion people reach 100 years of age healthily &amp; happily! Join us :)</t>
  </si>
  <si>
    <t>http://keepfitkingdom.com</t>
  </si>
  <si>
    <t>What makes you feel alive? Tell us in the comments below! #aromatherapy #essentialoils #stress #anxiety #insomnia #mood #mind #healing #wellness #airfreshener #health #natural #youngliving</t>
  </si>
  <si>
    <t>https://pbs.twimg.com/media/EOK2fw7X0AA2jVi.jpg</t>
  </si>
  <si>
    <t>Marysette Hubert</t>
  </si>
  <si>
    <t>Why most of captive animals die from #Cardiac Shock ? Just because of #Stress due to Their #Captivity But this fact doesn't Stop #Zoo It will introduce more #wildanimals Sadly, This truth is not just about this #zoo</t>
  </si>
  <si>
    <t>https://pbs.twimg.com/media/EOK2OCtX0AE-FlX.jpg</t>
  </si>
  <si>
    <t>Première neige..❄❄ ce que j'écris📖✒ s'efface ce que j'écris s'efface..❄❄❄ haïku</t>
  </si>
  <si>
    <t>The Pet Hemp Store</t>
  </si>
  <si>
    <t>Dog owners reported giving #CBD oil to pets for a variety of reasons. The top was #anxiety and #stress at 46% #DogsofTwittter #Pets</t>
  </si>
  <si>
    <t>https://www.petfoodindustry.com/articles/8785-dog-owners-may-spend-us42-on-cbd-oil-for-pets-per-month#.XhyD6mkvGjQ.twitter</t>
  </si>
  <si>
    <t>We offer a variety of pet hemp products that treat your pet, not their condition making sure your pet's mind and body are completely healthy. #pethemp</t>
  </si>
  <si>
    <t>http://thepethemp.store</t>
  </si>
  <si>
    <t>Please Follow the link to know more 👇  #Sadhguru #InnerEngineering #Meditation #Yoga #Mindfulness #Stress #Fitness #Happiness #BodyMindSpirit #cauverycalling🌳</t>
  </si>
  <si>
    <t>https://www.facebook.com/100000616129931/posts/2914105608619948/?d=n</t>
  </si>
  <si>
    <t>https://pbs.twimg.com/media/EOK1-LYWkAcxwh6.jpg</t>
  </si>
  <si>
    <t>N.A.P.S.</t>
  </si>
  <si>
    <t>No matter what stage of #life you’re in—#adult, #olderadult, #pregnant or a #parent—consuming #healthy #foods and #beverages, getting regular #physicalactivity, #stress relief and adequate #sleep may help you or your #children stay healthy. #NIDDK</t>
  </si>
  <si>
    <t>http://bit.ly/2Fy1Pzh</t>
  </si>
  <si>
    <t>https://pbs.twimg.com/media/EOK1cnaWsAA2v1R.jpg</t>
  </si>
  <si>
    <t>View features/graphics from more than 750 companies, associations, PR firms and government information offices. RETWEET your stories!</t>
  </si>
  <si>
    <t>http://www.napsnet.com</t>
  </si>
  <si>
    <t>Learn to Live CBT</t>
  </si>
  <si>
    <t>Ever wonder about the difference between #stress and #anxiety? Both are emotional responses, and luckily, both are treatable with #CBT according to @APA.</t>
  </si>
  <si>
    <t>http://ow.ly/ncpl50xTXMm</t>
  </si>
  <si>
    <t>Online #CBT programs and #MentalHealth resources for stress, depression, social anxiety, and insomnia. We’re here to help.</t>
  </si>
  <si>
    <t>http://learntolive.com</t>
  </si>
  <si>
    <t>Pawnix</t>
  </si>
  <si>
    <t>A lot of people were in the storms this weekend. Our noise-cancelling headset kept @spoildro10doggy calm and rested, instead of anxious shaken and destructive. #pawnix #ilovemydog #thunder #fireworks #dogearmuffs #doganxiety #fear #dogheadset #stress #innovation #dog #love</t>
  </si>
  <si>
    <t>pic.twitter.com/BmBkrpLBxq</t>
  </si>
  <si>
    <t>The best and only noise canceling device for dogs</t>
  </si>
  <si>
    <t>NewsGram</t>
  </si>
  <si>
    <t>#Exam time is like a #mental marathon, and we cannot #stress enough on studying while #children sit for exams.</t>
  </si>
  <si>
    <t>https://www.newsgram.com/diet-tips-kids-health-exam-season/</t>
  </si>
  <si>
    <t>Chicago, IL</t>
  </si>
  <si>
    <t>Official Twitter handle of US-based IRS-approved tax -exempt nonprofit media organization.</t>
  </si>
  <si>
    <t>http://www.newsgram.com/</t>
  </si>
  <si>
    <t>https://pbs.twimg.com/media/EOK0ktfX0AA3hd-.jpg</t>
  </si>
  <si>
    <t>The latest  daily!  Thanks to @k_kirisame @WeEmpowerOthers @shlokgupta #stress #anxiety</t>
  </si>
  <si>
    <t>https://pbs.twimg.com/media/EOKz5SrU4AIXwK7.jpg</t>
  </si>
  <si>
    <t>kateyogaryan</t>
  </si>
  <si>
    <t>FOUR IN FIVE PEOPLE HAVE A 'HAPPY PLACE' TO ESCAPE DAILY STRESS #stress #happy #meditation #yoga</t>
  </si>
  <si>
    <t>https://www.independent.co.uk/life-style/happy-place-daily-stress-poll-countryside-pub-a8984826.html?utm_source=twitter&amp;utm_medium=social&amp;utm_campaign=tweepsmap-Kate1</t>
  </si>
  <si>
    <t>Chicago-based Meditation, Yoga &amp; Mindfulness Coach. Lover of laughter, surprises, authenticity &amp; magic. ✨ #yoga #mentalhealth #mindfulness #recovery</t>
  </si>
  <si>
    <t>http://www.kateyogaryan.com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</si>
</sst>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quot;/&quot;mm&quot;/&quot;yyyy&quot; &quot;hh&quot;:&quot;mm"/>
  </numFmts>
  <fonts count="8">
    <font>
      <sz val="10.0"/>
      <color rgb="FF000000"/>
      <name val="Arial"/>
    </font>
    <font>
      <sz val="8.0"/>
      <name val="Droid Sans"/>
    </font>
    <font>
      <sz val="10.0"/>
      <color rgb="FFFFFFFF"/>
      <name val="Droid Sans"/>
    </font>
    <font>
      <sz val="8.0"/>
      <color rgb="FFFFFFFF"/>
      <name val="Droid Sans"/>
    </font>
    <font>
      <u/>
      <sz val="8.0"/>
      <color rgb="FF0000FF"/>
      <name val="Droid Sans"/>
    </font>
    <font>
      <u/>
      <sz val="8.0"/>
      <color rgb="FF0000FF"/>
      <name val="Droid Sans"/>
    </font>
    <font>
      <sz val="8.0"/>
      <color theme="1"/>
      <name val="Droid Sans"/>
    </font>
    <font>
      <u/>
      <sz val="8.0"/>
      <color rgb="FF0000FF"/>
      <name val="Droid Sans"/>
    </font>
  </fonts>
  <fills count="3">
    <fill>
      <patternFill patternType="none"/>
    </fill>
    <fill>
      <patternFill patternType="lightGray"/>
    </fill>
    <fill>
      <patternFill patternType="solid">
        <fgColor rgb="FF3C78D8"/>
        <bgColor rgb="FF3C78D8"/>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1" numFmtId="164" xfId="0" applyAlignment="1" applyFont="1" applyNumberFormat="1">
      <alignment readingOrder="0" vertical="center"/>
    </xf>
    <xf borderId="0" fillId="0" fontId="2" numFmtId="165" xfId="0" applyAlignment="1" applyFont="1" applyNumberFormat="1">
      <alignment horizontal="center" vertical="center"/>
    </xf>
    <xf borderId="0" fillId="0" fontId="2" numFmtId="0" xfId="0" applyAlignment="1" applyFont="1">
      <alignment readingOrder="0" vertical="center"/>
    </xf>
    <xf borderId="0" fillId="0" fontId="2" numFmtId="0" xfId="0" applyAlignment="1" applyFont="1">
      <alignment vertical="center"/>
    </xf>
    <xf borderId="0" fillId="0" fontId="2" numFmtId="0" xfId="0" applyAlignment="1" applyFont="1">
      <alignment horizontal="center" vertical="center"/>
    </xf>
    <xf borderId="0" fillId="2" fontId="3" numFmtId="0" xfId="0" applyAlignment="1" applyFill="1" applyFont="1">
      <alignment horizontal="center" readingOrder="0" vertical="center"/>
    </xf>
    <xf borderId="0" fillId="2" fontId="3" numFmtId="0" xfId="0" applyAlignment="1" applyFont="1">
      <alignment readingOrder="0" vertical="center"/>
    </xf>
    <xf borderId="0" fillId="2" fontId="3" numFmtId="0" xfId="0" applyAlignment="1" applyFont="1">
      <alignment vertical="center"/>
    </xf>
    <xf borderId="0" fillId="0" fontId="1" numFmtId="165" xfId="0" applyAlignment="1" applyFont="1" applyNumberFormat="1">
      <alignment horizontal="center" readingOrder="0" vertical="center"/>
    </xf>
    <xf borderId="0" fillId="0" fontId="4" numFmtId="0" xfId="0" applyAlignment="1" applyFont="1">
      <alignment vertical="center"/>
    </xf>
    <xf borderId="0" fillId="0" fontId="5" numFmtId="0" xfId="0" applyAlignment="1" applyFont="1">
      <alignment readingOrder="0" vertical="center"/>
    </xf>
    <xf borderId="0" fillId="0" fontId="6" numFmtId="0" xfId="0" applyAlignment="1" applyFont="1">
      <alignment vertical="center"/>
    </xf>
    <xf borderId="0" fillId="0" fontId="1" numFmtId="0" xfId="0" applyAlignment="1" applyFont="1">
      <alignment readingOrder="0" vertical="center"/>
    </xf>
    <xf borderId="0" fillId="0" fontId="1" numFmtId="0" xfId="0" applyAlignment="1" applyFont="1">
      <alignment horizontal="center" readingOrder="0" vertical="center"/>
    </xf>
    <xf borderId="0" fillId="0" fontId="6" numFmtId="0" xfId="0" applyAlignment="1" applyFont="1">
      <alignment horizontal="center" vertical="center"/>
    </xf>
    <xf borderId="0" fillId="0" fontId="1" numFmtId="14" xfId="0" applyAlignment="1" applyFont="1" applyNumberFormat="1">
      <alignment horizontal="center" readingOrder="0" vertical="center"/>
    </xf>
    <xf borderId="0" fillId="0" fontId="7" numFmtId="0" xfId="0" applyAlignment="1" applyFont="1">
      <alignment horizontal="center" vertical="center"/>
    </xf>
    <xf borderId="0" fillId="0" fontId="1" numFmtId="0" xfId="0" applyAlignment="1" applyFont="1">
      <alignment horizontal="center" readingOrder="0" vertical="center"/>
    </xf>
    <xf quotePrefix="1" borderId="0" fillId="0" fontId="1" numFmtId="0" xfId="0" applyAlignment="1" applyFont="1">
      <alignment readingOrder="0" vertical="center"/>
    </xf>
    <xf borderId="0" fillId="0" fontId="1" numFmtId="0" xfId="0" applyAlignment="1" applyFont="1">
      <alignment readingOrder="0" vertical="center"/>
    </xf>
    <xf borderId="0" fillId="0" fontId="1" numFmtId="165" xfId="0" applyAlignment="1" applyFont="1" applyNumberFormat="1">
      <alignment horizontal="center" vertical="center"/>
    </xf>
    <xf borderId="0" fillId="0" fontId="1" numFmtId="0" xfId="0" applyAlignment="1" applyFont="1">
      <alignment horizontal="center" vertical="center"/>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1155CC"/>
          <bgColor rgb="FF1155CC"/>
        </patternFill>
      </fill>
      <border/>
    </dxf>
    <dxf>
      <font/>
      <fill>
        <patternFill patternType="solid">
          <fgColor rgb="FFE8F0FE"/>
          <bgColor rgb="FFE8F0FE"/>
        </patternFill>
      </fill>
      <border/>
    </dxf>
  </dxfs>
  <tableStyles count="2">
    <tableStyle count="3" pivot="0" name="Twitter Archiver Logs-style">
      <tableStyleElement dxfId="1" type="headerRow"/>
      <tableStyleElement dxfId="2" type="firstRowStripe"/>
      <tableStyleElement dxfId="3" type="secondRowStripe"/>
    </tableStyle>
    <tableStyle count="3" pivot="0" name="#stress langen -filterretweets -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3473"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stress langen -filterretweets -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Z100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witter Archiver Log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survey.zohopublic.com/zs/BHB3Fw" TargetMode="External"/><Relationship Id="rId391" Type="http://schemas.openxmlformats.org/officeDocument/2006/relationships/hyperlink" Target="https://iamtruth.co.uk" TargetMode="External"/><Relationship Id="rId390" Type="http://schemas.openxmlformats.org/officeDocument/2006/relationships/hyperlink" Target="https://pbs.twimg.com/media/EOkZ0CeX0AEKd_e.jpg" TargetMode="External"/><Relationship Id="rId2180" Type="http://schemas.openxmlformats.org/officeDocument/2006/relationships/hyperlink" Target="https://pbs.twimg.com/media/EOaQ0swWoAEj40d.jpg" TargetMode="External"/><Relationship Id="rId2181" Type="http://schemas.openxmlformats.org/officeDocument/2006/relationships/hyperlink" Target="http://www.staywelloh.co.uk/" TargetMode="External"/><Relationship Id="rId2182" Type="http://schemas.openxmlformats.org/officeDocument/2006/relationships/hyperlink" Target="https://pbs.twimg.com/media/EOaQSmsVAAA615a.jpg" TargetMode="External"/><Relationship Id="rId2183" Type="http://schemas.openxmlformats.org/officeDocument/2006/relationships/hyperlink" Target="http://www.wjso.com" TargetMode="External"/><Relationship Id="rId385" Type="http://schemas.openxmlformats.org/officeDocument/2006/relationships/hyperlink" Target="https://pbs.twimg.com/media/EOkZ7lVUEAA0XzU.jpg" TargetMode="External"/><Relationship Id="rId2184" Type="http://schemas.openxmlformats.org/officeDocument/2006/relationships/hyperlink" Target="https://pbs.twimg.com/media/EOaP2fKX4AAnfnL.jpg" TargetMode="External"/><Relationship Id="rId384" Type="http://schemas.openxmlformats.org/officeDocument/2006/relationships/hyperlink" Target="http://www.acaciacw.com" TargetMode="External"/><Relationship Id="rId2185" Type="http://schemas.openxmlformats.org/officeDocument/2006/relationships/hyperlink" Target="http://maturethinking.co.uk" TargetMode="External"/><Relationship Id="rId383" Type="http://schemas.openxmlformats.org/officeDocument/2006/relationships/hyperlink" Target="https://pbs.twimg.com/media/EOkZ9uYWAAA3w9G.jpg" TargetMode="External"/><Relationship Id="rId2186" Type="http://schemas.openxmlformats.org/officeDocument/2006/relationships/hyperlink" Target="https://www.naturments.com/blog/10-reasons-why-black-seed-oil-is-beneficial/" TargetMode="External"/><Relationship Id="rId382" Type="http://schemas.openxmlformats.org/officeDocument/2006/relationships/hyperlink" Target="http://www.balticnews.co.uk" TargetMode="External"/><Relationship Id="rId2187" Type="http://schemas.openxmlformats.org/officeDocument/2006/relationships/hyperlink" Target="https://pbs.twimg.com/media/EOaPFn3UcAALyi1.jpg" TargetMode="External"/><Relationship Id="rId389" Type="http://schemas.openxmlformats.org/officeDocument/2006/relationships/hyperlink" Target="https://iamtruth.co.uk" TargetMode="External"/><Relationship Id="rId2188" Type="http://schemas.openxmlformats.org/officeDocument/2006/relationships/hyperlink" Target="http://naturments.com/" TargetMode="External"/><Relationship Id="rId388" Type="http://schemas.openxmlformats.org/officeDocument/2006/relationships/hyperlink" Target="http://www.weightmatters.co.uk" TargetMode="External"/><Relationship Id="rId2189" Type="http://schemas.openxmlformats.org/officeDocument/2006/relationships/hyperlink" Target="https://pbs.twimg.com/media/EOaPACeWkAEszZ9.jpg" TargetMode="External"/><Relationship Id="rId387" Type="http://schemas.openxmlformats.org/officeDocument/2006/relationships/hyperlink" Target="http://ow.ly/5blN50xYMXE" TargetMode="External"/><Relationship Id="rId386" Type="http://schemas.openxmlformats.org/officeDocument/2006/relationships/hyperlink" Target="http://empowercounseling.net" TargetMode="External"/><Relationship Id="rId381" Type="http://schemas.openxmlformats.org/officeDocument/2006/relationships/hyperlink" Target="https://pbs.twimg.com/media/EOkds-qX0AA4Ewc.jpg" TargetMode="External"/><Relationship Id="rId380" Type="http://schemas.openxmlformats.org/officeDocument/2006/relationships/hyperlink" Target="http://henryford.com" TargetMode="External"/><Relationship Id="rId379" Type="http://schemas.openxmlformats.org/officeDocument/2006/relationships/hyperlink" Target="http://ow.ly/uJUs50xXncP" TargetMode="External"/><Relationship Id="rId2170" Type="http://schemas.openxmlformats.org/officeDocument/2006/relationships/hyperlink" Target="https://pbs.twimg.com/media/EOaTPx7XkAI-bej.jpg" TargetMode="External"/><Relationship Id="rId2171" Type="http://schemas.openxmlformats.org/officeDocument/2006/relationships/hyperlink" Target="https://www.goodmorningamerica.com/wellness/video/study-burnout-lead-irregular-heartbeat-68294077" TargetMode="External"/><Relationship Id="rId2172" Type="http://schemas.openxmlformats.org/officeDocument/2006/relationships/hyperlink" Target="http://www.empowerhousegroup.com" TargetMode="External"/><Relationship Id="rId374" Type="http://schemas.openxmlformats.org/officeDocument/2006/relationships/hyperlink" Target="http://www.timemanagementninja.com" TargetMode="External"/><Relationship Id="rId2173" Type="http://schemas.openxmlformats.org/officeDocument/2006/relationships/hyperlink" Target="https://www.psychologytoday.com/us/basics/burnout" TargetMode="External"/><Relationship Id="rId373" Type="http://schemas.openxmlformats.org/officeDocument/2006/relationships/hyperlink" Target="https://pbs.twimg.com/media/EOkkEuQWkAAhUg2.jpg" TargetMode="External"/><Relationship Id="rId2174" Type="http://schemas.openxmlformats.org/officeDocument/2006/relationships/hyperlink" Target="https://pbs.twimg.com/media/EOBu82HWAAAN81_.jpg" TargetMode="External"/><Relationship Id="rId372" Type="http://schemas.openxmlformats.org/officeDocument/2006/relationships/hyperlink" Target="https://amzn.to/30OzTA5" TargetMode="External"/><Relationship Id="rId2175" Type="http://schemas.openxmlformats.org/officeDocument/2006/relationships/hyperlink" Target="http://insightbusinessworks.com/" TargetMode="External"/><Relationship Id="rId371" Type="http://schemas.openxmlformats.org/officeDocument/2006/relationships/hyperlink" Target="http://www.annawootton.com" TargetMode="External"/><Relationship Id="rId2176" Type="http://schemas.openxmlformats.org/officeDocument/2006/relationships/hyperlink" Target="http://itsgardeningtime.com/?p=1379&amp;utm_source=ReviveOldPost&amp;utm_medium=social&amp;utm_campaign=ReviveOldPost" TargetMode="External"/><Relationship Id="rId378" Type="http://schemas.openxmlformats.org/officeDocument/2006/relationships/hyperlink" Target="http://www.rufford-park-lodge.co.uk" TargetMode="External"/><Relationship Id="rId2177" Type="http://schemas.openxmlformats.org/officeDocument/2006/relationships/hyperlink" Target="http://itsgardeningtime.com" TargetMode="External"/><Relationship Id="rId377" Type="http://schemas.openxmlformats.org/officeDocument/2006/relationships/hyperlink" Target="https://pbs.twimg.com/media/EOkgpZ-X0AAFKea.jpg" TargetMode="External"/><Relationship Id="rId2178" Type="http://schemas.openxmlformats.org/officeDocument/2006/relationships/hyperlink" Target="http://bit.ly/2Y4EgWq" TargetMode="External"/><Relationship Id="rId376" Type="http://schemas.openxmlformats.org/officeDocument/2006/relationships/hyperlink" Target="http://bit.ly/east-wing" TargetMode="External"/><Relationship Id="rId2179" Type="http://schemas.openxmlformats.org/officeDocument/2006/relationships/hyperlink" Target="https://www.xcode.life" TargetMode="External"/><Relationship Id="rId375" Type="http://schemas.openxmlformats.org/officeDocument/2006/relationships/hyperlink" Target="https://pbs.twimg.com/media/EOkjTxLVUAAMqvv.jpg" TargetMode="External"/><Relationship Id="rId2190" Type="http://schemas.openxmlformats.org/officeDocument/2006/relationships/hyperlink" Target="http://www.maturethinking.co.uk" TargetMode="External"/><Relationship Id="rId2191" Type="http://schemas.openxmlformats.org/officeDocument/2006/relationships/hyperlink" Target="https://pbs.twimg.com/media/EOaO1MzWkAAojtg.jpg" TargetMode="External"/><Relationship Id="rId2192" Type="http://schemas.openxmlformats.org/officeDocument/2006/relationships/hyperlink" Target="https://www.amazon.co.uk/Essential-Family-Guide-Caring-People/dp/1472965434/ref=tmm_pap_swatch_0?_en" TargetMode="External"/><Relationship Id="rId2193" Type="http://schemas.openxmlformats.org/officeDocument/2006/relationships/hyperlink" Target="https://pbs.twimg.com/media/EOaK73nW4AAepHk.jpg" TargetMode="External"/><Relationship Id="rId2194" Type="http://schemas.openxmlformats.org/officeDocument/2006/relationships/hyperlink" Target="http://braining4success.com" TargetMode="External"/><Relationship Id="rId396" Type="http://schemas.openxmlformats.org/officeDocument/2006/relationships/hyperlink" Target="http://www.mindfulnessmeditationinstitute.org/" TargetMode="External"/><Relationship Id="rId2195" Type="http://schemas.openxmlformats.org/officeDocument/2006/relationships/hyperlink" Target="https://www.forbes.com/sites/forbescoachescouncil/2019/12/02/eliminating-the-stigma-around-mental-health-in-the-workplace/?fbclid=IwAR3loNTws9h1Gu2JnUFxeSVZx7_gS69mCAFvnrbquFc9bfpBqaqtHII_qMk#38ab5a417bfc#mentalhealth" TargetMode="External"/><Relationship Id="rId395" Type="http://schemas.openxmlformats.org/officeDocument/2006/relationships/hyperlink" Target="http://www.mindfulnessmeditationinstitute.org/2015/01/the-12-steps-of-the-mindfulness-meditation-practice/" TargetMode="External"/><Relationship Id="rId2196" Type="http://schemas.openxmlformats.org/officeDocument/2006/relationships/hyperlink" Target="http://www.dctalktherapy.com" TargetMode="External"/><Relationship Id="rId394" Type="http://schemas.openxmlformats.org/officeDocument/2006/relationships/hyperlink" Target="https://worksmartlivesmart.com" TargetMode="External"/><Relationship Id="rId2197" Type="http://schemas.openxmlformats.org/officeDocument/2006/relationships/hyperlink" Target="http://www.theherbalgardens.com" TargetMode="External"/><Relationship Id="rId393" Type="http://schemas.openxmlformats.org/officeDocument/2006/relationships/hyperlink" Target="https://pbs.twimg.com/media/EOkY1SAU0AEGvXg.jpg" TargetMode="External"/><Relationship Id="rId2198" Type="http://schemas.openxmlformats.org/officeDocument/2006/relationships/hyperlink" Target="http://bit.ly/2Y4EgWq" TargetMode="External"/><Relationship Id="rId2199" Type="http://schemas.openxmlformats.org/officeDocument/2006/relationships/hyperlink" Target="http://www.xcode.life" TargetMode="External"/><Relationship Id="rId399" Type="http://schemas.openxmlformats.org/officeDocument/2006/relationships/hyperlink" Target="https://catpoz.com" TargetMode="External"/><Relationship Id="rId398" Type="http://schemas.openxmlformats.org/officeDocument/2006/relationships/hyperlink" Target="https://pbs.twimg.com/media/EOkXCY6UwAAETmf.jpg" TargetMode="External"/><Relationship Id="rId397" Type="http://schemas.openxmlformats.org/officeDocument/2006/relationships/hyperlink" Target="http://catpoz.com/products/moving-fish-cat-toy" TargetMode="External"/><Relationship Id="rId1730" Type="http://schemas.openxmlformats.org/officeDocument/2006/relationships/hyperlink" Target="https://engngrp.com/2ua0BI0" TargetMode="External"/><Relationship Id="rId1731" Type="http://schemas.openxmlformats.org/officeDocument/2006/relationships/hyperlink" Target="http://cassandra.co" TargetMode="External"/><Relationship Id="rId1732" Type="http://schemas.openxmlformats.org/officeDocument/2006/relationships/hyperlink" Target="https://pbs.twimg.com/media/EOb11BwXkAEhq3Y.jpg" TargetMode="External"/><Relationship Id="rId1733" Type="http://schemas.openxmlformats.org/officeDocument/2006/relationships/hyperlink" Target="https://www.wellnessorbit.com/trainings/free-mini-training-focus-stress-reduction" TargetMode="External"/><Relationship Id="rId1734" Type="http://schemas.openxmlformats.org/officeDocument/2006/relationships/hyperlink" Target="https://pbs.twimg.com/media/EOb1SYqW4AAnuAj.jpg" TargetMode="External"/><Relationship Id="rId1735" Type="http://schemas.openxmlformats.org/officeDocument/2006/relationships/hyperlink" Target="http://www.wellnessorbit.com" TargetMode="External"/><Relationship Id="rId1736" Type="http://schemas.openxmlformats.org/officeDocument/2006/relationships/hyperlink" Target="https://youtu.be/yxtoosoedY0" TargetMode="External"/><Relationship Id="rId1737" Type="http://schemas.openxmlformats.org/officeDocument/2006/relationships/hyperlink" Target="https://www.thepathofme.com/" TargetMode="External"/><Relationship Id="rId1738" Type="http://schemas.openxmlformats.org/officeDocument/2006/relationships/hyperlink" Target="https://bit.ly/2QH4mLb" TargetMode="External"/><Relationship Id="rId1739" Type="http://schemas.openxmlformats.org/officeDocument/2006/relationships/hyperlink" Target="http://boironusa.com" TargetMode="External"/><Relationship Id="rId1720" Type="http://schemas.openxmlformats.org/officeDocument/2006/relationships/hyperlink" Target="http://bit.ly/2iMAIn" TargetMode="External"/><Relationship Id="rId1721" Type="http://schemas.openxmlformats.org/officeDocument/2006/relationships/hyperlink" Target="https://www.mustardseedsentinel.com/post/lifestyle-chronic-stress-can-become-a-health-problem" TargetMode="External"/><Relationship Id="rId1722" Type="http://schemas.openxmlformats.org/officeDocument/2006/relationships/hyperlink" Target="http://www.mustardseedsentinel.com" TargetMode="External"/><Relationship Id="rId1723" Type="http://schemas.openxmlformats.org/officeDocument/2006/relationships/hyperlink" Target="https://www.psychologytoday.com/blog/turning-straw-gold/202001/how-help-manage-your-everyday-fears" TargetMode="External"/><Relationship Id="rId1724" Type="http://schemas.openxmlformats.org/officeDocument/2006/relationships/hyperlink" Target="http://www.tonibernhard.com" TargetMode="External"/><Relationship Id="rId1725" Type="http://schemas.openxmlformats.org/officeDocument/2006/relationships/hyperlink" Target="https://kingsumo.com/g/9agctd/giveaway-january-2020/m869okv" TargetMode="External"/><Relationship Id="rId1726" Type="http://schemas.openxmlformats.org/officeDocument/2006/relationships/hyperlink" Target="https://www.popsugar.com/fitness/Can-Yoga-Help-Weight-Loss-46129002" TargetMode="External"/><Relationship Id="rId1727" Type="http://schemas.openxmlformats.org/officeDocument/2006/relationships/hyperlink" Target="https://www.amazon.com/shop/flytrainer01" TargetMode="External"/><Relationship Id="rId1728" Type="http://schemas.openxmlformats.org/officeDocument/2006/relationships/hyperlink" Target="https://www.popsugar.com/fitness/Can-Yoga-Help-Weight-Loss-46129002" TargetMode="External"/><Relationship Id="rId1729" Type="http://schemas.openxmlformats.org/officeDocument/2006/relationships/hyperlink" Target="https://www.amazon.com/shop/flytrainer01" TargetMode="External"/><Relationship Id="rId1752" Type="http://schemas.openxmlformats.org/officeDocument/2006/relationships/hyperlink" Target="http://ow.ly/trVk50wHlyk" TargetMode="External"/><Relationship Id="rId1753" Type="http://schemas.openxmlformats.org/officeDocument/2006/relationships/hyperlink" Target="https://pbs.twimg.com/media/EObrUnbXsAAzf2v.jpg" TargetMode="External"/><Relationship Id="rId1754" Type="http://schemas.openxmlformats.org/officeDocument/2006/relationships/hyperlink" Target="http://www.anxietyuk.org.uk" TargetMode="External"/><Relationship Id="rId1755" Type="http://schemas.openxmlformats.org/officeDocument/2006/relationships/hyperlink" Target="https://wp.me/pataLM-7a" TargetMode="External"/><Relationship Id="rId1756" Type="http://schemas.openxmlformats.org/officeDocument/2006/relationships/hyperlink" Target="http://www.mindfulnessmeditationinstitute.org/" TargetMode="External"/><Relationship Id="rId1757" Type="http://schemas.openxmlformats.org/officeDocument/2006/relationships/hyperlink" Target="https://e-resources.powerlibrary.org/ext/validateglobal.php?cid=ECONTENT&amp;lid=PL7321&amp;dataid=1375" TargetMode="External"/><Relationship Id="rId1758" Type="http://schemas.openxmlformats.org/officeDocument/2006/relationships/hyperlink" Target="https://pbs.twimg.com/media/EOaBmYEWAAEKCFu.png" TargetMode="External"/><Relationship Id="rId1759" Type="http://schemas.openxmlformats.org/officeDocument/2006/relationships/hyperlink" Target="http://www.powerlibrary.org/" TargetMode="External"/><Relationship Id="rId1750" Type="http://schemas.openxmlformats.org/officeDocument/2006/relationships/hyperlink" Target="https://pbs.twimg.com/media/EObrpebU4AABV7K.jpg" TargetMode="External"/><Relationship Id="rId1751" Type="http://schemas.openxmlformats.org/officeDocument/2006/relationships/hyperlink" Target="http://stlcc.edu/CE" TargetMode="External"/><Relationship Id="rId1741" Type="http://schemas.openxmlformats.org/officeDocument/2006/relationships/hyperlink" Target="http://www.bellaoasisdayspa.com" TargetMode="External"/><Relationship Id="rId1742" Type="http://schemas.openxmlformats.org/officeDocument/2006/relationships/hyperlink" Target="http://zpr.io/guka2" TargetMode="External"/><Relationship Id="rId1743" Type="http://schemas.openxmlformats.org/officeDocument/2006/relationships/hyperlink" Target="https://pbs.twimg.com/media/EObveHkWsAIHLCs.jpg" TargetMode="External"/><Relationship Id="rId1744" Type="http://schemas.openxmlformats.org/officeDocument/2006/relationships/hyperlink" Target="http://www.trafficjam.mobi/" TargetMode="External"/><Relationship Id="rId1745" Type="http://schemas.openxmlformats.org/officeDocument/2006/relationships/hyperlink" Target="https://lttr.ai/MPHe" TargetMode="External"/><Relationship Id="rId1746" Type="http://schemas.openxmlformats.org/officeDocument/2006/relationships/hyperlink" Target="https://pbs.twimg.com/media/EObvWYfWsAAOczS.jpg" TargetMode="External"/><Relationship Id="rId1747" Type="http://schemas.openxmlformats.org/officeDocument/2006/relationships/hyperlink" Target="http://www.childproofparenting.com" TargetMode="External"/><Relationship Id="rId1748" Type="http://schemas.openxmlformats.org/officeDocument/2006/relationships/hyperlink" Target="https://pbs.twimg.com/media/EObsQUGWsAALRYP.jpg" TargetMode="External"/><Relationship Id="rId1749" Type="http://schemas.openxmlformats.org/officeDocument/2006/relationships/hyperlink" Target="http://bit.ly/38bk9L0" TargetMode="External"/><Relationship Id="rId1740" Type="http://schemas.openxmlformats.org/officeDocument/2006/relationships/hyperlink" Target="https://pbs.twimg.com/media/EObxCDmXsAAsWfH.jpg" TargetMode="External"/><Relationship Id="rId1710" Type="http://schemas.openxmlformats.org/officeDocument/2006/relationships/hyperlink" Target="https://pbs.twimg.com/media/EOb86CDX4AErrUz.jpg" TargetMode="External"/><Relationship Id="rId1711" Type="http://schemas.openxmlformats.org/officeDocument/2006/relationships/hyperlink" Target="https://itsmothersturn.com/" TargetMode="External"/><Relationship Id="rId1712" Type="http://schemas.openxmlformats.org/officeDocument/2006/relationships/hyperlink" Target="https://www.flipsnack.com/sanvello/sanvello-guide-to-feeling-better.html" TargetMode="External"/><Relationship Id="rId1713" Type="http://schemas.openxmlformats.org/officeDocument/2006/relationships/hyperlink" Target="http://www.sanvello.com" TargetMode="External"/><Relationship Id="rId1714" Type="http://schemas.openxmlformats.org/officeDocument/2006/relationships/hyperlink" Target="http://bit.ly/east-wing" TargetMode="External"/><Relationship Id="rId1715" Type="http://schemas.openxmlformats.org/officeDocument/2006/relationships/hyperlink" Target="https://pbs.twimg.com/media/EOb7U8XWsAcaPwn.jpg" TargetMode="External"/><Relationship Id="rId1716" Type="http://schemas.openxmlformats.org/officeDocument/2006/relationships/hyperlink" Target="http://www.rufford-park-lodge.co.uk" TargetMode="External"/><Relationship Id="rId1717" Type="http://schemas.openxmlformats.org/officeDocument/2006/relationships/hyperlink" Target="http://radicalteacher.library.pitt.edu/ojs/index.php/radicalteacher/article/download/255/190" TargetMode="External"/><Relationship Id="rId1718" Type="http://schemas.openxmlformats.org/officeDocument/2006/relationships/hyperlink" Target="http://www.tricovel.ca/blog/hair-loss-due-to-stress-7-ways-to-start-de-stressing-today/" TargetMode="External"/><Relationship Id="rId1719" Type="http://schemas.openxmlformats.org/officeDocument/2006/relationships/hyperlink" Target="https://pbs.twimg.com/media/EOb5TuUWoAAgMuI.jpg" TargetMode="External"/><Relationship Id="rId1700" Type="http://schemas.openxmlformats.org/officeDocument/2006/relationships/hyperlink" Target="http://bit.ly/2Cl2GSs" TargetMode="External"/><Relationship Id="rId1701" Type="http://schemas.openxmlformats.org/officeDocument/2006/relationships/hyperlink" Target="http://www.ecoself.net" TargetMode="External"/><Relationship Id="rId1702" Type="http://schemas.openxmlformats.org/officeDocument/2006/relationships/hyperlink" Target="http://community.today.com/parentingteam/post/everyone-has-a-breaking-pointthis-was-mine" TargetMode="External"/><Relationship Id="rId1703" Type="http://schemas.openxmlformats.org/officeDocument/2006/relationships/hyperlink" Target="https://autisminsocal.com" TargetMode="External"/><Relationship Id="rId1704" Type="http://schemas.openxmlformats.org/officeDocument/2006/relationships/hyperlink" Target="https://www.instagram.com/p/B7ZeVBFh7gc/?igshid=1kwf3rgdkyuzm" TargetMode="External"/><Relationship Id="rId1705" Type="http://schemas.openxmlformats.org/officeDocument/2006/relationships/hyperlink" Target="http://msbizwiz.com" TargetMode="External"/><Relationship Id="rId1706" Type="http://schemas.openxmlformats.org/officeDocument/2006/relationships/hyperlink" Target="http://phiairmedical.com" TargetMode="External"/><Relationship Id="rId1707" Type="http://schemas.openxmlformats.org/officeDocument/2006/relationships/hyperlink" Target="https://i9ndpm4hkikjuerc9b47q.now7.site" TargetMode="External"/><Relationship Id="rId1708" Type="http://schemas.openxmlformats.org/officeDocument/2006/relationships/hyperlink" Target="http://www.todaysmentalwellness.com" TargetMode="External"/><Relationship Id="rId1709" Type="http://schemas.openxmlformats.org/officeDocument/2006/relationships/hyperlink" Target="https://lttr.ai/MPMt" TargetMode="External"/><Relationship Id="rId40" Type="http://schemas.openxmlformats.org/officeDocument/2006/relationships/hyperlink" Target="https://isrg.me/u8drED" TargetMode="External"/><Relationship Id="rId3513" Type="http://schemas.openxmlformats.org/officeDocument/2006/relationships/hyperlink" Target="https://www.instagram.com/p/B7VFRQRpLPl/?igshid=1lrr7br3rb7lp" TargetMode="External"/><Relationship Id="rId4844" Type="http://schemas.openxmlformats.org/officeDocument/2006/relationships/hyperlink" Target="http://bit.ly/2QVBctI" TargetMode="External"/><Relationship Id="rId3512" Type="http://schemas.openxmlformats.org/officeDocument/2006/relationships/hyperlink" Target="http://www.pharmaproff.com" TargetMode="External"/><Relationship Id="rId4843" Type="http://schemas.openxmlformats.org/officeDocument/2006/relationships/hyperlink" Target="http://www.synergyneurofeedback.com" TargetMode="External"/><Relationship Id="rId42" Type="http://schemas.openxmlformats.org/officeDocument/2006/relationships/hyperlink" Target="http://isrg.me" TargetMode="External"/><Relationship Id="rId3515" Type="http://schemas.openxmlformats.org/officeDocument/2006/relationships/hyperlink" Target="https://pbs.twimg.com/media/EOTN2GFWkAAgUSN.png" TargetMode="External"/><Relationship Id="rId4846" Type="http://schemas.openxmlformats.org/officeDocument/2006/relationships/hyperlink" Target="http://ow.ly/T4dy50xFAHM" TargetMode="External"/><Relationship Id="rId41" Type="http://schemas.openxmlformats.org/officeDocument/2006/relationships/hyperlink" Target="https://pbs.twimg.com/media/EOm3rQFU4AAOlo2.jpg" TargetMode="External"/><Relationship Id="rId3514" Type="http://schemas.openxmlformats.org/officeDocument/2006/relationships/hyperlink" Target="http://www.sportyking.com/inspirational-fun-letter.html" TargetMode="External"/><Relationship Id="rId4845" Type="http://schemas.openxmlformats.org/officeDocument/2006/relationships/hyperlink" Target="http://jeannieburlowski.com" TargetMode="External"/><Relationship Id="rId44" Type="http://schemas.openxmlformats.org/officeDocument/2006/relationships/hyperlink" Target="https://www.drdiane.com" TargetMode="External"/><Relationship Id="rId3517" Type="http://schemas.openxmlformats.org/officeDocument/2006/relationships/hyperlink" Target="https://medicalxpress.com/news/2020-01-scientists-gut-infection-chronic-symptoms.html" TargetMode="External"/><Relationship Id="rId4848" Type="http://schemas.openxmlformats.org/officeDocument/2006/relationships/hyperlink" Target="http://csnn.ca" TargetMode="External"/><Relationship Id="rId43" Type="http://schemas.openxmlformats.org/officeDocument/2006/relationships/hyperlink" Target="https://www.drdiane.com/product/bellabee/" TargetMode="External"/><Relationship Id="rId3516" Type="http://schemas.openxmlformats.org/officeDocument/2006/relationships/hyperlink" Target="http://www.sportyking.com/inspirational-fun-letter.html" TargetMode="External"/><Relationship Id="rId4847" Type="http://schemas.openxmlformats.org/officeDocument/2006/relationships/hyperlink" Target="https://pbs.twimg.com/media/EOLuzK8WsAAm_rt.jpg" TargetMode="External"/><Relationship Id="rId46" Type="http://schemas.openxmlformats.org/officeDocument/2006/relationships/hyperlink" Target="https://pbs.twimg.com/media/CyxfPyDVIAAW6Tq.jpg" TargetMode="External"/><Relationship Id="rId3519" Type="http://schemas.openxmlformats.org/officeDocument/2006/relationships/hyperlink" Target="http://snip.ly/xsg7u" TargetMode="External"/><Relationship Id="rId45" Type="http://schemas.openxmlformats.org/officeDocument/2006/relationships/hyperlink" Target="https://goo.gl/y1v43I" TargetMode="External"/><Relationship Id="rId3518" Type="http://schemas.openxmlformats.org/officeDocument/2006/relationships/hyperlink" Target="http://www.bugspeaks.com" TargetMode="External"/><Relationship Id="rId4849" Type="http://schemas.openxmlformats.org/officeDocument/2006/relationships/hyperlink" Target="http://bit.ly/2R2sLws" TargetMode="External"/><Relationship Id="rId48" Type="http://schemas.openxmlformats.org/officeDocument/2006/relationships/hyperlink" Target="http://bit.ly/Breakthrough3X" TargetMode="External"/><Relationship Id="rId47" Type="http://schemas.openxmlformats.org/officeDocument/2006/relationships/hyperlink" Target="http://www.fearofflying.com/" TargetMode="External"/><Relationship Id="rId49" Type="http://schemas.openxmlformats.org/officeDocument/2006/relationships/hyperlink" Target="http://www.dankuschell.com" TargetMode="External"/><Relationship Id="rId4840" Type="http://schemas.openxmlformats.org/officeDocument/2006/relationships/hyperlink" Target="https://pbs.twimg.com/media/EOLv5EvX4AMmX3-.jpg" TargetMode="External"/><Relationship Id="rId3511" Type="http://schemas.openxmlformats.org/officeDocument/2006/relationships/hyperlink" Target="https://pbs.twimg.com/media/EOTO9EvUwAYekhY.jpg" TargetMode="External"/><Relationship Id="rId4842" Type="http://schemas.openxmlformats.org/officeDocument/2006/relationships/hyperlink" Target="http://ow.ly/Qc9y50xQmfw" TargetMode="External"/><Relationship Id="rId3510" Type="http://schemas.openxmlformats.org/officeDocument/2006/relationships/hyperlink" Target="http://bit.ly/2X3aqBY" TargetMode="External"/><Relationship Id="rId4841" Type="http://schemas.openxmlformats.org/officeDocument/2006/relationships/hyperlink" Target="http://www.neuroflowsolution.com/" TargetMode="External"/><Relationship Id="rId3502" Type="http://schemas.openxmlformats.org/officeDocument/2006/relationships/hyperlink" Target="http://www.re-activ8.com" TargetMode="External"/><Relationship Id="rId4833" Type="http://schemas.openxmlformats.org/officeDocument/2006/relationships/hyperlink" Target="https://brianthomas.me" TargetMode="External"/><Relationship Id="rId3501" Type="http://schemas.openxmlformats.org/officeDocument/2006/relationships/hyperlink" Target="https://reactiv8health.blogspot.com/2020/01/the-tiger-in-mind.html?spref=tw" TargetMode="External"/><Relationship Id="rId4832" Type="http://schemas.openxmlformats.org/officeDocument/2006/relationships/hyperlink" Target="https://buff.ly/2RSv7Aa" TargetMode="External"/><Relationship Id="rId31" Type="http://schemas.openxmlformats.org/officeDocument/2006/relationships/hyperlink" Target="https://travelingthroughlifedaybyday.com/kick-stress-to-the-curb-free-mini-course/?utm_source=ReviveOldPost&amp;utm_medium=social&amp;utm_campaign=ReviveOldPost" TargetMode="External"/><Relationship Id="rId3504" Type="http://schemas.openxmlformats.org/officeDocument/2006/relationships/hyperlink" Target="https://pbs.twimg.com/media/EOTPz0_U4AIkq0X.jpg" TargetMode="External"/><Relationship Id="rId4835" Type="http://schemas.openxmlformats.org/officeDocument/2006/relationships/hyperlink" Target="https://pbs.twimg.com/media/EOLwzpfXUAAYKO5.jpg" TargetMode="External"/><Relationship Id="rId30" Type="http://schemas.openxmlformats.org/officeDocument/2006/relationships/hyperlink" Target="http://myjearney.com" TargetMode="External"/><Relationship Id="rId3503" Type="http://schemas.openxmlformats.org/officeDocument/2006/relationships/hyperlink" Target="https://bit.ly/2FNQkUs" TargetMode="External"/><Relationship Id="rId4834" Type="http://schemas.openxmlformats.org/officeDocument/2006/relationships/hyperlink" Target="http://ow.ly/gdUL50vzQaH" TargetMode="External"/><Relationship Id="rId33" Type="http://schemas.openxmlformats.org/officeDocument/2006/relationships/hyperlink" Target="https://mailchi.mp/f4cc28c45f7b/expressions-of-discomfort-in-dogs" TargetMode="External"/><Relationship Id="rId3506" Type="http://schemas.openxmlformats.org/officeDocument/2006/relationships/hyperlink" Target="https://pbs.twimg.com/media/EOTPKQCWsAY0tpm.jpg" TargetMode="External"/><Relationship Id="rId4837" Type="http://schemas.openxmlformats.org/officeDocument/2006/relationships/hyperlink" Target="https://lttr.ai/MH4g" TargetMode="External"/><Relationship Id="rId32" Type="http://schemas.openxmlformats.org/officeDocument/2006/relationships/hyperlink" Target="https://travelingthroughlifedaybyday.com" TargetMode="External"/><Relationship Id="rId3505" Type="http://schemas.openxmlformats.org/officeDocument/2006/relationships/hyperlink" Target="https://upnow.com/" TargetMode="External"/><Relationship Id="rId4836" Type="http://schemas.openxmlformats.org/officeDocument/2006/relationships/hyperlink" Target="https://www.joannegorecommunications.com" TargetMode="External"/><Relationship Id="rId35" Type="http://schemas.openxmlformats.org/officeDocument/2006/relationships/hyperlink" Target="http://www.caninecompanionconsulting.com" TargetMode="External"/><Relationship Id="rId3508" Type="http://schemas.openxmlformats.org/officeDocument/2006/relationships/hyperlink" Target="https://pbs.twimg.com/media/EOTPKNvXUAI8wUU.jpg" TargetMode="External"/><Relationship Id="rId4839" Type="http://schemas.openxmlformats.org/officeDocument/2006/relationships/hyperlink" Target="http://www.hypnosisfirst.com" TargetMode="External"/><Relationship Id="rId34" Type="http://schemas.openxmlformats.org/officeDocument/2006/relationships/hyperlink" Target="https://pbs.twimg.com/media/EOm7U3RUwAAcWni.jpg" TargetMode="External"/><Relationship Id="rId3507" Type="http://schemas.openxmlformats.org/officeDocument/2006/relationships/hyperlink" Target="http://www.lenmedhealth.co.za" TargetMode="External"/><Relationship Id="rId4838" Type="http://schemas.openxmlformats.org/officeDocument/2006/relationships/hyperlink" Target="https://pbs.twimg.com/media/EOLwJ-PX4AgVW2d.jpg" TargetMode="External"/><Relationship Id="rId3509" Type="http://schemas.openxmlformats.org/officeDocument/2006/relationships/hyperlink" Target="http://www.ehhc.co.za" TargetMode="External"/><Relationship Id="rId37" Type="http://schemas.openxmlformats.org/officeDocument/2006/relationships/hyperlink" Target="https://pbs.twimg.com/media/EOm3yiKWoAE8baO.jpg" TargetMode="External"/><Relationship Id="rId36" Type="http://schemas.openxmlformats.org/officeDocument/2006/relationships/hyperlink" Target="https://lttr.ai/MS98" TargetMode="External"/><Relationship Id="rId39" Type="http://schemas.openxmlformats.org/officeDocument/2006/relationships/hyperlink" Target="http://www.managingmadesimple.com/about-us/" TargetMode="External"/><Relationship Id="rId38" Type="http://schemas.openxmlformats.org/officeDocument/2006/relationships/hyperlink" Target="http://www.theanxioustravelers.com" TargetMode="External"/><Relationship Id="rId3500" Type="http://schemas.openxmlformats.org/officeDocument/2006/relationships/hyperlink" Target="http://www.lindasage.com" TargetMode="External"/><Relationship Id="rId4831" Type="http://schemas.openxmlformats.org/officeDocument/2006/relationships/hyperlink" Target="http://www.mindfulnessmeditationinstitute.org/" TargetMode="External"/><Relationship Id="rId4830" Type="http://schemas.openxmlformats.org/officeDocument/2006/relationships/hyperlink" Target="https://mindfulnessmeditation.thinkific.com" TargetMode="External"/><Relationship Id="rId2203" Type="http://schemas.openxmlformats.org/officeDocument/2006/relationships/hyperlink" Target="https://bit.ly/2Tsg8Oc" TargetMode="External"/><Relationship Id="rId3535" Type="http://schemas.openxmlformats.org/officeDocument/2006/relationships/hyperlink" Target="http://www.hospitalhealth.com.au" TargetMode="External"/><Relationship Id="rId4866" Type="http://schemas.openxmlformats.org/officeDocument/2006/relationships/hyperlink" Target="https://pbs.twimg.com/media/EOLpN3EWoAEOGn5.jpg" TargetMode="External"/><Relationship Id="rId2204" Type="http://schemas.openxmlformats.org/officeDocument/2006/relationships/hyperlink" Target="https://buff.ly/2t30P36" TargetMode="External"/><Relationship Id="rId3534" Type="http://schemas.openxmlformats.org/officeDocument/2006/relationships/hyperlink" Target="https://pbs.twimg.com/media/EOS19SXX0AAjAJf.jpg" TargetMode="External"/><Relationship Id="rId4865" Type="http://schemas.openxmlformats.org/officeDocument/2006/relationships/hyperlink" Target="http://homesellerfreedom.com/home/" TargetMode="External"/><Relationship Id="rId20" Type="http://schemas.openxmlformats.org/officeDocument/2006/relationships/hyperlink" Target="http://pic.twitter.com/njzpFVnCtr" TargetMode="External"/><Relationship Id="rId2205" Type="http://schemas.openxmlformats.org/officeDocument/2006/relationships/hyperlink" Target="https://pbs.twimg.com/media/EOaLKiyWoAI8cim.jpg" TargetMode="External"/><Relationship Id="rId3537" Type="http://schemas.openxmlformats.org/officeDocument/2006/relationships/hyperlink" Target="https://qoo.ly/33urm3" TargetMode="External"/><Relationship Id="rId4868" Type="http://schemas.openxmlformats.org/officeDocument/2006/relationships/hyperlink" Target="http://dlvr.it/RMyscm" TargetMode="External"/><Relationship Id="rId2206" Type="http://schemas.openxmlformats.org/officeDocument/2006/relationships/hyperlink" Target="http://momsguidetotravel.com" TargetMode="External"/><Relationship Id="rId3536" Type="http://schemas.openxmlformats.org/officeDocument/2006/relationships/hyperlink" Target="https://pbs.twimg.com/media/EOS1Jw0UYAA4n0e.jpg" TargetMode="External"/><Relationship Id="rId4867" Type="http://schemas.openxmlformats.org/officeDocument/2006/relationships/hyperlink" Target="http://cymh.ca" TargetMode="External"/><Relationship Id="rId22" Type="http://schemas.openxmlformats.org/officeDocument/2006/relationships/hyperlink" Target="http://www.mindfulnessmeditationinstitute.org/" TargetMode="External"/><Relationship Id="rId2207" Type="http://schemas.openxmlformats.org/officeDocument/2006/relationships/hyperlink" Target="http://tawannabsmith.com" TargetMode="External"/><Relationship Id="rId3539" Type="http://schemas.openxmlformats.org/officeDocument/2006/relationships/hyperlink" Target="https://businessdnaindicator.com/" TargetMode="External"/><Relationship Id="rId21" Type="http://schemas.openxmlformats.org/officeDocument/2006/relationships/hyperlink" Target="https://radiomd.com/healthy-talk/item/27162-mindfulness-meditation-made-easy" TargetMode="External"/><Relationship Id="rId2208" Type="http://schemas.openxmlformats.org/officeDocument/2006/relationships/hyperlink" Target="https://pbs.twimg.com/media/EOaKtYrW4AABwBW.jpg" TargetMode="External"/><Relationship Id="rId3538" Type="http://schemas.openxmlformats.org/officeDocument/2006/relationships/hyperlink" Target="https://pbs.twimg.com/media/EOSzxNQXUAEBt6K.png" TargetMode="External"/><Relationship Id="rId4869" Type="http://schemas.openxmlformats.org/officeDocument/2006/relationships/hyperlink" Target="https://pbs.twimg.com/media/EOLoiPTUwAAbm2F.jpg" TargetMode="External"/><Relationship Id="rId24" Type="http://schemas.openxmlformats.org/officeDocument/2006/relationships/hyperlink" Target="http://bit.ly/2tmeNKb" TargetMode="External"/><Relationship Id="rId2209" Type="http://schemas.openxmlformats.org/officeDocument/2006/relationships/hyperlink" Target="http://gomcgill.com" TargetMode="External"/><Relationship Id="rId23" Type="http://schemas.openxmlformats.org/officeDocument/2006/relationships/hyperlink" Target="http://harvestinghappinesstalkradio.com" TargetMode="External"/><Relationship Id="rId26" Type="http://schemas.openxmlformats.org/officeDocument/2006/relationships/hyperlink" Target="http://zzedibles.com" TargetMode="External"/><Relationship Id="rId25" Type="http://schemas.openxmlformats.org/officeDocument/2006/relationships/hyperlink" Target="http://www.lorengelberggoff.com" TargetMode="External"/><Relationship Id="rId28" Type="http://schemas.openxmlformats.org/officeDocument/2006/relationships/hyperlink" Target="http://www.zzedibles.com" TargetMode="External"/><Relationship Id="rId4860" Type="http://schemas.openxmlformats.org/officeDocument/2006/relationships/hyperlink" Target="http://snip.ly/49w6c" TargetMode="External"/><Relationship Id="rId27" Type="http://schemas.openxmlformats.org/officeDocument/2006/relationships/hyperlink" Target="http://pic.twitter.com/7ex0L8659g" TargetMode="External"/><Relationship Id="rId3531" Type="http://schemas.openxmlformats.org/officeDocument/2006/relationships/hyperlink" Target="http://pic.twitter.com/GFlgOfSMLh" TargetMode="External"/><Relationship Id="rId4862" Type="http://schemas.openxmlformats.org/officeDocument/2006/relationships/hyperlink" Target="http://anthonyclarkmusic.com" TargetMode="External"/><Relationship Id="rId29" Type="http://schemas.openxmlformats.org/officeDocument/2006/relationships/hyperlink" Target="https://pbs.twimg.com/media/EOm-k8mUcAAWv0H.jpg" TargetMode="External"/><Relationship Id="rId2200" Type="http://schemas.openxmlformats.org/officeDocument/2006/relationships/hyperlink" Target="https://lttr.ai/MOGm" TargetMode="External"/><Relationship Id="rId3530" Type="http://schemas.openxmlformats.org/officeDocument/2006/relationships/hyperlink" Target="http://zzedibles.com" TargetMode="External"/><Relationship Id="rId4861" Type="http://schemas.openxmlformats.org/officeDocument/2006/relationships/hyperlink" Target="https://pbs.twimg.com/media/EOLrFw7WkAEkRoC.jpg" TargetMode="External"/><Relationship Id="rId2201" Type="http://schemas.openxmlformats.org/officeDocument/2006/relationships/hyperlink" Target="https://pbs.twimg.com/media/EOaLwirWAAMwLvR.jpg" TargetMode="External"/><Relationship Id="rId3533" Type="http://schemas.openxmlformats.org/officeDocument/2006/relationships/hyperlink" Target="https://buff.ly/3a8HGy7" TargetMode="External"/><Relationship Id="rId4864" Type="http://schemas.openxmlformats.org/officeDocument/2006/relationships/hyperlink" Target="https://pbs.twimg.com/media/EOLq8KOUcAI4WB_.png" TargetMode="External"/><Relationship Id="rId2202" Type="http://schemas.openxmlformats.org/officeDocument/2006/relationships/hyperlink" Target="https://www.lifestylelighthouse.com/" TargetMode="External"/><Relationship Id="rId3532" Type="http://schemas.openxmlformats.org/officeDocument/2006/relationships/hyperlink" Target="http://www.zzedibles.com" TargetMode="External"/><Relationship Id="rId4863" Type="http://schemas.openxmlformats.org/officeDocument/2006/relationships/hyperlink" Target="http://homesellerfreedom.com/home" TargetMode="External"/><Relationship Id="rId3524" Type="http://schemas.openxmlformats.org/officeDocument/2006/relationships/hyperlink" Target="https://pbs.twimg.com/media/EOS9LKXXkAABO-3.jpg" TargetMode="External"/><Relationship Id="rId4855" Type="http://schemas.openxmlformats.org/officeDocument/2006/relationships/hyperlink" Target="http://pic.twitter.com/q2grdBup8R" TargetMode="External"/><Relationship Id="rId3523" Type="http://schemas.openxmlformats.org/officeDocument/2006/relationships/hyperlink" Target="https://imperfectperceptions.home.blog/" TargetMode="External"/><Relationship Id="rId4854" Type="http://schemas.openxmlformats.org/officeDocument/2006/relationships/hyperlink" Target="https://tinyurl.com/ufe4gm9" TargetMode="External"/><Relationship Id="rId3526" Type="http://schemas.openxmlformats.org/officeDocument/2006/relationships/hyperlink" Target="https://pbs.twimg.com/media/EOS42ULXsAEDlqH.jpg" TargetMode="External"/><Relationship Id="rId4857" Type="http://schemas.openxmlformats.org/officeDocument/2006/relationships/hyperlink" Target="http://dld.bz/g5cdr" TargetMode="External"/><Relationship Id="rId3525" Type="http://schemas.openxmlformats.org/officeDocument/2006/relationships/hyperlink" Target="http://www.preservawellness.com/" TargetMode="External"/><Relationship Id="rId4856" Type="http://schemas.openxmlformats.org/officeDocument/2006/relationships/hyperlink" Target="http://www.newleafcollege.co.uk" TargetMode="External"/><Relationship Id="rId11" Type="http://schemas.openxmlformats.org/officeDocument/2006/relationships/hyperlink" Target="http://www.neelraman.com" TargetMode="External"/><Relationship Id="rId3528" Type="http://schemas.openxmlformats.org/officeDocument/2006/relationships/hyperlink" Target="https://pbs.twimg.com/media/EOS4QQ8W4AAb5Hw.jpg" TargetMode="External"/><Relationship Id="rId4859" Type="http://schemas.openxmlformats.org/officeDocument/2006/relationships/hyperlink" Target="https://scentfill.com/" TargetMode="External"/><Relationship Id="rId10" Type="http://schemas.openxmlformats.org/officeDocument/2006/relationships/hyperlink" Target="https://pbs.twimg.com/media/EOnLxR1X4AE4in2.png" TargetMode="External"/><Relationship Id="rId3527" Type="http://schemas.openxmlformats.org/officeDocument/2006/relationships/hyperlink" Target="https://buff.ly/2tQLwLF" TargetMode="External"/><Relationship Id="rId4858" Type="http://schemas.openxmlformats.org/officeDocument/2006/relationships/hyperlink" Target="https://pbs.twimg.com/media/EOLr0eIX0AAEFNZ.jpg" TargetMode="External"/><Relationship Id="rId13" Type="http://schemas.openxmlformats.org/officeDocument/2006/relationships/hyperlink" Target="http://eastonsd.org" TargetMode="External"/><Relationship Id="rId12" Type="http://schemas.openxmlformats.org/officeDocument/2006/relationships/hyperlink" Target="https://calendly.com/alybco/discovery-call" TargetMode="External"/><Relationship Id="rId3529" Type="http://schemas.openxmlformats.org/officeDocument/2006/relationships/hyperlink" Target="https://mailchi.mp/ccd5ec8b547b/5stepstosuccess" TargetMode="External"/><Relationship Id="rId15" Type="http://schemas.openxmlformats.org/officeDocument/2006/relationships/hyperlink" Target="https://www.instagram.com/aditisharmanit1" TargetMode="External"/><Relationship Id="rId14" Type="http://schemas.openxmlformats.org/officeDocument/2006/relationships/hyperlink" Target="https://pbs.twimg.com/media/EOnIS0uVUAE6qu1.jpg" TargetMode="External"/><Relationship Id="rId17" Type="http://schemas.openxmlformats.org/officeDocument/2006/relationships/hyperlink" Target="https://www.instagram.com/monkeykinggggggg/" TargetMode="External"/><Relationship Id="rId16" Type="http://schemas.openxmlformats.org/officeDocument/2006/relationships/hyperlink" Target="http://pic.twitter.com/lNZDnJbXMR" TargetMode="External"/><Relationship Id="rId19" Type="http://schemas.openxmlformats.org/officeDocument/2006/relationships/hyperlink" Target="https://www.youtube.com/watch?v=wq8664T0ggM" TargetMode="External"/><Relationship Id="rId3520" Type="http://schemas.openxmlformats.org/officeDocument/2006/relationships/hyperlink" Target="https://pbs.twimg.com/media/EOTKJz4WAAI5tfH.jpg" TargetMode="External"/><Relationship Id="rId4851" Type="http://schemas.openxmlformats.org/officeDocument/2006/relationships/hyperlink" Target="http://www.moderntherapy.online" TargetMode="External"/><Relationship Id="rId18" Type="http://schemas.openxmlformats.org/officeDocument/2006/relationships/hyperlink" Target="http://www.nickengerer.org/longevity/subscribe" TargetMode="External"/><Relationship Id="rId4850" Type="http://schemas.openxmlformats.org/officeDocument/2006/relationships/hyperlink" Target="https://www.cogitocorp.com" TargetMode="External"/><Relationship Id="rId3522" Type="http://schemas.openxmlformats.org/officeDocument/2006/relationships/hyperlink" Target="https://imperfectperceptions.home.blog/2019/10/02/an-ounce-of-stress-prevention/" TargetMode="External"/><Relationship Id="rId4853" Type="http://schemas.openxmlformats.org/officeDocument/2006/relationships/hyperlink" Target="https://wordofthehour.org" TargetMode="External"/><Relationship Id="rId3521" Type="http://schemas.openxmlformats.org/officeDocument/2006/relationships/hyperlink" Target="http://anthonyclarkmusic.com" TargetMode="External"/><Relationship Id="rId4852" Type="http://schemas.openxmlformats.org/officeDocument/2006/relationships/hyperlink" Target="https://redd.it/95v7rk" TargetMode="External"/><Relationship Id="rId84" Type="http://schemas.openxmlformats.org/officeDocument/2006/relationships/hyperlink" Target="http://jamesnussbaumer.com/my-blog/" TargetMode="External"/><Relationship Id="rId1774" Type="http://schemas.openxmlformats.org/officeDocument/2006/relationships/hyperlink" Target="http://www.judycroon.com" TargetMode="External"/><Relationship Id="rId4800" Type="http://schemas.openxmlformats.org/officeDocument/2006/relationships/hyperlink" Target="http://relaxingzenmusic.com/downloads/relaxing-water-zen-nature-sounds/" TargetMode="External"/><Relationship Id="rId83" Type="http://schemas.openxmlformats.org/officeDocument/2006/relationships/hyperlink" Target="https://buff.ly/2KaI413" TargetMode="External"/><Relationship Id="rId1775" Type="http://schemas.openxmlformats.org/officeDocument/2006/relationships/hyperlink" Target="https://www.thegrowthop.com/cannabis-health/cannabis-can-disrupt-anxiety-superhighway-in-the-brain-of-mice-researchers-find" TargetMode="External"/><Relationship Id="rId86" Type="http://schemas.openxmlformats.org/officeDocument/2006/relationships/hyperlink" Target="https://pbs.twimg.com/media/EOmSFDKU8AAvCiB.jpg" TargetMode="External"/><Relationship Id="rId1776" Type="http://schemas.openxmlformats.org/officeDocument/2006/relationships/hyperlink" Target="http://www.hempstaff.com" TargetMode="External"/><Relationship Id="rId4802" Type="http://schemas.openxmlformats.org/officeDocument/2006/relationships/hyperlink" Target="https://buff.ly/2Ox4DlW" TargetMode="External"/><Relationship Id="rId85" Type="http://schemas.openxmlformats.org/officeDocument/2006/relationships/hyperlink" Target="http://hlty.us/7MZQ" TargetMode="External"/><Relationship Id="rId1777" Type="http://schemas.openxmlformats.org/officeDocument/2006/relationships/hyperlink" Target="http://www.peppermint.works" TargetMode="External"/><Relationship Id="rId4801" Type="http://schemas.openxmlformats.org/officeDocument/2006/relationships/hyperlink" Target="http://relaxingzenmusic.com" TargetMode="External"/><Relationship Id="rId88" Type="http://schemas.openxmlformats.org/officeDocument/2006/relationships/hyperlink" Target="https://www.maxkirsten.com" TargetMode="External"/><Relationship Id="rId1778" Type="http://schemas.openxmlformats.org/officeDocument/2006/relationships/hyperlink" Target="https://pbs.twimg.com/media/EObnB8bWsAM56oq.png" TargetMode="External"/><Relationship Id="rId4804" Type="http://schemas.openxmlformats.org/officeDocument/2006/relationships/hyperlink" Target="https://bit.ly/2QO7pnC" TargetMode="External"/><Relationship Id="rId87" Type="http://schemas.openxmlformats.org/officeDocument/2006/relationships/hyperlink" Target="http://atouchofenergy4you.com" TargetMode="External"/><Relationship Id="rId1779" Type="http://schemas.openxmlformats.org/officeDocument/2006/relationships/hyperlink" Target="http://www.redway-hr.co.uk" TargetMode="External"/><Relationship Id="rId4803" Type="http://schemas.openxmlformats.org/officeDocument/2006/relationships/hyperlink" Target="https://brianthomas.me" TargetMode="External"/><Relationship Id="rId4806" Type="http://schemas.openxmlformats.org/officeDocument/2006/relationships/hyperlink" Target="http://tinyurl.com/y65dc2hz" TargetMode="External"/><Relationship Id="rId89" Type="http://schemas.openxmlformats.org/officeDocument/2006/relationships/hyperlink" Target="http://ow.ly/xZWA50xXIx8" TargetMode="External"/><Relationship Id="rId4805" Type="http://schemas.openxmlformats.org/officeDocument/2006/relationships/hyperlink" Target="https://pbs.twimg.com/media/EOL5F35XsAAK-Dc.jpg" TargetMode="External"/><Relationship Id="rId4808" Type="http://schemas.openxmlformats.org/officeDocument/2006/relationships/hyperlink" Target="http://innerself.com/content/social.html" TargetMode="External"/><Relationship Id="rId4807" Type="http://schemas.openxmlformats.org/officeDocument/2006/relationships/hyperlink" Target="https://pbs.twimg.com/media/EOL4Nq4WoAEohya.jpg" TargetMode="External"/><Relationship Id="rId4809" Type="http://schemas.openxmlformats.org/officeDocument/2006/relationships/hyperlink" Target="http://innerself.com" TargetMode="External"/><Relationship Id="rId80" Type="http://schemas.openxmlformats.org/officeDocument/2006/relationships/hyperlink" Target="http://thenaturalhealthblogger.com/product/premium-quality-organic-jiaogulan-gynostemma-loose-tea-100g/" TargetMode="External"/><Relationship Id="rId82" Type="http://schemas.openxmlformats.org/officeDocument/2006/relationships/hyperlink" Target="http://thenaturalhealthblogger.com" TargetMode="External"/><Relationship Id="rId81" Type="http://schemas.openxmlformats.org/officeDocument/2006/relationships/hyperlink" Target="https://pbs.twimg.com/media/EOmX8mFX4AAAelr.jpg" TargetMode="External"/><Relationship Id="rId1770" Type="http://schemas.openxmlformats.org/officeDocument/2006/relationships/hyperlink" Target="https://pbs.twimg.com/media/EObn6OQWsAEviMl.jpg" TargetMode="External"/><Relationship Id="rId1771" Type="http://schemas.openxmlformats.org/officeDocument/2006/relationships/hyperlink" Target="http://thingscansuck.com" TargetMode="External"/><Relationship Id="rId1772" Type="http://schemas.openxmlformats.org/officeDocument/2006/relationships/hyperlink" Target="https://www.capital-ba-day.ca" TargetMode="External"/><Relationship Id="rId1773" Type="http://schemas.openxmlformats.org/officeDocument/2006/relationships/hyperlink" Target="https://pbs.twimg.com/media/EObneOFXkAAm51_.png" TargetMode="External"/><Relationship Id="rId73" Type="http://schemas.openxmlformats.org/officeDocument/2006/relationships/hyperlink" Target="https://eduk8.me" TargetMode="External"/><Relationship Id="rId1763" Type="http://schemas.openxmlformats.org/officeDocument/2006/relationships/hyperlink" Target="http://edbenjaminbooks.com/" TargetMode="External"/><Relationship Id="rId72" Type="http://schemas.openxmlformats.org/officeDocument/2006/relationships/hyperlink" Target="https://u.eduk8.me/2QA93Jp" TargetMode="External"/><Relationship Id="rId1764" Type="http://schemas.openxmlformats.org/officeDocument/2006/relationships/hyperlink" Target="https://buff.ly/2ReLIME" TargetMode="External"/><Relationship Id="rId75" Type="http://schemas.openxmlformats.org/officeDocument/2006/relationships/hyperlink" Target="http://ryancollins.org/" TargetMode="External"/><Relationship Id="rId1765" Type="http://schemas.openxmlformats.org/officeDocument/2006/relationships/hyperlink" Target="https://pbs.twimg.com/media/EObpAsVWoAIBVrC.jpg" TargetMode="External"/><Relationship Id="rId74" Type="http://schemas.openxmlformats.org/officeDocument/2006/relationships/hyperlink" Target="https://buff.ly/304jVSU" TargetMode="External"/><Relationship Id="rId1766" Type="http://schemas.openxmlformats.org/officeDocument/2006/relationships/hyperlink" Target="https://linktr.ee/bfastleadership" TargetMode="External"/><Relationship Id="rId77" Type="http://schemas.openxmlformats.org/officeDocument/2006/relationships/hyperlink" Target="https://pbs.twimg.com/media/EOmaoeWWoAAwcxJ.jpg" TargetMode="External"/><Relationship Id="rId1767" Type="http://schemas.openxmlformats.org/officeDocument/2006/relationships/hyperlink" Target="http://www.michaelpanar.com" TargetMode="External"/><Relationship Id="rId76" Type="http://schemas.openxmlformats.org/officeDocument/2006/relationships/hyperlink" Target="http://bit.ly/2jjniDI" TargetMode="External"/><Relationship Id="rId1768" Type="http://schemas.openxmlformats.org/officeDocument/2006/relationships/hyperlink" Target="http://bit.ly/EB-12120" TargetMode="External"/><Relationship Id="rId79" Type="http://schemas.openxmlformats.org/officeDocument/2006/relationships/hyperlink" Target="http://amzn.to/2ivSawV" TargetMode="External"/><Relationship Id="rId1769" Type="http://schemas.openxmlformats.org/officeDocument/2006/relationships/hyperlink" Target="https://c-suitenetwork.com/" TargetMode="External"/><Relationship Id="rId78" Type="http://schemas.openxmlformats.org/officeDocument/2006/relationships/hyperlink" Target="http://anthonyclarkmusic.com" TargetMode="External"/><Relationship Id="rId71" Type="http://schemas.openxmlformats.org/officeDocument/2006/relationships/hyperlink" Target="http://www.intellicentrics.com/" TargetMode="External"/><Relationship Id="rId70" Type="http://schemas.openxmlformats.org/officeDocument/2006/relationships/hyperlink" Target="https://pbs.twimg.com/media/EOhSFIMXUAUWyMA.jpg" TargetMode="External"/><Relationship Id="rId1760"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1761" Type="http://schemas.openxmlformats.org/officeDocument/2006/relationships/hyperlink" Target="http://edbenjaminbooks.com/" TargetMode="External"/><Relationship Id="rId1762"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62" Type="http://schemas.openxmlformats.org/officeDocument/2006/relationships/hyperlink" Target="https://bnfr.me/35Kh1ou" TargetMode="External"/><Relationship Id="rId1796" Type="http://schemas.openxmlformats.org/officeDocument/2006/relationships/hyperlink" Target="https://youtu.be/6g9rsD-zts4" TargetMode="External"/><Relationship Id="rId4822" Type="http://schemas.openxmlformats.org/officeDocument/2006/relationships/hyperlink" Target="https://pbs.twimg.com/media/EOLzbC7W4AI_DiH.jpg" TargetMode="External"/><Relationship Id="rId61" Type="http://schemas.openxmlformats.org/officeDocument/2006/relationships/hyperlink" Target="https://linktr.ee/victoriasully" TargetMode="External"/><Relationship Id="rId1797" Type="http://schemas.openxmlformats.org/officeDocument/2006/relationships/hyperlink" Target="http://pharmcollege.uams.edu/about/contact-us/directory/faculty-member-upendra-kar/" TargetMode="External"/><Relationship Id="rId4821" Type="http://schemas.openxmlformats.org/officeDocument/2006/relationships/hyperlink" Target="https://www.inc.com/tanya-hall/how-to-boost-productivity-during-busiest-time-of-year.html" TargetMode="External"/><Relationship Id="rId64" Type="http://schemas.openxmlformats.org/officeDocument/2006/relationships/hyperlink" Target="https://www.youtube.com/watch?v=67sSyBKOF9E" TargetMode="External"/><Relationship Id="rId1798" Type="http://schemas.openxmlformats.org/officeDocument/2006/relationships/hyperlink" Target="http://hlty.us/7L2o" TargetMode="External"/><Relationship Id="rId4824" Type="http://schemas.openxmlformats.org/officeDocument/2006/relationships/hyperlink" Target="https://www.kcl.ac.uk/kcmhr/publications/assetfiles/2019/phillips2019.pdf" TargetMode="External"/><Relationship Id="rId63" Type="http://schemas.openxmlformats.org/officeDocument/2006/relationships/hyperlink" Target="https://smallbusinessbonfire.com" TargetMode="External"/><Relationship Id="rId1799" Type="http://schemas.openxmlformats.org/officeDocument/2006/relationships/hyperlink" Target="https://pbs.twimg.com/media/EObkIxLWsAktn1e.jpg" TargetMode="External"/><Relationship Id="rId4823" Type="http://schemas.openxmlformats.org/officeDocument/2006/relationships/hyperlink" Target="http://ralston.co" TargetMode="External"/><Relationship Id="rId66" Type="http://schemas.openxmlformats.org/officeDocument/2006/relationships/hyperlink" Target="https://buff.ly/2YxR6kj" TargetMode="External"/><Relationship Id="rId4826" Type="http://schemas.openxmlformats.org/officeDocument/2006/relationships/hyperlink" Target="http://pic.twitter.com/f7qiFPIJnp" TargetMode="External"/><Relationship Id="rId65" Type="http://schemas.openxmlformats.org/officeDocument/2006/relationships/hyperlink" Target="https://www.dmsguild.com/browse.php?keywords=iam%20pace" TargetMode="External"/><Relationship Id="rId4825" Type="http://schemas.openxmlformats.org/officeDocument/2006/relationships/hyperlink" Target="http://www.ulisessantamaria.com/" TargetMode="External"/><Relationship Id="rId68" Type="http://schemas.openxmlformats.org/officeDocument/2006/relationships/hyperlink" Target="http://www.c4leader.com" TargetMode="External"/><Relationship Id="rId4828" Type="http://schemas.openxmlformats.org/officeDocument/2006/relationships/hyperlink" Target="http://sqlcan.com/2020/01/13/how-to-lower-stress/" TargetMode="External"/><Relationship Id="rId67" Type="http://schemas.openxmlformats.org/officeDocument/2006/relationships/hyperlink" Target="https://pbs.twimg.com/media/EOmgHy6U8AAkcPp.jpg" TargetMode="External"/><Relationship Id="rId4827" Type="http://schemas.openxmlformats.org/officeDocument/2006/relationships/hyperlink" Target="http://www.elitec-c.com" TargetMode="External"/><Relationship Id="rId4829" Type="http://schemas.openxmlformats.org/officeDocument/2006/relationships/hyperlink" Target="http://www.sqlcan.com" TargetMode="External"/><Relationship Id="rId60" Type="http://schemas.openxmlformats.org/officeDocument/2006/relationships/hyperlink" Target="https://pbs.twimg.com/media/EOmiOcDUEAA1nRi.jpg" TargetMode="External"/><Relationship Id="rId69" Type="http://schemas.openxmlformats.org/officeDocument/2006/relationships/hyperlink" Target="http://ow.ly/61V850xU7lV" TargetMode="External"/><Relationship Id="rId1790" Type="http://schemas.openxmlformats.org/officeDocument/2006/relationships/hyperlink" Target="http://ow.ly/x4FZ30q6hCu" TargetMode="External"/><Relationship Id="rId1791" Type="http://schemas.openxmlformats.org/officeDocument/2006/relationships/hyperlink" Target="https://pbs.twimg.com/media/EObllz0WsAkjIZ9.jpg" TargetMode="External"/><Relationship Id="rId1792" Type="http://schemas.openxmlformats.org/officeDocument/2006/relationships/hyperlink" Target="http://www.glister.uk.com" TargetMode="External"/><Relationship Id="rId1793" Type="http://schemas.openxmlformats.org/officeDocument/2006/relationships/hyperlink" Target="http://a.impactradius-go.com/gen-ad-code/2054992/476278/4650/" TargetMode="External"/><Relationship Id="rId1794" Type="http://schemas.openxmlformats.org/officeDocument/2006/relationships/hyperlink" Target="https://pbs.twimg.com/media/EOblV5OXsAEI64r.jpg" TargetMode="External"/><Relationship Id="rId4820" Type="http://schemas.openxmlformats.org/officeDocument/2006/relationships/hyperlink" Target="http://impactfulcoaching.com" TargetMode="External"/><Relationship Id="rId1795" Type="http://schemas.openxmlformats.org/officeDocument/2006/relationships/hyperlink" Target="http://www.zenfulkidstherapy.com" TargetMode="External"/><Relationship Id="rId51" Type="http://schemas.openxmlformats.org/officeDocument/2006/relationships/hyperlink" Target="https://pbs.twimg.com/media/EOmrUOlXkAARbIR.jpg" TargetMode="External"/><Relationship Id="rId1785" Type="http://schemas.openxmlformats.org/officeDocument/2006/relationships/hyperlink" Target="http://www.psychotherapist-nyc.blogspot.com" TargetMode="External"/><Relationship Id="rId4811" Type="http://schemas.openxmlformats.org/officeDocument/2006/relationships/hyperlink" Target="https://pbs.twimg.com/media/EOL4NguWoAExfPf.jpg" TargetMode="External"/><Relationship Id="rId50" Type="http://schemas.openxmlformats.org/officeDocument/2006/relationships/hyperlink" Target="https://zenlifenaturals.com/product-category/kava-root-powder/" TargetMode="External"/><Relationship Id="rId1786" Type="http://schemas.openxmlformats.org/officeDocument/2006/relationships/hyperlink" Target="http://ow.ly/eReQ30q9e5x" TargetMode="External"/><Relationship Id="rId4810" Type="http://schemas.openxmlformats.org/officeDocument/2006/relationships/hyperlink" Target="http://tinyurl.com/y65dc2hz" TargetMode="External"/><Relationship Id="rId53" Type="http://schemas.openxmlformats.org/officeDocument/2006/relationships/hyperlink" Target="https://www.sciencedirect.com/science/article/pii/S0149763419310346" TargetMode="External"/><Relationship Id="rId1787" Type="http://schemas.openxmlformats.org/officeDocument/2006/relationships/hyperlink" Target="http://www.mindfulchange.com" TargetMode="External"/><Relationship Id="rId4813" Type="http://schemas.openxmlformats.org/officeDocument/2006/relationships/hyperlink" Target="https://pbs.twimg.com/media/EOL30SbWoAA2h7L.jpg" TargetMode="External"/><Relationship Id="rId52" Type="http://schemas.openxmlformats.org/officeDocument/2006/relationships/hyperlink" Target="https://www.coachingpositiveperformance.com/reduce-stress-just-1-word/" TargetMode="External"/><Relationship Id="rId1788" Type="http://schemas.openxmlformats.org/officeDocument/2006/relationships/hyperlink" Target="https://pbs.twimg.com/media/EObm3vOWsAU8Tmi.jpg" TargetMode="External"/><Relationship Id="rId4812" Type="http://schemas.openxmlformats.org/officeDocument/2006/relationships/hyperlink" Target="http://innerself.com" TargetMode="External"/><Relationship Id="rId55" Type="http://schemas.openxmlformats.org/officeDocument/2006/relationships/hyperlink" Target="https://kingsumo.com/g/9agctd/giveaway-january-2020/m27d4j7" TargetMode="External"/><Relationship Id="rId1789" Type="http://schemas.openxmlformats.org/officeDocument/2006/relationships/hyperlink" Target="http://www.terrahealthessentials.com" TargetMode="External"/><Relationship Id="rId4815" Type="http://schemas.openxmlformats.org/officeDocument/2006/relationships/hyperlink" Target="http://ow.ly/BKZh50xUgpJ" TargetMode="External"/><Relationship Id="rId54" Type="http://schemas.openxmlformats.org/officeDocument/2006/relationships/hyperlink" Target="https://www.researchgate.net/profile/Nathan_Dcunha" TargetMode="External"/><Relationship Id="rId4814" Type="http://schemas.openxmlformats.org/officeDocument/2006/relationships/hyperlink" Target="http://www.drbeurkens.com" TargetMode="External"/><Relationship Id="rId57" Type="http://schemas.openxmlformats.org/officeDocument/2006/relationships/hyperlink" Target="https://hypnonook.com" TargetMode="External"/><Relationship Id="rId4817" Type="http://schemas.openxmlformats.org/officeDocument/2006/relationships/hyperlink" Target="https://timesofsandiego.com/tech/2020/01/05/surprising-stress-triggers-and-how-to-handle-them/" TargetMode="External"/><Relationship Id="rId56" Type="http://schemas.openxmlformats.org/officeDocument/2006/relationships/hyperlink" Target="https://www.facebook.com/mike.bratek?ref=tn_tnmn" TargetMode="External"/><Relationship Id="rId4816" Type="http://schemas.openxmlformats.org/officeDocument/2006/relationships/hyperlink" Target="http://www.familykind.org/" TargetMode="External"/><Relationship Id="rId4819" Type="http://schemas.openxmlformats.org/officeDocument/2006/relationships/hyperlink" Target="https://lnkd.in/dzMNRUN" TargetMode="External"/><Relationship Id="rId4818" Type="http://schemas.openxmlformats.org/officeDocument/2006/relationships/hyperlink" Target="http://www.suefirthltd.com" TargetMode="External"/><Relationship Id="rId59" Type="http://schemas.openxmlformats.org/officeDocument/2006/relationships/hyperlink" Target="http://dld.bz/hb2qx" TargetMode="External"/><Relationship Id="rId58" Type="http://schemas.openxmlformats.org/officeDocument/2006/relationships/hyperlink" Target="https://pbs.twimg.com/media/EOmjO33WsAYMteX.png" TargetMode="External"/><Relationship Id="rId1780" Type="http://schemas.openxmlformats.org/officeDocument/2006/relationships/hyperlink" Target="http://ow.ly/15OU50xWdu5" TargetMode="External"/><Relationship Id="rId1781" Type="http://schemas.openxmlformats.org/officeDocument/2006/relationships/hyperlink" Target="https://pbs.twimg.com/media/EObm9soXUAE4j8r.jpg" TargetMode="External"/><Relationship Id="rId1782" Type="http://schemas.openxmlformats.org/officeDocument/2006/relationships/hyperlink" Target="https://sangensanity.com/" TargetMode="External"/><Relationship Id="rId1783" Type="http://schemas.openxmlformats.org/officeDocument/2006/relationships/hyperlink" Target="https://buff.ly/2LAEAe6" TargetMode="External"/><Relationship Id="rId1784" Type="http://schemas.openxmlformats.org/officeDocument/2006/relationships/hyperlink" Target="https://pbs.twimg.com/media/EObm6c7WAAYPgZH.jpg" TargetMode="External"/><Relationship Id="rId2269" Type="http://schemas.openxmlformats.org/officeDocument/2006/relationships/hyperlink" Target="https://zurl.co/RyoZ" TargetMode="External"/><Relationship Id="rId349" Type="http://schemas.openxmlformats.org/officeDocument/2006/relationships/hyperlink" Target="http://bit.ly/2QSQGQq" TargetMode="External"/><Relationship Id="rId348" Type="http://schemas.openxmlformats.org/officeDocument/2006/relationships/hyperlink" Target="https://www.serviceautopilot.com/" TargetMode="External"/><Relationship Id="rId347" Type="http://schemas.openxmlformats.org/officeDocument/2006/relationships/hyperlink" Target="https://pbs.twimg.com/media/EOkooxwXkAAfjAZ.jpg" TargetMode="External"/><Relationship Id="rId346" Type="http://schemas.openxmlformats.org/officeDocument/2006/relationships/hyperlink" Target="https://hubs.ly/H0mb2Yy0" TargetMode="External"/><Relationship Id="rId3591" Type="http://schemas.openxmlformats.org/officeDocument/2006/relationships/hyperlink" Target="https://bit.ly/3a9Ewdn" TargetMode="External"/><Relationship Id="rId2260" Type="http://schemas.openxmlformats.org/officeDocument/2006/relationships/hyperlink" Target="http://www.staywelloh.co.uk/" TargetMode="External"/><Relationship Id="rId3590" Type="http://schemas.openxmlformats.org/officeDocument/2006/relationships/hyperlink" Target="https://www.linkedin.com/in/susanhash/" TargetMode="External"/><Relationship Id="rId341" Type="http://schemas.openxmlformats.org/officeDocument/2006/relationships/hyperlink" Target="http://www.fbinaanj.com" TargetMode="External"/><Relationship Id="rId2261" Type="http://schemas.openxmlformats.org/officeDocument/2006/relationships/hyperlink" Target="https://pbs.twimg.com/media/EOaAAPwXkAIRWUJ.jpg" TargetMode="External"/><Relationship Id="rId3593" Type="http://schemas.openxmlformats.org/officeDocument/2006/relationships/hyperlink" Target="http://healthlocal.ca" TargetMode="External"/><Relationship Id="rId340" Type="http://schemas.openxmlformats.org/officeDocument/2006/relationships/hyperlink" Target="https://pbs.twimg.com/media/EOTFwJcX4AAvtlb.jpg" TargetMode="External"/><Relationship Id="rId2262" Type="http://schemas.openxmlformats.org/officeDocument/2006/relationships/hyperlink" Target="http://ow.ly/raH130q83SF" TargetMode="External"/><Relationship Id="rId3592" Type="http://schemas.openxmlformats.org/officeDocument/2006/relationships/hyperlink" Target="https://www.medpagetoday.com/cardiology/" TargetMode="External"/><Relationship Id="rId2263" Type="http://schemas.openxmlformats.org/officeDocument/2006/relationships/hyperlink" Target="https://pbs.twimg.com/media/EOZ_4IAX4AIVZv2.jpg" TargetMode="External"/><Relationship Id="rId3595" Type="http://schemas.openxmlformats.org/officeDocument/2006/relationships/hyperlink" Target="https://pbs.twimg.com/media/EOSKk40WkAEhxhz.jpg" TargetMode="External"/><Relationship Id="rId2264" Type="http://schemas.openxmlformats.org/officeDocument/2006/relationships/hyperlink" Target="https://tonyburkinshaw.co.uk/contact" TargetMode="External"/><Relationship Id="rId3594" Type="http://schemas.openxmlformats.org/officeDocument/2006/relationships/hyperlink" Target="http://bit.ly/2kqoeaT" TargetMode="External"/><Relationship Id="rId345" Type="http://schemas.openxmlformats.org/officeDocument/2006/relationships/hyperlink" Target="http://www.tanenbaumtmj.com" TargetMode="External"/><Relationship Id="rId2265" Type="http://schemas.openxmlformats.org/officeDocument/2006/relationships/hyperlink" Target="https://buff.ly/2tVKzl6" TargetMode="External"/><Relationship Id="rId3597" Type="http://schemas.openxmlformats.org/officeDocument/2006/relationships/hyperlink" Target="https://www.linkedin.com/in/MichaelToebe" TargetMode="External"/><Relationship Id="rId344" Type="http://schemas.openxmlformats.org/officeDocument/2006/relationships/hyperlink" Target="https://bit.ly/2SQZpA6" TargetMode="External"/><Relationship Id="rId2266" Type="http://schemas.openxmlformats.org/officeDocument/2006/relationships/hyperlink" Target="https://pbs.twimg.com/media/EOZ_2v1X0AEvPIT.jpg" TargetMode="External"/><Relationship Id="rId3596" Type="http://schemas.openxmlformats.org/officeDocument/2006/relationships/hyperlink" Target="http://www.healthlocal.ca" TargetMode="External"/><Relationship Id="rId343" Type="http://schemas.openxmlformats.org/officeDocument/2006/relationships/hyperlink" Target="http://blog.snowfrog.dev" TargetMode="External"/><Relationship Id="rId2267" Type="http://schemas.openxmlformats.org/officeDocument/2006/relationships/hyperlink" Target="http://drsimonsremedy.com" TargetMode="External"/><Relationship Id="rId3599" Type="http://schemas.openxmlformats.org/officeDocument/2006/relationships/hyperlink" Target="http://brillianceinc.com" TargetMode="External"/><Relationship Id="rId342" Type="http://schemas.openxmlformats.org/officeDocument/2006/relationships/hyperlink" Target="https://buff.ly/35Ypuni" TargetMode="External"/><Relationship Id="rId2268" Type="http://schemas.openxmlformats.org/officeDocument/2006/relationships/hyperlink" Target="https://lnkd.in/dGMiX9t" TargetMode="External"/><Relationship Id="rId3598" Type="http://schemas.openxmlformats.org/officeDocument/2006/relationships/hyperlink" Target="https://www.instagram.com/p/B7UiTFfnCZ7/?igshid=js4atat38wec" TargetMode="External"/><Relationship Id="rId2258" Type="http://schemas.openxmlformats.org/officeDocument/2006/relationships/hyperlink" Target="https://www.soisfibromyalgiareal.com/i-fake-it-til-i-make-it-and-it-works-mind-set-and-fibromyalgia-ii/" TargetMode="External"/><Relationship Id="rId2259" Type="http://schemas.openxmlformats.org/officeDocument/2006/relationships/hyperlink" Target="http://www.soisfibromyalgiareal.com" TargetMode="External"/><Relationship Id="rId3589" Type="http://schemas.openxmlformats.org/officeDocument/2006/relationships/hyperlink" Target="http://ow.ly/acEM30pqlFe" TargetMode="External"/><Relationship Id="rId338" Type="http://schemas.openxmlformats.org/officeDocument/2006/relationships/hyperlink" Target="http://www.hearthandmade.co.uk" TargetMode="External"/><Relationship Id="rId337" Type="http://schemas.openxmlformats.org/officeDocument/2006/relationships/hyperlink" Target="https://pbs.twimg.com/media/EOktCTkXkAIxY9i.png" TargetMode="External"/><Relationship Id="rId336" Type="http://schemas.openxmlformats.org/officeDocument/2006/relationships/hyperlink" Target="https://bit.ly/2EGEhYA" TargetMode="External"/><Relationship Id="rId335" Type="http://schemas.openxmlformats.org/officeDocument/2006/relationships/hyperlink" Target="https://www.thepinkvelvetblog.com" TargetMode="External"/><Relationship Id="rId3580" Type="http://schemas.openxmlformats.org/officeDocument/2006/relationships/hyperlink" Target="http://www.selfhypnosisfortalent.com/stress_less/" TargetMode="External"/><Relationship Id="rId339" Type="http://schemas.openxmlformats.org/officeDocument/2006/relationships/hyperlink" Target="http://integrativemgi.com" TargetMode="External"/><Relationship Id="rId330" Type="http://schemas.openxmlformats.org/officeDocument/2006/relationships/hyperlink" Target="https://pbs.twimg.com/media/EOk0n9iX0AIp1hr.jpg" TargetMode="External"/><Relationship Id="rId2250" Type="http://schemas.openxmlformats.org/officeDocument/2006/relationships/hyperlink" Target="https://pbs.twimg.com/media/EOaESyyXsAA-z4F.jpg" TargetMode="External"/><Relationship Id="rId3582" Type="http://schemas.openxmlformats.org/officeDocument/2006/relationships/hyperlink" Target="https://therivardreport.com/north-east-isd-to-end-class-rankings-for-students-not-in-top-10/" TargetMode="External"/><Relationship Id="rId2251" Type="http://schemas.openxmlformats.org/officeDocument/2006/relationships/hyperlink" Target="https://www.richlombino.com" TargetMode="External"/><Relationship Id="rId3581" Type="http://schemas.openxmlformats.org/officeDocument/2006/relationships/hyperlink" Target="http://www.selfhypnosisfortalent.com" TargetMode="External"/><Relationship Id="rId2252" Type="http://schemas.openxmlformats.org/officeDocument/2006/relationships/hyperlink" Target="http://www.bfcmind.nl" TargetMode="External"/><Relationship Id="rId3584" Type="http://schemas.openxmlformats.org/officeDocument/2006/relationships/hyperlink" Target="https://pbs.twimg.com/media/EOSUKm_WkAAlDVC.jpg" TargetMode="External"/><Relationship Id="rId2253" Type="http://schemas.openxmlformats.org/officeDocument/2006/relationships/hyperlink" Target="http://snip.ly/e4sz2" TargetMode="External"/><Relationship Id="rId3583" Type="http://schemas.openxmlformats.org/officeDocument/2006/relationships/hyperlink" Target="http://ahhs.ahisd.net/departments/college_center___naviance/ahhs_college_center/" TargetMode="External"/><Relationship Id="rId334" Type="http://schemas.openxmlformats.org/officeDocument/2006/relationships/hyperlink" Target="https://buff.ly/2u6ExOv" TargetMode="External"/><Relationship Id="rId2254" Type="http://schemas.openxmlformats.org/officeDocument/2006/relationships/hyperlink" Target="https://pbs.twimg.com/media/EOaDSRUWkAAE1pz.jpg" TargetMode="External"/><Relationship Id="rId3586" Type="http://schemas.openxmlformats.org/officeDocument/2006/relationships/hyperlink" Target="http://www.brittabuescher.com" TargetMode="External"/><Relationship Id="rId333" Type="http://schemas.openxmlformats.org/officeDocument/2006/relationships/hyperlink" Target="http://www.candoella.com" TargetMode="External"/><Relationship Id="rId2255" Type="http://schemas.openxmlformats.org/officeDocument/2006/relationships/hyperlink" Target="http://anthonyclarkmusic.com" TargetMode="External"/><Relationship Id="rId3585" Type="http://schemas.openxmlformats.org/officeDocument/2006/relationships/hyperlink" Target="https://emkdecaro.wixsite.com/ekdportifolio" TargetMode="External"/><Relationship Id="rId332" Type="http://schemas.openxmlformats.org/officeDocument/2006/relationships/hyperlink" Target="http://www.mindfulnessmeditationinstitute.org/" TargetMode="External"/><Relationship Id="rId2256" Type="http://schemas.openxmlformats.org/officeDocument/2006/relationships/hyperlink" Target="https://www.itij.com/latest/news/stress-found-be-major-healthcare-cost-driver-uk" TargetMode="External"/><Relationship Id="rId3588" Type="http://schemas.openxmlformats.org/officeDocument/2006/relationships/hyperlink" Target="https://pbs.twimg.com/media/EOSN8fFXUAE38Fh.jpg" TargetMode="External"/><Relationship Id="rId331" Type="http://schemas.openxmlformats.org/officeDocument/2006/relationships/hyperlink" Target="https://www.sonima.com/meditation/daily-meditation-practice/" TargetMode="External"/><Relationship Id="rId2257" Type="http://schemas.openxmlformats.org/officeDocument/2006/relationships/hyperlink" Target="http://www.the-cleaning-company.com" TargetMode="External"/><Relationship Id="rId3587" Type="http://schemas.openxmlformats.org/officeDocument/2006/relationships/hyperlink" Target="https://kingsumo.com/g/9agctd/giveaway-january-2020/36g9gxe" TargetMode="External"/><Relationship Id="rId370" Type="http://schemas.openxmlformats.org/officeDocument/2006/relationships/hyperlink" Target="https://www.huffpost.com/entry/how-to-stop-stress-eating_l_5e0f5f66c5b6b5a713b95a52" TargetMode="External"/><Relationship Id="rId369" Type="http://schemas.openxmlformats.org/officeDocument/2006/relationships/hyperlink" Target="http://www.abcospecialties.com" TargetMode="External"/><Relationship Id="rId368" Type="http://schemas.openxmlformats.org/officeDocument/2006/relationships/hyperlink" Target="http://woodlandsbankruptcy.com" TargetMode="External"/><Relationship Id="rId2280" Type="http://schemas.openxmlformats.org/officeDocument/2006/relationships/hyperlink" Target="http://entm.ag/gv41" TargetMode="External"/><Relationship Id="rId2281" Type="http://schemas.openxmlformats.org/officeDocument/2006/relationships/hyperlink" Target="http://www.ed4online.com" TargetMode="External"/><Relationship Id="rId2282" Type="http://schemas.openxmlformats.org/officeDocument/2006/relationships/hyperlink" Target="http://ow.ly/HMui30q9kV2" TargetMode="External"/><Relationship Id="rId363" Type="http://schemas.openxmlformats.org/officeDocument/2006/relationships/hyperlink" Target="http://www.fastfoodhr.com" TargetMode="External"/><Relationship Id="rId2283" Type="http://schemas.openxmlformats.org/officeDocument/2006/relationships/hyperlink" Target="https://pbs.twimg.com/media/EOZ5JUYWkAEbLb3.jpg" TargetMode="External"/><Relationship Id="rId362" Type="http://schemas.openxmlformats.org/officeDocument/2006/relationships/hyperlink" Target="https://app.quuu.co/r/yay-rrn" TargetMode="External"/><Relationship Id="rId2284" Type="http://schemas.openxmlformats.org/officeDocument/2006/relationships/hyperlink" Target="http://www.gfbgroup.com" TargetMode="External"/><Relationship Id="rId361" Type="http://schemas.openxmlformats.org/officeDocument/2006/relationships/hyperlink" Target="https://scentfill.com/" TargetMode="External"/><Relationship Id="rId2285" Type="http://schemas.openxmlformats.org/officeDocument/2006/relationships/hyperlink" Target="http://ow.ly/sEpm50xVhkJ" TargetMode="External"/><Relationship Id="rId360" Type="http://schemas.openxmlformats.org/officeDocument/2006/relationships/hyperlink" Target="https://pbs.twimg.com/media/EOkmbt3XkAI7xCa.jpg" TargetMode="External"/><Relationship Id="rId2286" Type="http://schemas.openxmlformats.org/officeDocument/2006/relationships/hyperlink" Target="http://www.civilservicecollege.org.uk/" TargetMode="External"/><Relationship Id="rId367" Type="http://schemas.openxmlformats.org/officeDocument/2006/relationships/hyperlink" Target="http://pic.twitter.com/Y442jZLXbC" TargetMode="External"/><Relationship Id="rId2287" Type="http://schemas.openxmlformats.org/officeDocument/2006/relationships/hyperlink" Target="https://www.eventbrite.co.uk/e/managing-your-stress-tickets-86309478975" TargetMode="External"/><Relationship Id="rId366" Type="http://schemas.openxmlformats.org/officeDocument/2006/relationships/hyperlink" Target="https://twitter.com/white_queen31/status/1218218672461959168" TargetMode="External"/><Relationship Id="rId2288" Type="http://schemas.openxmlformats.org/officeDocument/2006/relationships/hyperlink" Target="https://pbs.twimg.com/media/EOZ5BlSXkAAxqvm.png" TargetMode="External"/><Relationship Id="rId365" Type="http://schemas.openxmlformats.org/officeDocument/2006/relationships/hyperlink" Target="http://www.smyls.co.uk" TargetMode="External"/><Relationship Id="rId2289" Type="http://schemas.openxmlformats.org/officeDocument/2006/relationships/hyperlink" Target="http://www.talkingtherapies.berkshire.nhs.uk" TargetMode="External"/><Relationship Id="rId364" Type="http://schemas.openxmlformats.org/officeDocument/2006/relationships/hyperlink" Target="http://ow.ly/nBvz30g5Ige" TargetMode="External"/><Relationship Id="rId95" Type="http://schemas.openxmlformats.org/officeDocument/2006/relationships/hyperlink" Target="http://www.thebraincollective.c.uk" TargetMode="External"/><Relationship Id="rId94" Type="http://schemas.openxmlformats.org/officeDocument/2006/relationships/hyperlink" Target="https://qoo.ly/33wt4i" TargetMode="External"/><Relationship Id="rId97" Type="http://schemas.openxmlformats.org/officeDocument/2006/relationships/hyperlink" Target="https://mailchi.mp/ccd5ec8b547b/5stepstosuccess" TargetMode="External"/><Relationship Id="rId96" Type="http://schemas.openxmlformats.org/officeDocument/2006/relationships/hyperlink" Target="https://pbs.twimg.com/media/EOmNWiYX0AA4waQ.jpg" TargetMode="External"/><Relationship Id="rId99" Type="http://schemas.openxmlformats.org/officeDocument/2006/relationships/hyperlink" Target="https://www.masternursi.com/" TargetMode="External"/><Relationship Id="rId98" Type="http://schemas.openxmlformats.org/officeDocument/2006/relationships/hyperlink" Target="https://pbs.twimg.com/media/EOmNM6YXsAERDEa.jpg" TargetMode="External"/><Relationship Id="rId91" Type="http://schemas.openxmlformats.org/officeDocument/2006/relationships/hyperlink" Target="https://bit.ly/2Ra6UEV" TargetMode="External"/><Relationship Id="rId90" Type="http://schemas.openxmlformats.org/officeDocument/2006/relationships/hyperlink" Target="http://nbnus.com" TargetMode="External"/><Relationship Id="rId93" Type="http://schemas.openxmlformats.org/officeDocument/2006/relationships/hyperlink" Target="https://www.sanvello.com/" TargetMode="External"/><Relationship Id="rId92" Type="http://schemas.openxmlformats.org/officeDocument/2006/relationships/hyperlink" Target="https://pbs.twimg.com/media/EOmO5X8WsAA7G5L.jpg" TargetMode="External"/><Relationship Id="rId359" Type="http://schemas.openxmlformats.org/officeDocument/2006/relationships/hyperlink" Target="https://scentfill.com/products/relaxing-lemon-lavender-eucalyptus" TargetMode="External"/><Relationship Id="rId358" Type="http://schemas.openxmlformats.org/officeDocument/2006/relationships/hyperlink" Target="https://www.linkedin.com/in/MichaelToebe" TargetMode="External"/><Relationship Id="rId357" Type="http://schemas.openxmlformats.org/officeDocument/2006/relationships/hyperlink" Target="https://www.success.com/patience-is-a-superpower/?utm_source=Maropost&amp;utm_medium=email&amp;utm_campaign=%5BSUCCESS%2001-17%5D%209%20Ways%20to%20Motivate%20Yourself%20When%20You%E2%80%99re%20Stuck&amp;mpweb=574-8539671-742843765" TargetMode="External"/><Relationship Id="rId2270" Type="http://schemas.openxmlformats.org/officeDocument/2006/relationships/hyperlink" Target="https://pbs.twimg.com/media/EOZ_uTNWoAAMnPc.jpg" TargetMode="External"/><Relationship Id="rId2271" Type="http://schemas.openxmlformats.org/officeDocument/2006/relationships/hyperlink" Target="https://www.worryhead.com/" TargetMode="External"/><Relationship Id="rId352" Type="http://schemas.openxmlformats.org/officeDocument/2006/relationships/hyperlink" Target="https://organic-conceptions.com/" TargetMode="External"/><Relationship Id="rId2272" Type="http://schemas.openxmlformats.org/officeDocument/2006/relationships/hyperlink" Target="http://bit.ly/2lTsIaF" TargetMode="External"/><Relationship Id="rId351" Type="http://schemas.openxmlformats.org/officeDocument/2006/relationships/hyperlink" Target="https://nyti.ms/2QLhUZs" TargetMode="External"/><Relationship Id="rId2273" Type="http://schemas.openxmlformats.org/officeDocument/2006/relationships/hyperlink" Target="https://pbs.twimg.com/media/EOZ9bqBX0AErgTU.jpg" TargetMode="External"/><Relationship Id="rId350" Type="http://schemas.openxmlformats.org/officeDocument/2006/relationships/hyperlink" Target="https://www.thepathofme.com/" TargetMode="External"/><Relationship Id="rId2274" Type="http://schemas.openxmlformats.org/officeDocument/2006/relationships/hyperlink" Target="http://www.cordellhealth.co.uk" TargetMode="External"/><Relationship Id="rId2275" Type="http://schemas.openxmlformats.org/officeDocument/2006/relationships/hyperlink" Target="http://smile-onnews.com/news/view/survey-shows-half-of-uk-dentists-facing-extreme-burnout" TargetMode="External"/><Relationship Id="rId356" Type="http://schemas.openxmlformats.org/officeDocument/2006/relationships/hyperlink" Target="http://www.agentroni.realtor" TargetMode="External"/><Relationship Id="rId2276" Type="http://schemas.openxmlformats.org/officeDocument/2006/relationships/hyperlink" Target="https://pbs.twimg.com/media/EOZ9MyPX4AEDvPx.jpg" TargetMode="External"/><Relationship Id="rId355" Type="http://schemas.openxmlformats.org/officeDocument/2006/relationships/hyperlink" Target="https://www.instagram.com/p/B7dxKyoHQBy/?igshid=19pw9gpkmulwi" TargetMode="External"/><Relationship Id="rId2277" Type="http://schemas.openxmlformats.org/officeDocument/2006/relationships/hyperlink" Target="http://www.healthcare-learning.com" TargetMode="External"/><Relationship Id="rId354" Type="http://schemas.openxmlformats.org/officeDocument/2006/relationships/hyperlink" Target="http://oxford-counsellor.uk" TargetMode="External"/><Relationship Id="rId2278" Type="http://schemas.openxmlformats.org/officeDocument/2006/relationships/hyperlink" Target="https://pbs.twimg.com/media/EOZ6beyXsAARy3q.jpg" TargetMode="External"/><Relationship Id="rId353" Type="http://schemas.openxmlformats.org/officeDocument/2006/relationships/hyperlink" Target="https://www.psychologytoday.com/gb/blog/packing-success/202001/7-ways-help-teens-manage-stress" TargetMode="External"/><Relationship Id="rId2279" Type="http://schemas.openxmlformats.org/officeDocument/2006/relationships/hyperlink" Target="https://uef.academia.edu/AnndraMargarethDumo" TargetMode="External"/><Relationship Id="rId2225" Type="http://schemas.openxmlformats.org/officeDocument/2006/relationships/hyperlink" Target="http://pic.twitter.com/EAThIgCXxQ" TargetMode="External"/><Relationship Id="rId3557" Type="http://schemas.openxmlformats.org/officeDocument/2006/relationships/hyperlink" Target="http://www.mindfulnessmeditationinstitute.org/" TargetMode="External"/><Relationship Id="rId4888" Type="http://schemas.openxmlformats.org/officeDocument/2006/relationships/hyperlink" Target="http://designsforhealth.com" TargetMode="External"/><Relationship Id="rId2226" Type="http://schemas.openxmlformats.org/officeDocument/2006/relationships/hyperlink" Target="http://www.greatplacetowork.me" TargetMode="External"/><Relationship Id="rId3556" Type="http://schemas.openxmlformats.org/officeDocument/2006/relationships/hyperlink" Target="https://mindfulnessmeditationinstitute.org/2013/03/18/how-to-slow-your-racing-mind/" TargetMode="External"/><Relationship Id="rId4887" Type="http://schemas.openxmlformats.org/officeDocument/2006/relationships/hyperlink" Target="https://pbs.twimg.com/media/EOLkaRQWAAEO58n.jpg" TargetMode="External"/><Relationship Id="rId2227" Type="http://schemas.openxmlformats.org/officeDocument/2006/relationships/hyperlink" Target="https://www.influencive.com/3-easy-ways-to-defeat-stress-and-be-more-peaceful/" TargetMode="External"/><Relationship Id="rId3559" Type="http://schemas.openxmlformats.org/officeDocument/2006/relationships/hyperlink" Target="http://www.mindurance.org" TargetMode="External"/><Relationship Id="rId2228" Type="http://schemas.openxmlformats.org/officeDocument/2006/relationships/hyperlink" Target="http://www.billmunncoaching.com" TargetMode="External"/><Relationship Id="rId3558" Type="http://schemas.openxmlformats.org/officeDocument/2006/relationships/hyperlink" Target="https://www.instagram.com/p/B7UuCDuAdI2/?igshid=10r9psh06l0nr" TargetMode="External"/><Relationship Id="rId4889" Type="http://schemas.openxmlformats.org/officeDocument/2006/relationships/hyperlink" Target="http://pic.twitter.com/WabDdK8Ovp" TargetMode="External"/><Relationship Id="rId2229" Type="http://schemas.openxmlformats.org/officeDocument/2006/relationships/hyperlink" Target="http://ow.ly/PycS50xWwVm" TargetMode="External"/><Relationship Id="rId305" Type="http://schemas.openxmlformats.org/officeDocument/2006/relationships/hyperlink" Target="http://thenaturalhealthblogger.com/2017/08/28/rhodiola-rosea-the-adaptogen-herb-with-anti-fatigue-anti-depressant-properties/" TargetMode="External"/><Relationship Id="rId304" Type="http://schemas.openxmlformats.org/officeDocument/2006/relationships/hyperlink" Target="http://www.addabbo.org" TargetMode="External"/><Relationship Id="rId303" Type="http://schemas.openxmlformats.org/officeDocument/2006/relationships/hyperlink" Target="https://pbs.twimg.com/media/EOk6-2nW4AEbrkq.jpg" TargetMode="External"/><Relationship Id="rId302" Type="http://schemas.openxmlformats.org/officeDocument/2006/relationships/hyperlink" Target="http://ow.ly/Uf0x30q1BrR" TargetMode="External"/><Relationship Id="rId309" Type="http://schemas.openxmlformats.org/officeDocument/2006/relationships/hyperlink" Target="https://pbs.twimg.com/media/EOU66WFWoAAlxHX.jpg" TargetMode="External"/><Relationship Id="rId308" Type="http://schemas.openxmlformats.org/officeDocument/2006/relationships/hyperlink" Target="http://www.naminorthtexas.org" TargetMode="External"/><Relationship Id="rId307" Type="http://schemas.openxmlformats.org/officeDocument/2006/relationships/hyperlink" Target="http://ow.ly/F3A230q92bN" TargetMode="External"/><Relationship Id="rId306" Type="http://schemas.openxmlformats.org/officeDocument/2006/relationships/hyperlink" Target="http://thenaturalhealthblogger.com" TargetMode="External"/><Relationship Id="rId4880" Type="http://schemas.openxmlformats.org/officeDocument/2006/relationships/hyperlink" Target="https://pbs.twimg.com/media/EOLlVjwX0AY0URF.jpg" TargetMode="External"/><Relationship Id="rId3551" Type="http://schemas.openxmlformats.org/officeDocument/2006/relationships/hyperlink" Target="https://pbs.twimg.com/media/EOSk6WcWoAAaq16.jpg" TargetMode="External"/><Relationship Id="rId4882" Type="http://schemas.openxmlformats.org/officeDocument/2006/relationships/hyperlink" Target="https://bit.ly/2PPnJUS" TargetMode="External"/><Relationship Id="rId2220" Type="http://schemas.openxmlformats.org/officeDocument/2006/relationships/hyperlink" Target="https://qoo.ly/33vhhf" TargetMode="External"/><Relationship Id="rId3550" Type="http://schemas.openxmlformats.org/officeDocument/2006/relationships/hyperlink" Target="http://renewyourmortgage.ca" TargetMode="External"/><Relationship Id="rId4881" Type="http://schemas.openxmlformats.org/officeDocument/2006/relationships/hyperlink" Target="http://thegirlinline.com" TargetMode="External"/><Relationship Id="rId301" Type="http://schemas.openxmlformats.org/officeDocument/2006/relationships/hyperlink" Target="http://squishsupport.com" TargetMode="External"/><Relationship Id="rId2221" Type="http://schemas.openxmlformats.org/officeDocument/2006/relationships/hyperlink" Target="http://www.thebraincollective.c.uk" TargetMode="External"/><Relationship Id="rId3553" Type="http://schemas.openxmlformats.org/officeDocument/2006/relationships/hyperlink" Target="http://www.mlacped.weebly.com" TargetMode="External"/><Relationship Id="rId4884" Type="http://schemas.openxmlformats.org/officeDocument/2006/relationships/hyperlink" Target="https://www.buzzsprout.com/204059/1950243-willpower-stress-movement-and-compassion-the-dr-kelly-mcgonigal-interview" TargetMode="External"/><Relationship Id="rId300" Type="http://schemas.openxmlformats.org/officeDocument/2006/relationships/hyperlink" Target="https://pbs.twimg.com/media/EOk80REX0AcHlVi.jpg" TargetMode="External"/><Relationship Id="rId2222" Type="http://schemas.openxmlformats.org/officeDocument/2006/relationships/hyperlink" Target="https://pbs.twimg.com/media/EOaIsd5WoAIjpFh.jpg" TargetMode="External"/><Relationship Id="rId3552" Type="http://schemas.openxmlformats.org/officeDocument/2006/relationships/hyperlink" Target="http://shoptoism.com" TargetMode="External"/><Relationship Id="rId4883" Type="http://schemas.openxmlformats.org/officeDocument/2006/relationships/hyperlink" Target="http://www.spunkyoldbroad.com" TargetMode="External"/><Relationship Id="rId2223" Type="http://schemas.openxmlformats.org/officeDocument/2006/relationships/hyperlink" Target="https://www.servicecare.org.uk/news/engagements-galore-at-service-care-solutions-01616127348" TargetMode="External"/><Relationship Id="rId3555" Type="http://schemas.openxmlformats.org/officeDocument/2006/relationships/hyperlink" Target="http://seerseed.blogspot.in" TargetMode="External"/><Relationship Id="rId4886" Type="http://schemas.openxmlformats.org/officeDocument/2006/relationships/hyperlink" Target="https://okt.to/TpV40j" TargetMode="External"/><Relationship Id="rId2224" Type="http://schemas.openxmlformats.org/officeDocument/2006/relationships/hyperlink" Target="http://www.servicecare.org.uk" TargetMode="External"/><Relationship Id="rId3554" Type="http://schemas.openxmlformats.org/officeDocument/2006/relationships/hyperlink" Target="https://pbs.twimg.com/media/EOSjHK_XkAAx9Ht.jpg" TargetMode="External"/><Relationship Id="rId4885" Type="http://schemas.openxmlformats.org/officeDocument/2006/relationships/hyperlink" Target="http://www.catalystcoachinginstitute.com" TargetMode="External"/><Relationship Id="rId2214" Type="http://schemas.openxmlformats.org/officeDocument/2006/relationships/hyperlink" Target="https://www.psychologytoday.com/us/blog/flourish-and-thrive/201911/one-powerful-strategy-when-facing-life-s-problems" TargetMode="External"/><Relationship Id="rId3546" Type="http://schemas.openxmlformats.org/officeDocument/2006/relationships/hyperlink" Target="https://pbs.twimg.com/media/EOSrBuUU4AAlb1T.jpg" TargetMode="External"/><Relationship Id="rId4877" Type="http://schemas.openxmlformats.org/officeDocument/2006/relationships/hyperlink" Target="http://www.theherbalgardens.com" TargetMode="External"/><Relationship Id="rId2215" Type="http://schemas.openxmlformats.org/officeDocument/2006/relationships/hyperlink" Target="http://www.imageryandmusic.com" TargetMode="External"/><Relationship Id="rId3545" Type="http://schemas.openxmlformats.org/officeDocument/2006/relationships/hyperlink" Target="https://www.rawpassion.co.uk" TargetMode="External"/><Relationship Id="rId4876" Type="http://schemas.openxmlformats.org/officeDocument/2006/relationships/hyperlink" Target="http://ablerecovery.net" TargetMode="External"/><Relationship Id="rId2216" Type="http://schemas.openxmlformats.org/officeDocument/2006/relationships/hyperlink" Target="https://mindfulnessmeditationinstitute.org/2019/07/26/teach-your-child-important-life-skills-through-family-meditation/" TargetMode="External"/><Relationship Id="rId3548" Type="http://schemas.openxmlformats.org/officeDocument/2006/relationships/hyperlink" Target="https://pbs.twimg.com/media/EOSnFF-U4AE3213.jpg" TargetMode="External"/><Relationship Id="rId4879" Type="http://schemas.openxmlformats.org/officeDocument/2006/relationships/hyperlink" Target="http://thenaturalhealthblogger.com" TargetMode="External"/><Relationship Id="rId2217" Type="http://schemas.openxmlformats.org/officeDocument/2006/relationships/hyperlink" Target="http://www.mindfulnessmeditationinstitute.org/" TargetMode="External"/><Relationship Id="rId3547" Type="http://schemas.openxmlformats.org/officeDocument/2006/relationships/hyperlink" Target="https://pbs.twimg.com/media/EOSn_cRWoAMD7-q.jpg" TargetMode="External"/><Relationship Id="rId4878" Type="http://schemas.openxmlformats.org/officeDocument/2006/relationships/hyperlink" Target="https://pbs.twimg.com/media/EOLlhH0X4AATebY.jpg" TargetMode="External"/><Relationship Id="rId2218" Type="http://schemas.openxmlformats.org/officeDocument/2006/relationships/hyperlink" Target="http://cpix.me/a/90013007" TargetMode="External"/><Relationship Id="rId2219" Type="http://schemas.openxmlformats.org/officeDocument/2006/relationships/hyperlink" Target="https://pbs.twimg.com/media/EOaJeJ5WAAIX4n8.jpg" TargetMode="External"/><Relationship Id="rId3549" Type="http://schemas.openxmlformats.org/officeDocument/2006/relationships/hyperlink" Target="http://www.wjso.com" TargetMode="External"/><Relationship Id="rId3540" Type="http://schemas.openxmlformats.org/officeDocument/2006/relationships/hyperlink" Target="http://pic.twitter.com/9XXwGXYLXo" TargetMode="External"/><Relationship Id="rId4871" Type="http://schemas.openxmlformats.org/officeDocument/2006/relationships/hyperlink" Target="https://pbs.twimg.com/media/EOLoeNWUcAEAmM_.jpg" TargetMode="External"/><Relationship Id="rId4870" Type="http://schemas.openxmlformats.org/officeDocument/2006/relationships/hyperlink" Target="https://www.benefitscanada.com/news/starbucks-offering-meditation-app-to-all-canadian-employees-141257" TargetMode="External"/><Relationship Id="rId2210" Type="http://schemas.openxmlformats.org/officeDocument/2006/relationships/hyperlink" Target="https://lnkd.in/ecxxKG2" TargetMode="External"/><Relationship Id="rId3542" Type="http://schemas.openxmlformats.org/officeDocument/2006/relationships/hyperlink" Target="https://pbs.twimg.com/media/EOSxYhkXkAAxMou.jpg" TargetMode="External"/><Relationship Id="rId4873" Type="http://schemas.openxmlformats.org/officeDocument/2006/relationships/hyperlink" Target="http://pic.twitter.com/V5p3ZhuJ4m" TargetMode="External"/><Relationship Id="rId2211" Type="http://schemas.openxmlformats.org/officeDocument/2006/relationships/hyperlink" Target="http://www.findependencehub.com/" TargetMode="External"/><Relationship Id="rId3541" Type="http://schemas.openxmlformats.org/officeDocument/2006/relationships/hyperlink" Target="http://bit.ly/32jEWso" TargetMode="External"/><Relationship Id="rId4872" Type="http://schemas.openxmlformats.org/officeDocument/2006/relationships/hyperlink" Target="http://www.weconsultants.ca" TargetMode="External"/><Relationship Id="rId2212" Type="http://schemas.openxmlformats.org/officeDocument/2006/relationships/hyperlink" Target="https://doi.org/10.2217/epi-2019-0191" TargetMode="External"/><Relationship Id="rId3544" Type="http://schemas.openxmlformats.org/officeDocument/2006/relationships/hyperlink" Target="https://www.linkedin.com/pulse/coping-adversity-sameer-nagarajan" TargetMode="External"/><Relationship Id="rId4875" Type="http://schemas.openxmlformats.org/officeDocument/2006/relationships/hyperlink" Target="https://pbs.twimg.com/media/EOLnt2yX4AMHaVP.jpg" TargetMode="External"/><Relationship Id="rId2213" Type="http://schemas.openxmlformats.org/officeDocument/2006/relationships/hyperlink" Target="http://www.futuremedicine.com/loi/epi" TargetMode="External"/><Relationship Id="rId3543" Type="http://schemas.openxmlformats.org/officeDocument/2006/relationships/hyperlink" Target="https://www.linkedin.com/in/curt-robbins-37a13312/" TargetMode="External"/><Relationship Id="rId4874" Type="http://schemas.openxmlformats.org/officeDocument/2006/relationships/hyperlink" Target="http://www.jacquelynvansant.com" TargetMode="External"/><Relationship Id="rId2247" Type="http://schemas.openxmlformats.org/officeDocument/2006/relationships/hyperlink" Target="https://www.sciencedaily.com/releases/2020/01/200113111141.htm" TargetMode="External"/><Relationship Id="rId3579" Type="http://schemas.openxmlformats.org/officeDocument/2006/relationships/hyperlink" Target="http://www.patriciabannan.com" TargetMode="External"/><Relationship Id="rId2248" Type="http://schemas.openxmlformats.org/officeDocument/2006/relationships/hyperlink" Target="http://www.rootsanalysis.com" TargetMode="External"/><Relationship Id="rId3578" Type="http://schemas.openxmlformats.org/officeDocument/2006/relationships/hyperlink" Target="http://www.patriciabannan.com/blog/nutrition/2919/" TargetMode="External"/><Relationship Id="rId2249" Type="http://schemas.openxmlformats.org/officeDocument/2006/relationships/hyperlink" Target="https://technical.ly/delaware/2019/08/01/lawyers-wellness-podcast-stress-legal-workplaces/" TargetMode="External"/><Relationship Id="rId327" Type="http://schemas.openxmlformats.org/officeDocument/2006/relationships/hyperlink" Target="https://yhoo.it/2RenDp1" TargetMode="External"/><Relationship Id="rId326" Type="http://schemas.openxmlformats.org/officeDocument/2006/relationships/hyperlink" Target="http://saltsense.co.uk" TargetMode="External"/><Relationship Id="rId325" Type="http://schemas.openxmlformats.org/officeDocument/2006/relationships/hyperlink" Target="https://www.instagram.com/p/B6wPnodHqtb/?igshid=b7futhicxqo9" TargetMode="External"/><Relationship Id="rId324" Type="http://schemas.openxmlformats.org/officeDocument/2006/relationships/hyperlink" Target="http://www.nwbh.nhs.uk/" TargetMode="External"/><Relationship Id="rId329" Type="http://schemas.openxmlformats.org/officeDocument/2006/relationships/hyperlink" Target="http://cpix.me/a/90188211" TargetMode="External"/><Relationship Id="rId328" Type="http://schemas.openxmlformats.org/officeDocument/2006/relationships/hyperlink" Target="http://www.brillianto.co.uk" TargetMode="External"/><Relationship Id="rId3571" Type="http://schemas.openxmlformats.org/officeDocument/2006/relationships/hyperlink" Target="https://pbs.twimg.com/media/EOSaGzbX0AIgBk8.png" TargetMode="External"/><Relationship Id="rId2240" Type="http://schemas.openxmlformats.org/officeDocument/2006/relationships/hyperlink" Target="https://pbs.twimg.com/media/EOaGf35WkAEsS14.jpg" TargetMode="External"/><Relationship Id="rId3570" Type="http://schemas.openxmlformats.org/officeDocument/2006/relationships/hyperlink" Target="http://emerge.yale.edu" TargetMode="External"/><Relationship Id="rId2241" Type="http://schemas.openxmlformats.org/officeDocument/2006/relationships/hyperlink" Target="https://www.linkedin.com/in/catherine-mackay-4a3b5449" TargetMode="External"/><Relationship Id="rId3573" Type="http://schemas.openxmlformats.org/officeDocument/2006/relationships/hyperlink" Target="https://pbs.twimg.com/media/EOSZ5VDU8AE0J9t.jpg" TargetMode="External"/><Relationship Id="rId2242" Type="http://schemas.openxmlformats.org/officeDocument/2006/relationships/hyperlink" Target="https://twitter.com/StaywellOH/status/1217804161099628544" TargetMode="External"/><Relationship Id="rId3572" Type="http://schemas.openxmlformats.org/officeDocument/2006/relationships/hyperlink" Target="https://thewellnessedge.ca" TargetMode="External"/><Relationship Id="rId323" Type="http://schemas.openxmlformats.org/officeDocument/2006/relationships/hyperlink" Target="https://pbs.twimg.com/media/EOk1dazXsAE06gC.jpg" TargetMode="External"/><Relationship Id="rId2243" Type="http://schemas.openxmlformats.org/officeDocument/2006/relationships/hyperlink" Target="https://www.alpaka.io" TargetMode="External"/><Relationship Id="rId3575" Type="http://schemas.openxmlformats.org/officeDocument/2006/relationships/hyperlink" Target="http://www.epsychconnect.com" TargetMode="External"/><Relationship Id="rId322" Type="http://schemas.openxmlformats.org/officeDocument/2006/relationships/hyperlink" Target="http://nwbh.nhs.uk/help-in-a-crisis" TargetMode="External"/><Relationship Id="rId2244" Type="http://schemas.openxmlformats.org/officeDocument/2006/relationships/hyperlink" Target="http://bit.ly/2Qg6evK" TargetMode="External"/><Relationship Id="rId3574" Type="http://schemas.openxmlformats.org/officeDocument/2006/relationships/hyperlink" Target="http://www.drbrianalman.com" TargetMode="External"/><Relationship Id="rId321" Type="http://schemas.openxmlformats.org/officeDocument/2006/relationships/hyperlink" Target="http://mikemurdockbooks.com" TargetMode="External"/><Relationship Id="rId2245" Type="http://schemas.openxmlformats.org/officeDocument/2006/relationships/hyperlink" Target="https://pbs.twimg.com/media/EOaFhuoXkAAuLX0.jpg" TargetMode="External"/><Relationship Id="rId3577" Type="http://schemas.openxmlformats.org/officeDocument/2006/relationships/hyperlink" Target="https://www.thepathofme.com/" TargetMode="External"/><Relationship Id="rId320" Type="http://schemas.openxmlformats.org/officeDocument/2006/relationships/hyperlink" Target="https://www.pacificpayrollgroup.com" TargetMode="External"/><Relationship Id="rId2246" Type="http://schemas.openxmlformats.org/officeDocument/2006/relationships/hyperlink" Target="http://zurvita.com/feelgreatlookbetter" TargetMode="External"/><Relationship Id="rId3576" Type="http://schemas.openxmlformats.org/officeDocument/2006/relationships/hyperlink" Target="http://bit.ly/2QSQGQq" TargetMode="External"/><Relationship Id="rId2236" Type="http://schemas.openxmlformats.org/officeDocument/2006/relationships/hyperlink" Target="https://buff.ly/2q0XDjD" TargetMode="External"/><Relationship Id="rId3568" Type="http://schemas.openxmlformats.org/officeDocument/2006/relationships/hyperlink" Target="https://www.mindful.org/how-the-body-scan-meditation-practice-reduces-biological-stress/" TargetMode="External"/><Relationship Id="rId4899" Type="http://schemas.openxmlformats.org/officeDocument/2006/relationships/hyperlink" Target="https://pbs.twimg.com/media/EOLeqG4XsAAujGt.jpg" TargetMode="External"/><Relationship Id="rId2237" Type="http://schemas.openxmlformats.org/officeDocument/2006/relationships/hyperlink" Target="https://pbs.twimg.com/media/EOaGo82XUAEBL30.jpg" TargetMode="External"/><Relationship Id="rId3567" Type="http://schemas.openxmlformats.org/officeDocument/2006/relationships/hyperlink" Target="http://www.suemcgaughey.wordpress.com" TargetMode="External"/><Relationship Id="rId4898" Type="http://schemas.openxmlformats.org/officeDocument/2006/relationships/hyperlink" Target="https://pbs.twimg.com/media/EOLgxMAX0AQLIaH.jpg" TargetMode="External"/><Relationship Id="rId2238" Type="http://schemas.openxmlformats.org/officeDocument/2006/relationships/hyperlink" Target="http://www.msfocus.org" TargetMode="External"/><Relationship Id="rId2239" Type="http://schemas.openxmlformats.org/officeDocument/2006/relationships/hyperlink" Target="https://www.britsafe.org/publications/safety-management-magazine/safety-management-magazine/2019/prosecution-for-work-related-stress-just-matter-of-time-law-event-hears/" TargetMode="External"/><Relationship Id="rId3569" Type="http://schemas.openxmlformats.org/officeDocument/2006/relationships/hyperlink" Target="http://www.unionsquarect.com" TargetMode="External"/><Relationship Id="rId316" Type="http://schemas.openxmlformats.org/officeDocument/2006/relationships/hyperlink" Target="https://pbs.twimg.com/media/EOk37FKXsAA0HFT.jpg" TargetMode="External"/><Relationship Id="rId315" Type="http://schemas.openxmlformats.org/officeDocument/2006/relationships/hyperlink" Target="http://tinyurl.com/y39g6eqf" TargetMode="External"/><Relationship Id="rId314" Type="http://schemas.openxmlformats.org/officeDocument/2006/relationships/hyperlink" Target="http://innerself.com" TargetMode="External"/><Relationship Id="rId313" Type="http://schemas.openxmlformats.org/officeDocument/2006/relationships/hyperlink" Target="http://innerself.com/content/social.html" TargetMode="External"/><Relationship Id="rId319" Type="http://schemas.openxmlformats.org/officeDocument/2006/relationships/hyperlink" Target="https://pbs.twimg.com/media/EOk21mXX0AMujjg.jpg" TargetMode="External"/><Relationship Id="rId318" Type="http://schemas.openxmlformats.org/officeDocument/2006/relationships/hyperlink" Target="https://buff.ly/2uUPHGx" TargetMode="External"/><Relationship Id="rId317" Type="http://schemas.openxmlformats.org/officeDocument/2006/relationships/hyperlink" Target="http://innerself.com" TargetMode="External"/><Relationship Id="rId3560" Type="http://schemas.openxmlformats.org/officeDocument/2006/relationships/hyperlink" Target="http://facebook.com/jocelynpdrz" TargetMode="External"/><Relationship Id="rId4891" Type="http://schemas.openxmlformats.org/officeDocument/2006/relationships/hyperlink" Target="http://pic.twitter.com/yEwuRgZjBq" TargetMode="External"/><Relationship Id="rId4890" Type="http://schemas.openxmlformats.org/officeDocument/2006/relationships/hyperlink" Target="http://dronfieldcbt4u.com" TargetMode="External"/><Relationship Id="rId2230" Type="http://schemas.openxmlformats.org/officeDocument/2006/relationships/hyperlink" Target="http://linktr.ee/staffingserviceusa" TargetMode="External"/><Relationship Id="rId3562" Type="http://schemas.openxmlformats.org/officeDocument/2006/relationships/hyperlink" Target="https://pbs.twimg.com/media/EOSfJKgXkAIbyRh.jpg" TargetMode="External"/><Relationship Id="rId4893" Type="http://schemas.openxmlformats.org/officeDocument/2006/relationships/hyperlink" Target="http://bit.ly/2Tk03dj" TargetMode="External"/><Relationship Id="rId2231" Type="http://schemas.openxmlformats.org/officeDocument/2006/relationships/hyperlink" Target="https://buff.ly/2NqyQlj" TargetMode="External"/><Relationship Id="rId3561" Type="http://schemas.openxmlformats.org/officeDocument/2006/relationships/hyperlink" Target="http://ow.ly/rQ2d50xIvUD" TargetMode="External"/><Relationship Id="rId4892" Type="http://schemas.openxmlformats.org/officeDocument/2006/relationships/hyperlink" Target="http://www.dronfieldcbt4u.com" TargetMode="External"/><Relationship Id="rId312" Type="http://schemas.openxmlformats.org/officeDocument/2006/relationships/hyperlink" Target="https://pbs.twimg.com/media/EOk37WnXkAg4JaR.jpg" TargetMode="External"/><Relationship Id="rId2232" Type="http://schemas.openxmlformats.org/officeDocument/2006/relationships/hyperlink" Target="http://trauma.blog.yorku.ca" TargetMode="External"/><Relationship Id="rId3564" Type="http://schemas.openxmlformats.org/officeDocument/2006/relationships/hyperlink" Target="http://pic.twitter.com/tpSYafz2Xd" TargetMode="External"/><Relationship Id="rId4895" Type="http://schemas.openxmlformats.org/officeDocument/2006/relationships/hyperlink" Target="http://www.ejbiotechnology.info" TargetMode="External"/><Relationship Id="rId311" Type="http://schemas.openxmlformats.org/officeDocument/2006/relationships/hyperlink" Target="http://tinyurl.com/y39g6eqf" TargetMode="External"/><Relationship Id="rId2233" Type="http://schemas.openxmlformats.org/officeDocument/2006/relationships/hyperlink" Target="http://dld.bz/hbtz3" TargetMode="External"/><Relationship Id="rId3563" Type="http://schemas.openxmlformats.org/officeDocument/2006/relationships/hyperlink" Target="http://www.willistowerswatson.com" TargetMode="External"/><Relationship Id="rId4894" Type="http://schemas.openxmlformats.org/officeDocument/2006/relationships/hyperlink" Target="https://pbs.twimg.com/media/EOLiIbUX4AA5pXU.png" TargetMode="External"/><Relationship Id="rId310" Type="http://schemas.openxmlformats.org/officeDocument/2006/relationships/hyperlink" Target="http://www.kenokel.com" TargetMode="External"/><Relationship Id="rId2234" Type="http://schemas.openxmlformats.org/officeDocument/2006/relationships/hyperlink" Target="https://pbs.twimg.com/media/EOaG1qtX0AESTZD.jpg" TargetMode="External"/><Relationship Id="rId3566" Type="http://schemas.openxmlformats.org/officeDocument/2006/relationships/hyperlink" Target="https://www.instagram.com/p/B7Ur5vxl3Fx/?igshid=1wiesr62jo635" TargetMode="External"/><Relationship Id="rId4897" Type="http://schemas.openxmlformats.org/officeDocument/2006/relationships/hyperlink" Target="https://medium.com/@djemal.ua" TargetMode="External"/><Relationship Id="rId2235" Type="http://schemas.openxmlformats.org/officeDocument/2006/relationships/hyperlink" Target="https://curepsoriasisholistically.com" TargetMode="External"/><Relationship Id="rId3565" Type="http://schemas.openxmlformats.org/officeDocument/2006/relationships/hyperlink" Target="http://www.empowerhousegroup.com" TargetMode="External"/><Relationship Id="rId4896" Type="http://schemas.openxmlformats.org/officeDocument/2006/relationships/hyperlink" Target="https://link.medium.com/lwjF0gS562" TargetMode="External"/><Relationship Id="rId4040" Type="http://schemas.openxmlformats.org/officeDocument/2006/relationships/hyperlink" Target="http://www.neuroflowsolution.com/" TargetMode="External"/><Relationship Id="rId4042" Type="http://schemas.openxmlformats.org/officeDocument/2006/relationships/hyperlink" Target="https://pbs.twimg.com/media/EOQQE9GX4AA6LyH.jpg" TargetMode="External"/><Relationship Id="rId4041" Type="http://schemas.openxmlformats.org/officeDocument/2006/relationships/hyperlink" Target="http://ow.ly/gyhH30q9ceb" TargetMode="External"/><Relationship Id="rId4044" Type="http://schemas.openxmlformats.org/officeDocument/2006/relationships/hyperlink" Target="https://www.cnn.com/2020/01/13/health/burnout-linked-to-atrial-fibrillation-wellness/index.html?utm_campaign=KHN%3A%20Daily%20Health%20Policy%20Report&amp;utm_source=hs_email&amp;utm_medium=email&amp;utm_content=81882222&amp;_hsenc=p2ANqtz-9IHeNLbRRTQ1nQh0vT3-zQPqr1PRsZxILs-Spt1nWwGy4g9Rlzz7JGZtPa4Wl9n0Lu8mCUfCKSNgG7Bffhi8xQxWVXRg&amp;_hsmi=81882222" TargetMode="External"/><Relationship Id="rId4043" Type="http://schemas.openxmlformats.org/officeDocument/2006/relationships/hyperlink" Target="http://www.cmha.calgary.ab.ca" TargetMode="External"/><Relationship Id="rId4046" Type="http://schemas.openxmlformats.org/officeDocument/2006/relationships/hyperlink" Target="https://bit.ly/3a2vYFf" TargetMode="External"/><Relationship Id="rId4045" Type="http://schemas.openxmlformats.org/officeDocument/2006/relationships/hyperlink" Target="http://www.partnercomm.net" TargetMode="External"/><Relationship Id="rId4048" Type="http://schemas.openxmlformats.org/officeDocument/2006/relationships/hyperlink" Target="https://kingsumo.com/g/9agctd/giveaway-january-2020/m869okv" TargetMode="External"/><Relationship Id="rId4047" Type="http://schemas.openxmlformats.org/officeDocument/2006/relationships/hyperlink" Target="http://we.ifma.org" TargetMode="External"/><Relationship Id="rId4049" Type="http://schemas.openxmlformats.org/officeDocument/2006/relationships/hyperlink" Target="http://vitality360.co.uk" TargetMode="External"/><Relationship Id="rId4031" Type="http://schemas.openxmlformats.org/officeDocument/2006/relationships/hyperlink" Target="https://www.regenerativemedgroup.com/" TargetMode="External"/><Relationship Id="rId4030" Type="http://schemas.openxmlformats.org/officeDocument/2006/relationships/hyperlink" Target="https://pbs.twimg.com/media/EOQTRxsU0AEaLM7.jpg" TargetMode="External"/><Relationship Id="rId297" Type="http://schemas.openxmlformats.org/officeDocument/2006/relationships/hyperlink" Target="https://healthyfit07.blogspot.com" TargetMode="External"/><Relationship Id="rId4033" Type="http://schemas.openxmlformats.org/officeDocument/2006/relationships/hyperlink" Target="https://pbs.twimg.com/media/EOQRmm8WkAM_dH3.jpg" TargetMode="External"/><Relationship Id="rId296" Type="http://schemas.openxmlformats.org/officeDocument/2006/relationships/hyperlink" Target="https://pbs.twimg.com/media/EOk-bUTXsAEzgRf.jpg" TargetMode="External"/><Relationship Id="rId4032" Type="http://schemas.openxmlformats.org/officeDocument/2006/relationships/hyperlink" Target="http://www.threedimensionalvitality.com" TargetMode="External"/><Relationship Id="rId295" Type="http://schemas.openxmlformats.org/officeDocument/2006/relationships/hyperlink" Target="https://healthyfit07.blogspot.com/2017/10/how-to-quit-smoking-cigarettes.html" TargetMode="External"/><Relationship Id="rId4035" Type="http://schemas.openxmlformats.org/officeDocument/2006/relationships/hyperlink" Target="https://pbs.twimg.com/media/EOQRIseXsAAN9tk.jpg" TargetMode="External"/><Relationship Id="rId294" Type="http://schemas.openxmlformats.org/officeDocument/2006/relationships/hyperlink" Target="http://www.kenokel.com" TargetMode="External"/><Relationship Id="rId4034" Type="http://schemas.openxmlformats.org/officeDocument/2006/relationships/hyperlink" Target="https://broomfieldcoloradochiro.com" TargetMode="External"/><Relationship Id="rId4037" Type="http://schemas.openxmlformats.org/officeDocument/2006/relationships/hyperlink" Target="https://pbs.twimg.com/media/EOQQ33_XsAIbIvi.jpg" TargetMode="External"/><Relationship Id="rId4036" Type="http://schemas.openxmlformats.org/officeDocument/2006/relationships/hyperlink" Target="http://auroracoloradochiro.com" TargetMode="External"/><Relationship Id="rId299" Type="http://schemas.openxmlformats.org/officeDocument/2006/relationships/hyperlink" Target="http://www.facebook.com/cypressmuzik" TargetMode="External"/><Relationship Id="rId4039" Type="http://schemas.openxmlformats.org/officeDocument/2006/relationships/hyperlink" Target="https://hubs.ly/H0myktj0" TargetMode="External"/><Relationship Id="rId298" Type="http://schemas.openxmlformats.org/officeDocument/2006/relationships/hyperlink" Target="https://www.instagram.com/p/B7d8RIpH5Zz/?igshid=kzxfgvstb2qj" TargetMode="External"/><Relationship Id="rId4038" Type="http://schemas.openxmlformats.org/officeDocument/2006/relationships/hyperlink" Target="http://www.ucs.org.uk" TargetMode="External"/><Relationship Id="rId4060" Type="http://schemas.openxmlformats.org/officeDocument/2006/relationships/hyperlink" Target="https://pbs.twimg.com/media/EOQI-F8X4AYuxvc.jpg" TargetMode="External"/><Relationship Id="rId4062" Type="http://schemas.openxmlformats.org/officeDocument/2006/relationships/hyperlink" Target="https://bit.ly/2uGDQf8" TargetMode="External"/><Relationship Id="rId4061" Type="http://schemas.openxmlformats.org/officeDocument/2006/relationships/hyperlink" Target="https://www.twitter.com/ParanormPsychic" TargetMode="External"/><Relationship Id="rId4064" Type="http://schemas.openxmlformats.org/officeDocument/2006/relationships/hyperlink" Target="https://bit.ly/30inrJA" TargetMode="External"/><Relationship Id="rId4063" Type="http://schemas.openxmlformats.org/officeDocument/2006/relationships/hyperlink" Target="https://pbs.twimg.com/media/EOQIjWvXsAAIuUA.jpg" TargetMode="External"/><Relationship Id="rId4066" Type="http://schemas.openxmlformats.org/officeDocument/2006/relationships/hyperlink" Target="https://www.mtv.com.lb/" TargetMode="External"/><Relationship Id="rId4065" Type="http://schemas.openxmlformats.org/officeDocument/2006/relationships/hyperlink" Target="https://pbs.twimg.com/media/EOPz1l_XsAA2i0v.jpg" TargetMode="External"/><Relationship Id="rId4068" Type="http://schemas.openxmlformats.org/officeDocument/2006/relationships/hyperlink" Target="http://25432.amarecontent.com" TargetMode="External"/><Relationship Id="rId4067" Type="http://schemas.openxmlformats.org/officeDocument/2006/relationships/hyperlink" Target="https://pbs.twimg.com/media/EOQGv18XUAEZpZw.jpg" TargetMode="External"/><Relationship Id="rId4069" Type="http://schemas.openxmlformats.org/officeDocument/2006/relationships/hyperlink" Target="https://www.heart.org/-/media/aha/h4gm/pdf-files/fightstressinfographic_bewell.pdf?la=en&amp;hash=352EF2206AA477DA2A07CF6573EFCE5DC49B718B" TargetMode="External"/><Relationship Id="rId4051" Type="http://schemas.openxmlformats.org/officeDocument/2006/relationships/hyperlink" Target="http://www.stressmanagementtrainingbiz.com" TargetMode="External"/><Relationship Id="rId4050" Type="http://schemas.openxmlformats.org/officeDocument/2006/relationships/hyperlink" Target="http://bit.ly/2Tw58vM" TargetMode="External"/><Relationship Id="rId4053" Type="http://schemas.openxmlformats.org/officeDocument/2006/relationships/hyperlink" Target="http://katieuhran.com" TargetMode="External"/><Relationship Id="rId4052" Type="http://schemas.openxmlformats.org/officeDocument/2006/relationships/hyperlink" Target="https://www.mindbodygreen.com/articles/5-ways-stress-messes-with-your-hormones-which-foods-can-help" TargetMode="External"/><Relationship Id="rId4055" Type="http://schemas.openxmlformats.org/officeDocument/2006/relationships/hyperlink" Target="https://lttr.ai/MJyT" TargetMode="External"/><Relationship Id="rId4054" Type="http://schemas.openxmlformats.org/officeDocument/2006/relationships/hyperlink" Target="https://www.marieclaire.com/beauty/a30243066/best-products-dryness-aging-redness/" TargetMode="External"/><Relationship Id="rId4057" Type="http://schemas.openxmlformats.org/officeDocument/2006/relationships/hyperlink" Target="http://po.st/doI3m6" TargetMode="External"/><Relationship Id="rId4056" Type="http://schemas.openxmlformats.org/officeDocument/2006/relationships/hyperlink" Target="https://pbs.twimg.com/media/EOQN_ZeWkAACOFt.png" TargetMode="External"/><Relationship Id="rId4059" Type="http://schemas.openxmlformats.org/officeDocument/2006/relationships/hyperlink" Target="http://www.staceymillerconsultancy.co.uk" TargetMode="External"/><Relationship Id="rId4058" Type="http://schemas.openxmlformats.org/officeDocument/2006/relationships/hyperlink" Target="http://www.leamcleod.com" TargetMode="External"/><Relationship Id="rId4008" Type="http://schemas.openxmlformats.org/officeDocument/2006/relationships/hyperlink" Target="https://learnedhealth.com/" TargetMode="External"/><Relationship Id="rId4007" Type="http://schemas.openxmlformats.org/officeDocument/2006/relationships/hyperlink" Target="https://pbs.twimg.com/media/EOQV-XuUwAA0I8u.png" TargetMode="External"/><Relationship Id="rId4009" Type="http://schemas.openxmlformats.org/officeDocument/2006/relationships/hyperlink" Target="http://ow.ly/3VXP50xPa3t" TargetMode="External"/><Relationship Id="rId271" Type="http://schemas.openxmlformats.org/officeDocument/2006/relationships/hyperlink" Target="http://www.bnwaccountants.co.uk" TargetMode="External"/><Relationship Id="rId270" Type="http://schemas.openxmlformats.org/officeDocument/2006/relationships/hyperlink" Target="http://www.erniebray.com" TargetMode="External"/><Relationship Id="rId269" Type="http://schemas.openxmlformats.org/officeDocument/2006/relationships/hyperlink" Target="https://www.erniebray.com/blog/5-tips-for-conquering-the-stress-of-success" TargetMode="External"/><Relationship Id="rId264" Type="http://schemas.openxmlformats.org/officeDocument/2006/relationships/hyperlink" Target="https://buff.ly/370iebP" TargetMode="External"/><Relationship Id="rId4000" Type="http://schemas.openxmlformats.org/officeDocument/2006/relationships/hyperlink" Target="http://kevamack.com" TargetMode="External"/><Relationship Id="rId263" Type="http://schemas.openxmlformats.org/officeDocument/2006/relationships/hyperlink" Target="http://www.zzedibles.com" TargetMode="External"/><Relationship Id="rId262" Type="http://schemas.openxmlformats.org/officeDocument/2006/relationships/hyperlink" Target="http://pic.twitter.com/4NpJ2wjDIb" TargetMode="External"/><Relationship Id="rId4002" Type="http://schemas.openxmlformats.org/officeDocument/2006/relationships/hyperlink" Target="https://pbs.twimg.com/media/EOQXbO4WkAERPiU.jpg" TargetMode="External"/><Relationship Id="rId261" Type="http://schemas.openxmlformats.org/officeDocument/2006/relationships/hyperlink" Target="http://zzedibles.com" TargetMode="External"/><Relationship Id="rId4001" Type="http://schemas.openxmlformats.org/officeDocument/2006/relationships/hyperlink" Target="https://wp.me/PeAog-dj" TargetMode="External"/><Relationship Id="rId268" Type="http://schemas.openxmlformats.org/officeDocument/2006/relationships/hyperlink" Target="http://travisbarrett.com" TargetMode="External"/><Relationship Id="rId4004" Type="http://schemas.openxmlformats.org/officeDocument/2006/relationships/hyperlink" Target="http://dld.bz/dkwmG" TargetMode="External"/><Relationship Id="rId267" Type="http://schemas.openxmlformats.org/officeDocument/2006/relationships/hyperlink" Target="https://www.instagram.com/p/B7eA1-fJBpd/?igshid=rgzv2w5c78ll" TargetMode="External"/><Relationship Id="rId4003" Type="http://schemas.openxmlformats.org/officeDocument/2006/relationships/hyperlink" Target="http://www.hypnosisnewcastle.co.uk" TargetMode="External"/><Relationship Id="rId266" Type="http://schemas.openxmlformats.org/officeDocument/2006/relationships/hyperlink" Target="http://medicalnewsbulletin.com" TargetMode="External"/><Relationship Id="rId4006" Type="http://schemas.openxmlformats.org/officeDocument/2006/relationships/hyperlink" Target="http://learnedhealth.com" TargetMode="External"/><Relationship Id="rId265" Type="http://schemas.openxmlformats.org/officeDocument/2006/relationships/hyperlink" Target="https://pbs.twimg.com/media/EOlGZe-WoAAZxY-.jpg" TargetMode="External"/><Relationship Id="rId4005" Type="http://schemas.openxmlformats.org/officeDocument/2006/relationships/hyperlink" Target="http://learnedhealth.com" TargetMode="External"/><Relationship Id="rId260" Type="http://schemas.openxmlformats.org/officeDocument/2006/relationships/hyperlink" Target="https://pbs.twimg.com/media/EOlIUjAWkAI5fDu.jpg" TargetMode="External"/><Relationship Id="rId259" Type="http://schemas.openxmlformats.org/officeDocument/2006/relationships/hyperlink" Target="http://cpix.me/a/90177045" TargetMode="External"/><Relationship Id="rId258" Type="http://schemas.openxmlformats.org/officeDocument/2006/relationships/hyperlink" Target="https://theatheistwitch.com" TargetMode="External"/><Relationship Id="rId2290" Type="http://schemas.openxmlformats.org/officeDocument/2006/relationships/hyperlink" Target="https://pbs.twimg.com/media/EOZXynhXUAAymXO.jpg" TargetMode="External"/><Relationship Id="rId2291" Type="http://schemas.openxmlformats.org/officeDocument/2006/relationships/hyperlink" Target="http://www.wehearyou.co.za/" TargetMode="External"/><Relationship Id="rId2292" Type="http://schemas.openxmlformats.org/officeDocument/2006/relationships/hyperlink" Target="http://www.wellnessorbit.com" TargetMode="External"/><Relationship Id="rId2293" Type="http://schemas.openxmlformats.org/officeDocument/2006/relationships/hyperlink" Target="https://pbs.twimg.com/media/EOZ3O77XUAAcxX4.jpg" TargetMode="External"/><Relationship Id="rId253" Type="http://schemas.openxmlformats.org/officeDocument/2006/relationships/hyperlink" Target="http://www.debrareis.com" TargetMode="External"/><Relationship Id="rId2294" Type="http://schemas.openxmlformats.org/officeDocument/2006/relationships/hyperlink" Target="http://samryagarden.com/" TargetMode="External"/><Relationship Id="rId252" Type="http://schemas.openxmlformats.org/officeDocument/2006/relationships/hyperlink" Target="https://goo.gl/AMHp5i" TargetMode="External"/><Relationship Id="rId2295" Type="http://schemas.openxmlformats.org/officeDocument/2006/relationships/hyperlink" Target="https://healthstrives.com/article/health/about-circadian-rhythm" TargetMode="External"/><Relationship Id="rId251" Type="http://schemas.openxmlformats.org/officeDocument/2006/relationships/hyperlink" Target="http://www.angermanagementgroups.com" TargetMode="External"/><Relationship Id="rId2296" Type="http://schemas.openxmlformats.org/officeDocument/2006/relationships/hyperlink" Target="https://pbs.twimg.com/media/EOZ2vx3UwAE9mHH.png" TargetMode="External"/><Relationship Id="rId250" Type="http://schemas.openxmlformats.org/officeDocument/2006/relationships/hyperlink" Target="https://buff.ly/2NyNJCn" TargetMode="External"/><Relationship Id="rId2297" Type="http://schemas.openxmlformats.org/officeDocument/2006/relationships/hyperlink" Target="https://healthstrives.com/" TargetMode="External"/><Relationship Id="rId257" Type="http://schemas.openxmlformats.org/officeDocument/2006/relationships/hyperlink" Target="https://pbs.twimg.com/media/EOlJ7mGWoAEkF86.jpg" TargetMode="External"/><Relationship Id="rId2298" Type="http://schemas.openxmlformats.org/officeDocument/2006/relationships/hyperlink" Target="http://theconversation.com/tick-tock-how-stress-speeds-up-your-chromosomes-ageing-clock-127728?utm_source=twitter&amp;utm_medium=twitterbutton" TargetMode="External"/><Relationship Id="rId256" Type="http://schemas.openxmlformats.org/officeDocument/2006/relationships/hyperlink" Target="https://buff.ly/2wunZhl" TargetMode="External"/><Relationship Id="rId2299" Type="http://schemas.openxmlformats.org/officeDocument/2006/relationships/hyperlink" Target="http://www.boomingencore.com" TargetMode="External"/><Relationship Id="rId255" Type="http://schemas.openxmlformats.org/officeDocument/2006/relationships/hyperlink" Target="https://brainlessblogger.net/" TargetMode="External"/><Relationship Id="rId254" Type="http://schemas.openxmlformats.org/officeDocument/2006/relationships/hyperlink" Target="https://brainlessblogger.net/2020/01/16/chronic-stress-and-the-body/" TargetMode="External"/><Relationship Id="rId4029" Type="http://schemas.openxmlformats.org/officeDocument/2006/relationships/hyperlink" Target="http://www.seniorcarecentral.com" TargetMode="External"/><Relationship Id="rId293" Type="http://schemas.openxmlformats.org/officeDocument/2006/relationships/hyperlink" Target="https://youtu.be/Lx5GOkkL7WM" TargetMode="External"/><Relationship Id="rId292" Type="http://schemas.openxmlformats.org/officeDocument/2006/relationships/hyperlink" Target="https://askahousecleaner.com" TargetMode="External"/><Relationship Id="rId291" Type="http://schemas.openxmlformats.org/officeDocument/2006/relationships/hyperlink" Target="https://pbs.twimg.com/media/EOk_MdQWsAA-_jA.jpg" TargetMode="External"/><Relationship Id="rId290" Type="http://schemas.openxmlformats.org/officeDocument/2006/relationships/hyperlink" Target="https://housecleaning360.com" TargetMode="External"/><Relationship Id="rId4020" Type="http://schemas.openxmlformats.org/officeDocument/2006/relationships/hyperlink" Target="https://pbs.twimg.com/media/EOQUqUWXsAEnm3t.jpg" TargetMode="External"/><Relationship Id="rId286" Type="http://schemas.openxmlformats.org/officeDocument/2006/relationships/hyperlink" Target="http://ti.me/2kIDaj8" TargetMode="External"/><Relationship Id="rId4022" Type="http://schemas.openxmlformats.org/officeDocument/2006/relationships/hyperlink" Target="https://pbs.twimg.com/media/EOQTrklUUAAwb8U.png" TargetMode="External"/><Relationship Id="rId285" Type="http://schemas.openxmlformats.org/officeDocument/2006/relationships/hyperlink" Target="https://turnovercleaningtips.com" TargetMode="External"/><Relationship Id="rId4021" Type="http://schemas.openxmlformats.org/officeDocument/2006/relationships/hyperlink" Target="http://debtreliefnewyorker.com/debtconsolidation/portfolio/financial-freedom" TargetMode="External"/><Relationship Id="rId284" Type="http://schemas.openxmlformats.org/officeDocument/2006/relationships/hyperlink" Target="https://pbs.twimg.com/media/EOk_neXX4AAlmU-.jpg" TargetMode="External"/><Relationship Id="rId4024" Type="http://schemas.openxmlformats.org/officeDocument/2006/relationships/hyperlink" Target="http://pic.twitter.com/gVDrDvHfAY" TargetMode="External"/><Relationship Id="rId283" Type="http://schemas.openxmlformats.org/officeDocument/2006/relationships/hyperlink" Target="https://mokokoma.tumblr.com/aphorisms" TargetMode="External"/><Relationship Id="rId4023" Type="http://schemas.openxmlformats.org/officeDocument/2006/relationships/hyperlink" Target="https://debtreliefnewyorker.com" TargetMode="External"/><Relationship Id="rId4026" Type="http://schemas.openxmlformats.org/officeDocument/2006/relationships/hyperlink" Target="https://www.psychologytoday.com/us/blog/the-resilient-brain/201701/your-health-can-be-affected-the-holiday-rush" TargetMode="External"/><Relationship Id="rId289" Type="http://schemas.openxmlformats.org/officeDocument/2006/relationships/hyperlink" Target="https://pbs.twimg.com/media/EOk_Zq_X4AE3AyI.jpg" TargetMode="External"/><Relationship Id="rId4025" Type="http://schemas.openxmlformats.org/officeDocument/2006/relationships/hyperlink" Target="http://www.jennyrapp.com" TargetMode="External"/><Relationship Id="rId288" Type="http://schemas.openxmlformats.org/officeDocument/2006/relationships/hyperlink" Target="http://anthonyclarkmusic.com" TargetMode="External"/><Relationship Id="rId4028" Type="http://schemas.openxmlformats.org/officeDocument/2006/relationships/hyperlink" Target="https://youtu.be/3rij-Xl93rg" TargetMode="External"/><Relationship Id="rId287" Type="http://schemas.openxmlformats.org/officeDocument/2006/relationships/hyperlink" Target="https://pbs.twimg.com/media/EOk_m8uW4AAT3jR.jpg" TargetMode="External"/><Relationship Id="rId4027" Type="http://schemas.openxmlformats.org/officeDocument/2006/relationships/hyperlink" Target="http://defyingdepression.com" TargetMode="External"/><Relationship Id="rId4019" Type="http://schemas.openxmlformats.org/officeDocument/2006/relationships/hyperlink" Target="http://bit.ly/2Qg6evK" TargetMode="External"/><Relationship Id="rId4018" Type="http://schemas.openxmlformats.org/officeDocument/2006/relationships/hyperlink" Target="http://economictimes.indiatimes.com/panache" TargetMode="External"/><Relationship Id="rId282" Type="http://schemas.openxmlformats.org/officeDocument/2006/relationships/hyperlink" Target="https://pbs.twimg.com/media/EOlAbndWoAAI5Ma.jpg" TargetMode="External"/><Relationship Id="rId281" Type="http://schemas.openxmlformats.org/officeDocument/2006/relationships/hyperlink" Target="https://mokokoma.tumblr.com/aphorisms" TargetMode="External"/><Relationship Id="rId280" Type="http://schemas.openxmlformats.org/officeDocument/2006/relationships/hyperlink" Target="http://www.learningandthebrain.com" TargetMode="External"/><Relationship Id="rId275" Type="http://schemas.openxmlformats.org/officeDocument/2006/relationships/hyperlink" Target="http://www.tonibernhard.com" TargetMode="External"/><Relationship Id="rId4011" Type="http://schemas.openxmlformats.org/officeDocument/2006/relationships/hyperlink" Target="http://www.ciphr.com" TargetMode="External"/><Relationship Id="rId274" Type="http://schemas.openxmlformats.org/officeDocument/2006/relationships/hyperlink" Target="https://www.psychologytoday.com/blog/turning-straw-gold/202001/how-help-manage-your-everyday-fears" TargetMode="External"/><Relationship Id="rId4010" Type="http://schemas.openxmlformats.org/officeDocument/2006/relationships/hyperlink" Target="https://pbs.twimg.com/media/EOQV7L5WsAEdyRk.jpg" TargetMode="External"/><Relationship Id="rId273" Type="http://schemas.openxmlformats.org/officeDocument/2006/relationships/hyperlink" Target="http://bnwaccountants.co.uk/" TargetMode="External"/><Relationship Id="rId4013" Type="http://schemas.openxmlformats.org/officeDocument/2006/relationships/hyperlink" Target="http://www.linkedin.com/in/michaelagreer" TargetMode="External"/><Relationship Id="rId272" Type="http://schemas.openxmlformats.org/officeDocument/2006/relationships/hyperlink" Target="https://pbs.twimg.com/media/EOlE-xsXUAIDlis.jpg" TargetMode="External"/><Relationship Id="rId4012" Type="http://schemas.openxmlformats.org/officeDocument/2006/relationships/hyperlink" Target="https://pbs.twimg.com/media/EOQVyz7UwAIfkgX.jpg" TargetMode="External"/><Relationship Id="rId279" Type="http://schemas.openxmlformats.org/officeDocument/2006/relationships/hyperlink" Target="https://pbs.twimg.com/media/EOlAr_MWoAAiU0n.jpg" TargetMode="External"/><Relationship Id="rId4015" Type="http://schemas.openxmlformats.org/officeDocument/2006/relationships/hyperlink" Target="https://pbs.twimg.com/media/EOQVx9RUUAEaDWr.png" TargetMode="External"/><Relationship Id="rId278" Type="http://schemas.openxmlformats.org/officeDocument/2006/relationships/hyperlink" Target="http://ow.ly/Y4PT50xYTFC" TargetMode="External"/><Relationship Id="rId4014" Type="http://schemas.openxmlformats.org/officeDocument/2006/relationships/hyperlink" Target="https://goo.gl/1LC5mr" TargetMode="External"/><Relationship Id="rId277" Type="http://schemas.openxmlformats.org/officeDocument/2006/relationships/hyperlink" Target="http://jamesnussbaumer.com/my-blog/" TargetMode="External"/><Relationship Id="rId4017" Type="http://schemas.openxmlformats.org/officeDocument/2006/relationships/hyperlink" Target="http://bit.ly/2NrYiqJ" TargetMode="External"/><Relationship Id="rId276" Type="http://schemas.openxmlformats.org/officeDocument/2006/relationships/hyperlink" Target="https://buff.ly/2JJJsZa" TargetMode="External"/><Relationship Id="rId4016" Type="http://schemas.openxmlformats.org/officeDocument/2006/relationships/hyperlink" Target="http://www.lisakaplin.com" TargetMode="External"/><Relationship Id="rId1851" Type="http://schemas.openxmlformats.org/officeDocument/2006/relationships/hyperlink" Target="https://lttr.ai/MO0m" TargetMode="External"/><Relationship Id="rId1852" Type="http://schemas.openxmlformats.org/officeDocument/2006/relationships/hyperlink" Target="https://pbs.twimg.com/media/EObT2eDWAAEZH2Y.jpg" TargetMode="External"/><Relationship Id="rId1853" Type="http://schemas.openxmlformats.org/officeDocument/2006/relationships/hyperlink" Target="http://www.melissabenaroya.com" TargetMode="External"/><Relationship Id="rId1854" Type="http://schemas.openxmlformats.org/officeDocument/2006/relationships/hyperlink" Target="http://ow.ly/p9z050xxytq" TargetMode="External"/><Relationship Id="rId1855" Type="http://schemas.openxmlformats.org/officeDocument/2006/relationships/hyperlink" Target="https://pbs.twimg.com/media/EObTRyOX4AEEe-I.jpg" TargetMode="External"/><Relationship Id="rId1856" Type="http://schemas.openxmlformats.org/officeDocument/2006/relationships/hyperlink" Target="https://arkcrystals.com/" TargetMode="External"/><Relationship Id="rId1857" Type="http://schemas.openxmlformats.org/officeDocument/2006/relationships/hyperlink" Target="https://buff.ly/35Pz247" TargetMode="External"/><Relationship Id="rId1858" Type="http://schemas.openxmlformats.org/officeDocument/2006/relationships/hyperlink" Target="https://pbs.twimg.com/media/EObTCG4WAAEhKGq.jpg" TargetMode="External"/><Relationship Id="rId1859" Type="http://schemas.openxmlformats.org/officeDocument/2006/relationships/hyperlink" Target="https://www.linkedin.com/posts/jacquelinehawk_highperformance-recovery-soaring-activity-6623656075747045378-hWtb" TargetMode="External"/><Relationship Id="rId1850" Type="http://schemas.openxmlformats.org/officeDocument/2006/relationships/hyperlink" Target="http://www.kimcan.ca" TargetMode="External"/><Relationship Id="rId1840" Type="http://schemas.openxmlformats.org/officeDocument/2006/relationships/hyperlink" Target="https://pbs.twimg.com/media/EObWsv7XsAAWYva.jpg" TargetMode="External"/><Relationship Id="rId1841" Type="http://schemas.openxmlformats.org/officeDocument/2006/relationships/hyperlink" Target="http://www.bygahealthcareinsurance.com" TargetMode="External"/><Relationship Id="rId1842" Type="http://schemas.openxmlformats.org/officeDocument/2006/relationships/hyperlink" Target="http://www.moderntherapy.online" TargetMode="External"/><Relationship Id="rId1843" Type="http://schemas.openxmlformats.org/officeDocument/2006/relationships/hyperlink" Target="https://buff.ly/2Ox4DlW" TargetMode="External"/><Relationship Id="rId1844" Type="http://schemas.openxmlformats.org/officeDocument/2006/relationships/hyperlink" Target="https://brianthomas.me" TargetMode="External"/><Relationship Id="rId1845" Type="http://schemas.openxmlformats.org/officeDocument/2006/relationships/hyperlink" Target="https://go.nature.com/2LimSJG" TargetMode="External"/><Relationship Id="rId1846" Type="http://schemas.openxmlformats.org/officeDocument/2006/relationships/hyperlink" Target="https://pbs.twimg.com/media/EObUbV9XsAgdy3-.jpg" TargetMode="External"/><Relationship Id="rId1847" Type="http://schemas.openxmlformats.org/officeDocument/2006/relationships/hyperlink" Target="http://www.nature.com/nrendo" TargetMode="External"/><Relationship Id="rId1848" Type="http://schemas.openxmlformats.org/officeDocument/2006/relationships/hyperlink" Target="http://kimcan.ca" TargetMode="External"/><Relationship Id="rId1849" Type="http://schemas.openxmlformats.org/officeDocument/2006/relationships/hyperlink" Target="https://pbs.twimg.com/media/EObUN3AXkAA15BQ.jpg" TargetMode="External"/><Relationship Id="rId1873" Type="http://schemas.openxmlformats.org/officeDocument/2006/relationships/hyperlink" Target="http://ow.ly/HbQu50xWFUT" TargetMode="External"/><Relationship Id="rId1874" Type="http://schemas.openxmlformats.org/officeDocument/2006/relationships/hyperlink" Target="https://pbs.twimg.com/media/EObMaQIW4AIMaVr.jpg" TargetMode="External"/><Relationship Id="rId1875" Type="http://schemas.openxmlformats.org/officeDocument/2006/relationships/hyperlink" Target="http://www.synergyneurofeedback.com" TargetMode="External"/><Relationship Id="rId4901" Type="http://schemas.openxmlformats.org/officeDocument/2006/relationships/hyperlink" Target="https://www.hempvet.pet/" TargetMode="External"/><Relationship Id="rId1876" Type="http://schemas.openxmlformats.org/officeDocument/2006/relationships/hyperlink" Target="http://www.teentips.co.uk" TargetMode="External"/><Relationship Id="rId4900" Type="http://schemas.openxmlformats.org/officeDocument/2006/relationships/hyperlink" Target="https://www.facebook.com/profile.php?id=100009671628728" TargetMode="External"/><Relationship Id="rId1877" Type="http://schemas.openxmlformats.org/officeDocument/2006/relationships/hyperlink" Target="https://pbs.twimg.com/media/EObL9fTXUAEylhJ.jpg" TargetMode="External"/><Relationship Id="rId4903" Type="http://schemas.openxmlformats.org/officeDocument/2006/relationships/hyperlink" Target="https://www.hempvet.pet" TargetMode="External"/><Relationship Id="rId1878" Type="http://schemas.openxmlformats.org/officeDocument/2006/relationships/hyperlink" Target="http://www.neuroflowsolution.com/" TargetMode="External"/><Relationship Id="rId4902" Type="http://schemas.openxmlformats.org/officeDocument/2006/relationships/hyperlink" Target="https://pbs.twimg.com/media/EOLeO19WoAYy32U.jpg" TargetMode="External"/><Relationship Id="rId1879" Type="http://schemas.openxmlformats.org/officeDocument/2006/relationships/hyperlink" Target="http://bit.ly/2NOfMNw" TargetMode="External"/><Relationship Id="rId4905" Type="http://schemas.openxmlformats.org/officeDocument/2006/relationships/hyperlink" Target="http://www.leightremaine.com" TargetMode="External"/><Relationship Id="rId4904" Type="http://schemas.openxmlformats.org/officeDocument/2006/relationships/hyperlink" Target="https://www.youtube.com/watch?v=3YpwmvYsDwk&amp;list=PLPC_upIFNnjxMAiW8C-7WxCOYn3KitgYL&amp;index=4" TargetMode="External"/><Relationship Id="rId4907" Type="http://schemas.openxmlformats.org/officeDocument/2006/relationships/hyperlink" Target="https://pbs.twimg.com/media/EOLeMrZX4AAH4oq.jpg" TargetMode="External"/><Relationship Id="rId4906" Type="http://schemas.openxmlformats.org/officeDocument/2006/relationships/hyperlink" Target="https://bit.ly/2Njogg0" TargetMode="External"/><Relationship Id="rId4909" Type="http://schemas.openxmlformats.org/officeDocument/2006/relationships/hyperlink" Target="https://pbs.twimg.com/media/EOLeCCtXUAA87AM.jpg" TargetMode="External"/><Relationship Id="rId4908" Type="http://schemas.openxmlformats.org/officeDocument/2006/relationships/hyperlink" Target="https://www.dailymail.co.uk/health/article-7882143/Cannabis-calm-short-circuiting-anxiety-brain.html" TargetMode="External"/><Relationship Id="rId1870" Type="http://schemas.openxmlformats.org/officeDocument/2006/relationships/hyperlink" Target="https://buff.ly/2RSv7Aa" TargetMode="External"/><Relationship Id="rId1871" Type="http://schemas.openxmlformats.org/officeDocument/2006/relationships/hyperlink" Target="https://brianthomas.me" TargetMode="External"/><Relationship Id="rId1872" Type="http://schemas.openxmlformats.org/officeDocument/2006/relationships/hyperlink" Target="https://apple.co/2NteYki" TargetMode="External"/><Relationship Id="rId1862" Type="http://schemas.openxmlformats.org/officeDocument/2006/relationships/hyperlink" Target="http://www.costartupandgo.com" TargetMode="External"/><Relationship Id="rId1863" Type="http://schemas.openxmlformats.org/officeDocument/2006/relationships/hyperlink" Target="http://bit.ly/37FqQou" TargetMode="External"/><Relationship Id="rId1864" Type="http://schemas.openxmlformats.org/officeDocument/2006/relationships/hyperlink" Target="https://pbs.twimg.com/media/EObSMC7WkAEQQio.jpg" TargetMode="External"/><Relationship Id="rId1865" Type="http://schemas.openxmlformats.org/officeDocument/2006/relationships/hyperlink" Target="http://www.dinoeliadis.com" TargetMode="External"/><Relationship Id="rId1866" Type="http://schemas.openxmlformats.org/officeDocument/2006/relationships/hyperlink" Target="http://bit.ly/2ImhnZf" TargetMode="External"/><Relationship Id="rId1867" Type="http://schemas.openxmlformats.org/officeDocument/2006/relationships/hyperlink" Target="https://pbs.twimg.com/media/EObSJPFU8AA3G3g.jpg" TargetMode="External"/><Relationship Id="rId1868" Type="http://schemas.openxmlformats.org/officeDocument/2006/relationships/hyperlink" Target="http://www.office-massage.co.uk" TargetMode="External"/><Relationship Id="rId1869" Type="http://schemas.openxmlformats.org/officeDocument/2006/relationships/hyperlink" Target="http://www.fsunion.org" TargetMode="External"/><Relationship Id="rId1860" Type="http://schemas.openxmlformats.org/officeDocument/2006/relationships/hyperlink" Target="http://www.soarcc.com" TargetMode="External"/><Relationship Id="rId1861" Type="http://schemas.openxmlformats.org/officeDocument/2006/relationships/hyperlink" Target="https://www.influencive.com/5-ways-entrepreneurs-can-overcome-anxiety-and-stress/?utm_campaign=coschedule&amp;utm_source=twitter&amp;utm_medium=Influencive&amp;utm_content=5%20Ways%20Entrepreneurs%20Can%20Overcome%20Anxiety%20and%20Stress" TargetMode="External"/><Relationship Id="rId1810" Type="http://schemas.openxmlformats.org/officeDocument/2006/relationships/hyperlink" Target="https://radiomd.com/healthy-talk/item/27162-mindfulness-meditation-made-easy" TargetMode="External"/><Relationship Id="rId1811" Type="http://schemas.openxmlformats.org/officeDocument/2006/relationships/hyperlink" Target="http://www.mindfulnessmeditationinstitute.org/" TargetMode="External"/><Relationship Id="rId1812" Type="http://schemas.openxmlformats.org/officeDocument/2006/relationships/hyperlink" Target="https://ygemfootball.com/2019/01/11/y-gem-insider-matthew-maksimovic-caerphilly-athletic/" TargetMode="External"/><Relationship Id="rId1813" Type="http://schemas.openxmlformats.org/officeDocument/2006/relationships/hyperlink" Target="https://pbs.twimg.com/media/EOba1M1WkAE8jmU.jpg" TargetMode="External"/><Relationship Id="rId1814" Type="http://schemas.openxmlformats.org/officeDocument/2006/relationships/hyperlink" Target="http://www.diy-hypno.com" TargetMode="External"/><Relationship Id="rId1815" Type="http://schemas.openxmlformats.org/officeDocument/2006/relationships/hyperlink" Target="https://gleeyoga.com/gleeyoga-anti-aging.php" TargetMode="External"/><Relationship Id="rId1816" Type="http://schemas.openxmlformats.org/officeDocument/2006/relationships/hyperlink" Target="https://pbs.twimg.com/media/EOba0-qUEAAuQvn.png" TargetMode="External"/><Relationship Id="rId1817" Type="http://schemas.openxmlformats.org/officeDocument/2006/relationships/hyperlink" Target="https://gleeyoga.com" TargetMode="External"/><Relationship Id="rId1818" Type="http://schemas.openxmlformats.org/officeDocument/2006/relationships/hyperlink" Target="https://youtu.be/M8uC8bbXBZs" TargetMode="External"/><Relationship Id="rId1819" Type="http://schemas.openxmlformats.org/officeDocument/2006/relationships/hyperlink" Target="http://www.gettinunbusybook.com" TargetMode="External"/><Relationship Id="rId4080" Type="http://schemas.openxmlformats.org/officeDocument/2006/relationships/hyperlink" Target="https://pbs.twimg.com/media/EOQEwbYWkAEr8gz.jpg" TargetMode="External"/><Relationship Id="rId4082" Type="http://schemas.openxmlformats.org/officeDocument/2006/relationships/hyperlink" Target="https://rplg.co/d07bc840" TargetMode="External"/><Relationship Id="rId4081" Type="http://schemas.openxmlformats.org/officeDocument/2006/relationships/hyperlink" Target="http://mytripsvel.com" TargetMode="External"/><Relationship Id="rId4084" Type="http://schemas.openxmlformats.org/officeDocument/2006/relationships/hyperlink" Target="https://www.gosetmind.com/" TargetMode="External"/><Relationship Id="rId4083" Type="http://schemas.openxmlformats.org/officeDocument/2006/relationships/hyperlink" Target="https://pbs.twimg.com/media/EOQDFg9XsAEoyLr.jpg" TargetMode="External"/><Relationship Id="rId4086" Type="http://schemas.openxmlformats.org/officeDocument/2006/relationships/hyperlink" Target="https://bit.ly/2FN2Bst" TargetMode="External"/><Relationship Id="rId4085" Type="http://schemas.openxmlformats.org/officeDocument/2006/relationships/hyperlink" Target="http://lesleyrunningstuff.blogspot.com/" TargetMode="External"/><Relationship Id="rId4088" Type="http://schemas.openxmlformats.org/officeDocument/2006/relationships/hyperlink" Target="http://eastspace.org.uk" TargetMode="External"/><Relationship Id="rId4087" Type="http://schemas.openxmlformats.org/officeDocument/2006/relationships/hyperlink" Target="https://pbs.twimg.com/media/EOQCcRyW4AYO-sy.jpg" TargetMode="External"/><Relationship Id="rId4089" Type="http://schemas.openxmlformats.org/officeDocument/2006/relationships/hyperlink" Target="http://freewellnessplatform.com" TargetMode="External"/><Relationship Id="rId1800" Type="http://schemas.openxmlformats.org/officeDocument/2006/relationships/hyperlink" Target="http://www.espritjp.com" TargetMode="External"/><Relationship Id="rId1801" Type="http://schemas.openxmlformats.org/officeDocument/2006/relationships/hyperlink" Target="http://ow.ly/WcJ950xXv9k" TargetMode="External"/><Relationship Id="rId1802" Type="http://schemas.openxmlformats.org/officeDocument/2006/relationships/hyperlink" Target="http://www.linktr.ee/andytallentmusic" TargetMode="External"/><Relationship Id="rId1803" Type="http://schemas.openxmlformats.org/officeDocument/2006/relationships/hyperlink" Target="https://pbs.twimg.com/media/EObh0kqWsAoPIJd.jpg" TargetMode="External"/><Relationship Id="rId1804" Type="http://schemas.openxmlformats.org/officeDocument/2006/relationships/hyperlink" Target="http://bit.ly/2S6quDh?utm_campaign=coschedule&amp;utm_source=twitter&amp;utm_medium=hanna_higher" TargetMode="External"/><Relationship Id="rId1805" Type="http://schemas.openxmlformats.org/officeDocument/2006/relationships/hyperlink" Target="http://www.charleshannahigher.com" TargetMode="External"/><Relationship Id="rId1806" Type="http://schemas.openxmlformats.org/officeDocument/2006/relationships/hyperlink" Target="http://hrnews.co.uk/8-ways-to-eliminate-workplace-stress/" TargetMode="External"/><Relationship Id="rId1807" Type="http://schemas.openxmlformats.org/officeDocument/2006/relationships/hyperlink" Target="http://oakwoodtraining.co.uk/" TargetMode="External"/><Relationship Id="rId1808" Type="http://schemas.openxmlformats.org/officeDocument/2006/relationships/hyperlink" Target="http://bit.ly/3akFljN" TargetMode="External"/><Relationship Id="rId1809" Type="http://schemas.openxmlformats.org/officeDocument/2006/relationships/hyperlink" Target="http://www.threeadventure.com" TargetMode="External"/><Relationship Id="rId4071" Type="http://schemas.openxmlformats.org/officeDocument/2006/relationships/hyperlink" Target="http://www.umassmed.edu/psychiatry" TargetMode="External"/><Relationship Id="rId4070" Type="http://schemas.openxmlformats.org/officeDocument/2006/relationships/hyperlink" Target="https://pbs.twimg.com/media/EOQGYUWX4AArkmq.jpg" TargetMode="External"/><Relationship Id="rId4073" Type="http://schemas.openxmlformats.org/officeDocument/2006/relationships/hyperlink" Target="http://pic.twitter.com/JNCJ4oi7se" TargetMode="External"/><Relationship Id="rId4072" Type="http://schemas.openxmlformats.org/officeDocument/2006/relationships/hyperlink" Target="https://inservice.ascd.org/three-teaching-mindsets-to-let-go-of-in-2020/" TargetMode="External"/><Relationship Id="rId4075" Type="http://schemas.openxmlformats.org/officeDocument/2006/relationships/hyperlink" Target="http://systemstrategiesconsulting.com" TargetMode="External"/><Relationship Id="rId4074" Type="http://schemas.openxmlformats.org/officeDocument/2006/relationships/hyperlink" Target="http://affectiveliving.com" TargetMode="External"/><Relationship Id="rId4077" Type="http://schemas.openxmlformats.org/officeDocument/2006/relationships/hyperlink" Target="https://pbs.twimg.com/media/EOQFOP3W4AIfiHk.jpg" TargetMode="External"/><Relationship Id="rId4076" Type="http://schemas.openxmlformats.org/officeDocument/2006/relationships/hyperlink" Target="https://edgenies.com/5-must-have-skills-required-for-sales-professionals/" TargetMode="External"/><Relationship Id="rId4079" Type="http://schemas.openxmlformats.org/officeDocument/2006/relationships/hyperlink" Target="http://www.mytripsvel.com/travel-anxiety/" TargetMode="External"/><Relationship Id="rId4078" Type="http://schemas.openxmlformats.org/officeDocument/2006/relationships/hyperlink" Target="https://edgenies.com" TargetMode="External"/><Relationship Id="rId1830" Type="http://schemas.openxmlformats.org/officeDocument/2006/relationships/hyperlink" Target="https://pbs.twimg.com/media/EObZKXKWAAATX7Q.jpg" TargetMode="External"/><Relationship Id="rId1831" Type="http://schemas.openxmlformats.org/officeDocument/2006/relationships/hyperlink" Target="http://www.uniquesleep.ca" TargetMode="External"/><Relationship Id="rId1832" Type="http://schemas.openxmlformats.org/officeDocument/2006/relationships/hyperlink" Target="https://buff.ly/2tzGSS7" TargetMode="External"/><Relationship Id="rId1833" Type="http://schemas.openxmlformats.org/officeDocument/2006/relationships/hyperlink" Target="https://pbs.twimg.com/media/EObZDZ9WsAITdKl.jpg" TargetMode="External"/><Relationship Id="rId1834" Type="http://schemas.openxmlformats.org/officeDocument/2006/relationships/hyperlink" Target="http://ksquaredenterprises.com" TargetMode="External"/><Relationship Id="rId1835" Type="http://schemas.openxmlformats.org/officeDocument/2006/relationships/hyperlink" Target="http://bit.ly/ChngMd" TargetMode="External"/><Relationship Id="rId1836" Type="http://schemas.openxmlformats.org/officeDocument/2006/relationships/hyperlink" Target="http://www.squidoo.com/shortcuts-to-happiness-lensography-" TargetMode="External"/><Relationship Id="rId1837" Type="http://schemas.openxmlformats.org/officeDocument/2006/relationships/hyperlink" Target="https://buff.ly/2ThAn0O" TargetMode="External"/><Relationship Id="rId1838" Type="http://schemas.openxmlformats.org/officeDocument/2006/relationships/hyperlink" Target="https://linktr.ee/lauraevans_nlp" TargetMode="External"/><Relationship Id="rId1839" Type="http://schemas.openxmlformats.org/officeDocument/2006/relationships/hyperlink" Target="https://buff.ly/30dbFA4" TargetMode="External"/><Relationship Id="rId1820" Type="http://schemas.openxmlformats.org/officeDocument/2006/relationships/hyperlink" Target="https://www.pdhealth.mil/news/blog/helping-military-teams-manage-acute-stress-when-it-matters-most" TargetMode="External"/><Relationship Id="rId1821" Type="http://schemas.openxmlformats.org/officeDocument/2006/relationships/hyperlink" Target="https://pbs.twimg.com/media/EObajGbWAAAtkFW.jpg" TargetMode="External"/><Relationship Id="rId1822" Type="http://schemas.openxmlformats.org/officeDocument/2006/relationships/hyperlink" Target="http://www.pdhealth.mil" TargetMode="External"/><Relationship Id="rId1823" Type="http://schemas.openxmlformats.org/officeDocument/2006/relationships/hyperlink" Target="https://pbs.twimg.com/media/EObZI8rX4AIfAqQ.jpg" TargetMode="External"/><Relationship Id="rId1824" Type="http://schemas.openxmlformats.org/officeDocument/2006/relationships/hyperlink" Target="http://www.servantgroup.org" TargetMode="External"/><Relationship Id="rId1825" Type="http://schemas.openxmlformats.org/officeDocument/2006/relationships/hyperlink" Target="https://pbs.twimg.com/media/EObZR78W4A8M28b.jpg" TargetMode="External"/><Relationship Id="rId1826" Type="http://schemas.openxmlformats.org/officeDocument/2006/relationships/hyperlink" Target="http://www.mindspacemayo.ie" TargetMode="External"/><Relationship Id="rId1827" Type="http://schemas.openxmlformats.org/officeDocument/2006/relationships/hyperlink" Target="https://pbs.twimg.com/media/EObZLI-XUAAqon8.jpg" TargetMode="External"/><Relationship Id="rId1828" Type="http://schemas.openxmlformats.org/officeDocument/2006/relationships/hyperlink" Target="http://www.rocmassage.com" TargetMode="External"/><Relationship Id="rId1829" Type="http://schemas.openxmlformats.org/officeDocument/2006/relationships/hyperlink" Target="http://shoplocal.ly/45XiP" TargetMode="External"/><Relationship Id="rId4091" Type="http://schemas.openxmlformats.org/officeDocument/2006/relationships/hyperlink" Target="http://www.freewellnessplatform.com" TargetMode="External"/><Relationship Id="rId4090" Type="http://schemas.openxmlformats.org/officeDocument/2006/relationships/hyperlink" Target="https://pbs.twimg.com/media/EOQBavRWsAEUwkp.jpg" TargetMode="External"/><Relationship Id="rId4093" Type="http://schemas.openxmlformats.org/officeDocument/2006/relationships/hyperlink" Target="http://www.brightarrowcoaching.com" TargetMode="External"/><Relationship Id="rId4092" Type="http://schemas.openxmlformats.org/officeDocument/2006/relationships/hyperlink" Target="http://bit.ly/2FrUBwI" TargetMode="External"/><Relationship Id="rId4095" Type="http://schemas.openxmlformats.org/officeDocument/2006/relationships/hyperlink" Target="http://wellness360.co" TargetMode="External"/><Relationship Id="rId4094" Type="http://schemas.openxmlformats.org/officeDocument/2006/relationships/hyperlink" Target="https://pbs.twimg.com/media/EOQBTNSXkAAmQIU.jpg" TargetMode="External"/><Relationship Id="rId4097" Type="http://schemas.openxmlformats.org/officeDocument/2006/relationships/hyperlink" Target="https://pbs.twimg.com/media/EOQBRdPWkAAb86U.jpg" TargetMode="External"/><Relationship Id="rId4096" Type="http://schemas.openxmlformats.org/officeDocument/2006/relationships/hyperlink" Target="https://buff.ly/2Jp9i5a" TargetMode="External"/><Relationship Id="rId4099" Type="http://schemas.openxmlformats.org/officeDocument/2006/relationships/hyperlink" Target="https://pbs.twimg.com/media/EOQA_bQX4AAuubL.jpg" TargetMode="External"/><Relationship Id="rId4098" Type="http://schemas.openxmlformats.org/officeDocument/2006/relationships/hyperlink" Target="https://vimeo.com/380529977" TargetMode="External"/><Relationship Id="rId2302" Type="http://schemas.openxmlformats.org/officeDocument/2006/relationships/hyperlink" Target="http://ow.ly/5Xj730q9WNV" TargetMode="External"/><Relationship Id="rId3634" Type="http://schemas.openxmlformats.org/officeDocument/2006/relationships/hyperlink" Target="https://wp.me/sbAtLi-juggling" TargetMode="External"/><Relationship Id="rId4965" Type="http://schemas.openxmlformats.org/officeDocument/2006/relationships/hyperlink" Target="https://pbs.twimg.com/media/EOLQ_r1XsAMuSkz.jpg" TargetMode="External"/><Relationship Id="rId2303" Type="http://schemas.openxmlformats.org/officeDocument/2006/relationships/hyperlink" Target="http://friesenperformance.com" TargetMode="External"/><Relationship Id="rId3633" Type="http://schemas.openxmlformats.org/officeDocument/2006/relationships/hyperlink" Target="https://www.instagram.com/p/B7UZJ1JA1-l/?igshid=1eo09c0hwa17s" TargetMode="External"/><Relationship Id="rId4964" Type="http://schemas.openxmlformats.org/officeDocument/2006/relationships/hyperlink" Target="https://www.clinicalhypnotherapy-cardiff.co.uk" TargetMode="External"/><Relationship Id="rId2304" Type="http://schemas.openxmlformats.org/officeDocument/2006/relationships/hyperlink" Target="http://www.m2m-businesssolutions.com" TargetMode="External"/><Relationship Id="rId3636" Type="http://schemas.openxmlformats.org/officeDocument/2006/relationships/hyperlink" Target="https://www.ebr.com.au/how-to-improve-employees-satisfaction/" TargetMode="External"/><Relationship Id="rId4967" Type="http://schemas.openxmlformats.org/officeDocument/2006/relationships/hyperlink" Target="https://pbs.twimg.com/media/EOLPXYpUEAAvOg5.jpg" TargetMode="External"/><Relationship Id="rId2305" Type="http://schemas.openxmlformats.org/officeDocument/2006/relationships/hyperlink" Target="https://www.instagram.com/p/B7YXjuanRyn/?igshid=18og82dfdokpb" TargetMode="External"/><Relationship Id="rId3635" Type="http://schemas.openxmlformats.org/officeDocument/2006/relationships/hyperlink" Target="http://socialworkgeekgirl.wordpress.com" TargetMode="External"/><Relationship Id="rId4966" Type="http://schemas.openxmlformats.org/officeDocument/2006/relationships/hyperlink" Target="http://www.hawkshield.co.uk" TargetMode="External"/><Relationship Id="rId2306" Type="http://schemas.openxmlformats.org/officeDocument/2006/relationships/hyperlink" Target="http://www.barashgroup.com" TargetMode="External"/><Relationship Id="rId3638" Type="http://schemas.openxmlformats.org/officeDocument/2006/relationships/hyperlink" Target="http://www.ebr.com.au" TargetMode="External"/><Relationship Id="rId4969" Type="http://schemas.openxmlformats.org/officeDocument/2006/relationships/hyperlink" Target="https://lttr.ai/MHRP" TargetMode="External"/><Relationship Id="rId2307" Type="http://schemas.openxmlformats.org/officeDocument/2006/relationships/hyperlink" Target="https://pbs.twimg.com/media/EOZycvnW4AERui-.jpg" TargetMode="External"/><Relationship Id="rId3637" Type="http://schemas.openxmlformats.org/officeDocument/2006/relationships/hyperlink" Target="https://pbs.twimg.com/media/EOR15rMWAAAYYXh.jpg" TargetMode="External"/><Relationship Id="rId4968" Type="http://schemas.openxmlformats.org/officeDocument/2006/relationships/hyperlink" Target="http://www.facebook.com/elyseenne.co" TargetMode="External"/><Relationship Id="rId2308" Type="http://schemas.openxmlformats.org/officeDocument/2006/relationships/hyperlink" Target="https://www.discoverhealthfmc.com/about" TargetMode="External"/><Relationship Id="rId2309" Type="http://schemas.openxmlformats.org/officeDocument/2006/relationships/hyperlink" Target="https://www.discoverhealthfmc.com" TargetMode="External"/><Relationship Id="rId3639" Type="http://schemas.openxmlformats.org/officeDocument/2006/relationships/hyperlink" Target="http://www.theherbalgardens.com" TargetMode="External"/><Relationship Id="rId3630" Type="http://schemas.openxmlformats.org/officeDocument/2006/relationships/hyperlink" Target="https://www.news-medical.net/news/20200114/Burnout-linked-to-higher-risk-for-abnormal-heart-rhythm.aspx" TargetMode="External"/><Relationship Id="rId4961" Type="http://schemas.openxmlformats.org/officeDocument/2006/relationships/hyperlink" Target="https://www.theventureout.com" TargetMode="External"/><Relationship Id="rId4960" Type="http://schemas.openxmlformats.org/officeDocument/2006/relationships/hyperlink" Target="https://mailchi.mp/2815f197a6de/venture-out-jan-7-3001841" TargetMode="External"/><Relationship Id="rId2300" Type="http://schemas.openxmlformats.org/officeDocument/2006/relationships/hyperlink" Target="http://ow.ly/5Xj730q9WNV" TargetMode="External"/><Relationship Id="rId3632" Type="http://schemas.openxmlformats.org/officeDocument/2006/relationships/hyperlink" Target="https://www.news-medical.net/" TargetMode="External"/><Relationship Id="rId4963" Type="http://schemas.openxmlformats.org/officeDocument/2006/relationships/hyperlink" Target="https://pbs.twimg.com/media/EOLRYPvX4AInwhy.jpg" TargetMode="External"/><Relationship Id="rId2301" Type="http://schemas.openxmlformats.org/officeDocument/2006/relationships/hyperlink" Target="https://lnkd.in/dbkzZFc" TargetMode="External"/><Relationship Id="rId3631" Type="http://schemas.openxmlformats.org/officeDocument/2006/relationships/hyperlink" Target="https://pbs.twimg.com/media/EOR3HXnXsAAtt60.jpg" TargetMode="External"/><Relationship Id="rId4962" Type="http://schemas.openxmlformats.org/officeDocument/2006/relationships/hyperlink" Target="http://www.clinicalhypnotherapy-cardiff.co.uk/treat-your-phobia-and-fear-in-cardiff/" TargetMode="External"/><Relationship Id="rId3623" Type="http://schemas.openxmlformats.org/officeDocument/2006/relationships/hyperlink" Target="https://pbs.twimg.com/media/EOR86V4XUAAGH91.png" TargetMode="External"/><Relationship Id="rId4954" Type="http://schemas.openxmlformats.org/officeDocument/2006/relationships/hyperlink" Target="http://ow.ly/Hzp350xThHy" TargetMode="External"/><Relationship Id="rId3622" Type="http://schemas.openxmlformats.org/officeDocument/2006/relationships/hyperlink" Target="https://hypnonook.com" TargetMode="External"/><Relationship Id="rId4953" Type="http://schemas.openxmlformats.org/officeDocument/2006/relationships/hyperlink" Target="http://www.cognifit.com" TargetMode="External"/><Relationship Id="rId3625" Type="http://schemas.openxmlformats.org/officeDocument/2006/relationships/hyperlink" Target="https://pbs.twimg.com/media/EOR65lfW4AE4j5L.jpg" TargetMode="External"/><Relationship Id="rId4956" Type="http://schemas.openxmlformats.org/officeDocument/2006/relationships/hyperlink" Target="https://lnkd.in/eKugjV9" TargetMode="External"/><Relationship Id="rId3624" Type="http://schemas.openxmlformats.org/officeDocument/2006/relationships/hyperlink" Target="http://www.cbd-colors.com" TargetMode="External"/><Relationship Id="rId4955" Type="http://schemas.openxmlformats.org/officeDocument/2006/relationships/hyperlink" Target="http://www.pipsy.ch" TargetMode="External"/><Relationship Id="rId3627" Type="http://schemas.openxmlformats.org/officeDocument/2006/relationships/hyperlink" Target="http://happyhands.toys" TargetMode="External"/><Relationship Id="rId4958" Type="http://schemas.openxmlformats.org/officeDocument/2006/relationships/hyperlink" Target="https://pbs.twimg.com/media/EOKo6u3XUAAb8p5.jpg" TargetMode="External"/><Relationship Id="rId3626" Type="http://schemas.openxmlformats.org/officeDocument/2006/relationships/hyperlink" Target="http://bit.ly/2mfYu1r" TargetMode="External"/><Relationship Id="rId4957" Type="http://schemas.openxmlformats.org/officeDocument/2006/relationships/hyperlink" Target="http://www.jeanannlarson.org" TargetMode="External"/><Relationship Id="rId3629" Type="http://schemas.openxmlformats.org/officeDocument/2006/relationships/hyperlink" Target="http://jiyofullest.com" TargetMode="External"/><Relationship Id="rId3628" Type="http://schemas.openxmlformats.org/officeDocument/2006/relationships/hyperlink" Target="https://pbs.twimg.com/media/EOR5U29WsAQN2IY.jpg" TargetMode="External"/><Relationship Id="rId4959" Type="http://schemas.openxmlformats.org/officeDocument/2006/relationships/hyperlink" Target="http://www.wehearyou.co.za/" TargetMode="External"/><Relationship Id="rId4950" Type="http://schemas.openxmlformats.org/officeDocument/2006/relationships/hyperlink" Target="http://pic.twitter.com/N8HEWB0gDG" TargetMode="External"/><Relationship Id="rId3621" Type="http://schemas.openxmlformats.org/officeDocument/2006/relationships/hyperlink" Target="http://www.thedoctorweighsin.com" TargetMode="External"/><Relationship Id="rId4952" Type="http://schemas.openxmlformats.org/officeDocument/2006/relationships/hyperlink" Target="http://ow.ly/9hgx50xJKFc" TargetMode="External"/><Relationship Id="rId3620" Type="http://schemas.openxmlformats.org/officeDocument/2006/relationships/hyperlink" Target="https://pbs.twimg.com/media/EOR89MtXsAAxAvl.jpg" TargetMode="External"/><Relationship Id="rId4951" Type="http://schemas.openxmlformats.org/officeDocument/2006/relationships/hyperlink" Target="http://www.thebusinesshealthgroup.com" TargetMode="External"/><Relationship Id="rId2324" Type="http://schemas.openxmlformats.org/officeDocument/2006/relationships/hyperlink" Target="http://ow.ly/NbNu30q9TAz" TargetMode="External"/><Relationship Id="rId3656" Type="http://schemas.openxmlformats.org/officeDocument/2006/relationships/hyperlink" Target="http://my.sociabble.com/SjHbqXKfdw" TargetMode="External"/><Relationship Id="rId4987" Type="http://schemas.openxmlformats.org/officeDocument/2006/relationships/hyperlink" Target="https://bit.ly/35LdZQh" TargetMode="External"/><Relationship Id="rId2325" Type="http://schemas.openxmlformats.org/officeDocument/2006/relationships/hyperlink" Target="https://www.apa.org/monitor/2020/01/numbers-hurt" TargetMode="External"/><Relationship Id="rId3655" Type="http://schemas.openxmlformats.org/officeDocument/2006/relationships/hyperlink" Target="https://pbs.twimg.com/media/EORulYvU0AAAYfG.jpg" TargetMode="External"/><Relationship Id="rId4986" Type="http://schemas.openxmlformats.org/officeDocument/2006/relationships/hyperlink" Target="https://www.linkedin.com/in/MichaelToebe" TargetMode="External"/><Relationship Id="rId2326" Type="http://schemas.openxmlformats.org/officeDocument/2006/relationships/hyperlink" Target="http://www.drpetemarcelo.org" TargetMode="External"/><Relationship Id="rId3658" Type="http://schemas.openxmlformats.org/officeDocument/2006/relationships/hyperlink" Target="https://www.instagram.com/p/B7UUT4bpVvg/?igshid=qzwn48o0tc03" TargetMode="External"/><Relationship Id="rId4989" Type="http://schemas.openxmlformats.org/officeDocument/2006/relationships/hyperlink" Target="http://www.happygutlife.com" TargetMode="External"/><Relationship Id="rId2327" Type="http://schemas.openxmlformats.org/officeDocument/2006/relationships/hyperlink" Target="https://www.ericshayhoward.com" TargetMode="External"/><Relationship Id="rId3657" Type="http://schemas.openxmlformats.org/officeDocument/2006/relationships/hyperlink" Target="http://linkedin.com/in/michaeltmcgowan" TargetMode="External"/><Relationship Id="rId4988" Type="http://schemas.openxmlformats.org/officeDocument/2006/relationships/hyperlink" Target="https://pbs.twimg.com/media/EOLHGNLXUAAo21K.jpg" TargetMode="External"/><Relationship Id="rId2328" Type="http://schemas.openxmlformats.org/officeDocument/2006/relationships/hyperlink" Target="https://themindsjournal.com/myth-and-danger-of-multitasking/" TargetMode="External"/><Relationship Id="rId2329" Type="http://schemas.openxmlformats.org/officeDocument/2006/relationships/hyperlink" Target="https://medium.com/mind-cafe/common-sense-13a39990f5d8" TargetMode="External"/><Relationship Id="rId3659" Type="http://schemas.openxmlformats.org/officeDocument/2006/relationships/hyperlink" Target="http://www.thestresstherapist.com" TargetMode="External"/><Relationship Id="rId3650" Type="http://schemas.openxmlformats.org/officeDocument/2006/relationships/hyperlink" Target="https://www.medscape.com/viewarticle/923157?src=wnl_edit_tpal&amp;uac=359684DT&amp;impID=2242688&amp;faf=1" TargetMode="External"/><Relationship Id="rId4981" Type="http://schemas.openxmlformats.org/officeDocument/2006/relationships/hyperlink" Target="http://www.franksonnenbergonline.com" TargetMode="External"/><Relationship Id="rId4980" Type="http://schemas.openxmlformats.org/officeDocument/2006/relationships/hyperlink" Target="https://pbs.twimg.com/media/EOLJQSeX0AMhyn1.jpg" TargetMode="External"/><Relationship Id="rId2320" Type="http://schemas.openxmlformats.org/officeDocument/2006/relationships/hyperlink" Target="http://www.lorilanemurphy.ca" TargetMode="External"/><Relationship Id="rId3652" Type="http://schemas.openxmlformats.org/officeDocument/2006/relationships/hyperlink" Target="http://bit.ly/2uQoDsb" TargetMode="External"/><Relationship Id="rId4983" Type="http://schemas.openxmlformats.org/officeDocument/2006/relationships/hyperlink" Target="https://kingsumo.com/g/9agctd/giveaway-january-2020/m869okv" TargetMode="External"/><Relationship Id="rId2321" Type="http://schemas.openxmlformats.org/officeDocument/2006/relationships/hyperlink" Target="https://www.hrmagazine.co.uk/article-details/see-stress-in-the-workplace-differently" TargetMode="External"/><Relationship Id="rId3651" Type="http://schemas.openxmlformats.org/officeDocument/2006/relationships/hyperlink" Target="http://linkedin.com/in/andrew-henreid/" TargetMode="External"/><Relationship Id="rId4982" Type="http://schemas.openxmlformats.org/officeDocument/2006/relationships/hyperlink" Target="http://www.gaynorbullerclinic.co.uk" TargetMode="External"/><Relationship Id="rId2322" Type="http://schemas.openxmlformats.org/officeDocument/2006/relationships/hyperlink" Target="https://pbs.twimg.com/media/EOZuHd2W4AECY_l.jpg" TargetMode="External"/><Relationship Id="rId3654" Type="http://schemas.openxmlformats.org/officeDocument/2006/relationships/hyperlink" Target="https://shor.by/uncrushed" TargetMode="External"/><Relationship Id="rId4985" Type="http://schemas.openxmlformats.org/officeDocument/2006/relationships/hyperlink" Target="http://vforvibes.com" TargetMode="External"/><Relationship Id="rId2323" Type="http://schemas.openxmlformats.org/officeDocument/2006/relationships/hyperlink" Target="http://www.morganparkes.co.uk" TargetMode="External"/><Relationship Id="rId3653" Type="http://schemas.openxmlformats.org/officeDocument/2006/relationships/hyperlink" Target="https://pbs.twimg.com/media/EORvEY8WAAAPwey.jpg" TargetMode="External"/><Relationship Id="rId4984" Type="http://schemas.openxmlformats.org/officeDocument/2006/relationships/hyperlink" Target="https://bit.ly/37po5HA" TargetMode="External"/><Relationship Id="rId2313" Type="http://schemas.openxmlformats.org/officeDocument/2006/relationships/hyperlink" Target="https://twitter.com/theyorkshiredad/status/1064960081807228930" TargetMode="External"/><Relationship Id="rId3645" Type="http://schemas.openxmlformats.org/officeDocument/2006/relationships/hyperlink" Target="http://bit.ly/2jjniDI" TargetMode="External"/><Relationship Id="rId4976" Type="http://schemas.openxmlformats.org/officeDocument/2006/relationships/hyperlink" Target="https://pbs.twimg.com/media/EOLK8lJWkAA9Y-E.jpg" TargetMode="External"/><Relationship Id="rId2314" Type="http://schemas.openxmlformats.org/officeDocument/2006/relationships/hyperlink" Target="http://pic.twitter.com/ztJBSAloxL" TargetMode="External"/><Relationship Id="rId3644" Type="http://schemas.openxmlformats.org/officeDocument/2006/relationships/hyperlink" Target="http://www.krtherapies.co.uk" TargetMode="External"/><Relationship Id="rId4975" Type="http://schemas.openxmlformats.org/officeDocument/2006/relationships/hyperlink" Target="http://ow.ly/hdU950xU79U" TargetMode="External"/><Relationship Id="rId2315" Type="http://schemas.openxmlformats.org/officeDocument/2006/relationships/hyperlink" Target="http://www.clearviewminds.com" TargetMode="External"/><Relationship Id="rId3647" Type="http://schemas.openxmlformats.org/officeDocument/2006/relationships/hyperlink" Target="http://anthonyclarkmusic.com" TargetMode="External"/><Relationship Id="rId4978" Type="http://schemas.openxmlformats.org/officeDocument/2006/relationships/hyperlink" Target="https://pbs.twimg.com/media/EN7oRSUX4AER1-8.jpg" TargetMode="External"/><Relationship Id="rId2316" Type="http://schemas.openxmlformats.org/officeDocument/2006/relationships/hyperlink" Target="https://dorothymartin.com/how-to-reduce-stress/" TargetMode="External"/><Relationship Id="rId3646" Type="http://schemas.openxmlformats.org/officeDocument/2006/relationships/hyperlink" Target="https://pbs.twimg.com/media/EOR0SJFX0AMzurw.jpg" TargetMode="External"/><Relationship Id="rId4977" Type="http://schemas.openxmlformats.org/officeDocument/2006/relationships/hyperlink" Target="http://www.divinemercy.edu" TargetMode="External"/><Relationship Id="rId2317" Type="http://schemas.openxmlformats.org/officeDocument/2006/relationships/hyperlink" Target="https://pbs.twimg.com/media/EOZw25nWAAUdykG.jpg" TargetMode="External"/><Relationship Id="rId3649" Type="http://schemas.openxmlformats.org/officeDocument/2006/relationships/hyperlink" Target="https://www.youtube.com/watch?v=iqM0mKCFwcw" TargetMode="External"/><Relationship Id="rId2318" Type="http://schemas.openxmlformats.org/officeDocument/2006/relationships/hyperlink" Target="http://www.dorothymartin.com" TargetMode="External"/><Relationship Id="rId3648" Type="http://schemas.openxmlformats.org/officeDocument/2006/relationships/hyperlink" Target="https://pbs.twimg.com/media/EORz9hfWsAEWHAV.jpg" TargetMode="External"/><Relationship Id="rId4979" Type="http://schemas.openxmlformats.org/officeDocument/2006/relationships/hyperlink" Target="http://bit.ly/2MKS2KB" TargetMode="External"/><Relationship Id="rId2319" Type="http://schemas.openxmlformats.org/officeDocument/2006/relationships/hyperlink" Target="https://www.instagram.com/p/B7YV7NMHHjI/?igshid=19zavfvo2tzul" TargetMode="External"/><Relationship Id="rId4970" Type="http://schemas.openxmlformats.org/officeDocument/2006/relationships/hyperlink" Target="https://pbs.twimg.com/media/EOLN9XMXsAA06e0.jpg" TargetMode="External"/><Relationship Id="rId3641" Type="http://schemas.openxmlformats.org/officeDocument/2006/relationships/hyperlink" Target="https://pbs.twimg.com/media/EOR1j5eXUAA5xcl.jpg" TargetMode="External"/><Relationship Id="rId4972" Type="http://schemas.openxmlformats.org/officeDocument/2006/relationships/hyperlink" Target="https://bit.ly/37Uz4cq" TargetMode="External"/><Relationship Id="rId2310" Type="http://schemas.openxmlformats.org/officeDocument/2006/relationships/hyperlink" Target="http://ow.ly/PpUB50xW0Sx" TargetMode="External"/><Relationship Id="rId3640" Type="http://schemas.openxmlformats.org/officeDocument/2006/relationships/hyperlink" Target="http://ow.ly/vC6H50uzqAx" TargetMode="External"/><Relationship Id="rId4971" Type="http://schemas.openxmlformats.org/officeDocument/2006/relationships/hyperlink" Target="http://www.theanxioustravelers.com" TargetMode="External"/><Relationship Id="rId2311" Type="http://schemas.openxmlformats.org/officeDocument/2006/relationships/hyperlink" Target="https://pbs.twimg.com/media/EOZyDd0W4AAW_kj.jpg" TargetMode="External"/><Relationship Id="rId3643" Type="http://schemas.openxmlformats.org/officeDocument/2006/relationships/hyperlink" Target="https://pbs.twimg.com/media/EOR09rhXsAEgtLf.jpg" TargetMode="External"/><Relationship Id="rId4974" Type="http://schemas.openxmlformats.org/officeDocument/2006/relationships/hyperlink" Target="http://www.emeraldinsight.com" TargetMode="External"/><Relationship Id="rId2312" Type="http://schemas.openxmlformats.org/officeDocument/2006/relationships/hyperlink" Target="https://fullersfamilylaw.com" TargetMode="External"/><Relationship Id="rId3642" Type="http://schemas.openxmlformats.org/officeDocument/2006/relationships/hyperlink" Target="http://www.thedoctorweighsin.com" TargetMode="External"/><Relationship Id="rId4973" Type="http://schemas.openxmlformats.org/officeDocument/2006/relationships/hyperlink" Target="https://www.bbc.co.uk/news/business-51085719" TargetMode="External"/><Relationship Id="rId1895" Type="http://schemas.openxmlformats.org/officeDocument/2006/relationships/hyperlink" Target="https://bit.ly/35Ycsq5" TargetMode="External"/><Relationship Id="rId4921" Type="http://schemas.openxmlformats.org/officeDocument/2006/relationships/hyperlink" Target="http://buildmynetwork.co.uk" TargetMode="External"/><Relationship Id="rId1896" Type="http://schemas.openxmlformats.org/officeDocument/2006/relationships/hyperlink" Target="https://pbs.twimg.com/media/EObHuWZXUAIuVJ6.jpg" TargetMode="External"/><Relationship Id="rId4920" Type="http://schemas.openxmlformats.org/officeDocument/2006/relationships/hyperlink" Target="https://www.buildmynetwork.co.uk/2019/09/25/how-to-deal-with-stress-at-work/" TargetMode="External"/><Relationship Id="rId1897" Type="http://schemas.openxmlformats.org/officeDocument/2006/relationships/hyperlink" Target="http://www.fens.org/" TargetMode="External"/><Relationship Id="rId4923" Type="http://schemas.openxmlformats.org/officeDocument/2006/relationships/hyperlink" Target="http://www.lisakaplin.com" TargetMode="External"/><Relationship Id="rId1898" Type="http://schemas.openxmlformats.org/officeDocument/2006/relationships/hyperlink" Target="https://pbs.twimg.com/media/EObHRzvWAAYh24s.jpg" TargetMode="External"/><Relationship Id="rId4922" Type="http://schemas.openxmlformats.org/officeDocument/2006/relationships/hyperlink" Target="http://lisakaplin.com/why-cant-our-kids-just-live-in-the-moment/" TargetMode="External"/><Relationship Id="rId1899" Type="http://schemas.openxmlformats.org/officeDocument/2006/relationships/hyperlink" Target="http://www.sportcareaccess.org" TargetMode="External"/><Relationship Id="rId4925" Type="http://schemas.openxmlformats.org/officeDocument/2006/relationships/hyperlink" Target="https://pbs.twimg.com/media/EOLZIVSU0AASxJI.jpg" TargetMode="External"/><Relationship Id="rId4924" Type="http://schemas.openxmlformats.org/officeDocument/2006/relationships/hyperlink" Target="http://appstore.com/GiftOfTheTinMan" TargetMode="External"/><Relationship Id="rId4927" Type="http://schemas.openxmlformats.org/officeDocument/2006/relationships/hyperlink" Target="http://ow.ly/6JlT50xOFCu" TargetMode="External"/><Relationship Id="rId4926" Type="http://schemas.openxmlformats.org/officeDocument/2006/relationships/hyperlink" Target="http://www.youtube.com/user/Gwynmcgee?feature=mhee" TargetMode="External"/><Relationship Id="rId4929" Type="http://schemas.openxmlformats.org/officeDocument/2006/relationships/hyperlink" Target="https://pbs.twimg.com/media/EOLYtCKU0AAhGXT.jpg" TargetMode="External"/><Relationship Id="rId4928" Type="http://schemas.openxmlformats.org/officeDocument/2006/relationships/hyperlink" Target="http://csamsandiego.com" TargetMode="External"/><Relationship Id="rId1890" Type="http://schemas.openxmlformats.org/officeDocument/2006/relationships/hyperlink" Target="https://lnkd.in/epsu5Wg" TargetMode="External"/><Relationship Id="rId1891" Type="http://schemas.openxmlformats.org/officeDocument/2006/relationships/hyperlink" Target="http://pic.twitter.com/75P3EXe9V0" TargetMode="External"/><Relationship Id="rId1892" Type="http://schemas.openxmlformats.org/officeDocument/2006/relationships/hyperlink" Target="http://www.accuweight.com" TargetMode="External"/><Relationship Id="rId1893" Type="http://schemas.openxmlformats.org/officeDocument/2006/relationships/hyperlink" Target="https://pbs.twimg.com/media/EObH2XzWkAA59is.jpg" TargetMode="External"/><Relationship Id="rId1894" Type="http://schemas.openxmlformats.org/officeDocument/2006/relationships/hyperlink" Target="http://www.accuweight.com" TargetMode="External"/><Relationship Id="rId1884" Type="http://schemas.openxmlformats.org/officeDocument/2006/relationships/hyperlink" Target="https://tuningelement.com/product/b-e-well-patch-2-patches-sample-patches/" TargetMode="External"/><Relationship Id="rId4910" Type="http://schemas.openxmlformats.org/officeDocument/2006/relationships/hyperlink" Target="https://www.amazon.com/Mindfulness-Meditation-Made-Simple-Finding/dp/0990840506/" TargetMode="External"/><Relationship Id="rId1885" Type="http://schemas.openxmlformats.org/officeDocument/2006/relationships/hyperlink" Target="https://pbs.twimg.com/media/EObLZGlWkAEOCiW.jpg" TargetMode="External"/><Relationship Id="rId1886" Type="http://schemas.openxmlformats.org/officeDocument/2006/relationships/hyperlink" Target="http://www.tuningelement.com" TargetMode="External"/><Relationship Id="rId4912" Type="http://schemas.openxmlformats.org/officeDocument/2006/relationships/hyperlink" Target="https://www.olidogpetwellness.ca/" TargetMode="External"/><Relationship Id="rId1887" Type="http://schemas.openxmlformats.org/officeDocument/2006/relationships/hyperlink" Target="http://ow.ly/RBGT50xXh3G" TargetMode="External"/><Relationship Id="rId4911" Type="http://schemas.openxmlformats.org/officeDocument/2006/relationships/hyperlink" Target="http://www.mindfulnessmeditationinstitute.org/" TargetMode="External"/><Relationship Id="rId1888" Type="http://schemas.openxmlformats.org/officeDocument/2006/relationships/hyperlink" Target="https://pbs.twimg.com/media/EObLVWUX0AIIH5z.jpg" TargetMode="External"/><Relationship Id="rId4914" Type="http://schemas.openxmlformats.org/officeDocument/2006/relationships/hyperlink" Target="http://olidogpetwellness.ca" TargetMode="External"/><Relationship Id="rId1889" Type="http://schemas.openxmlformats.org/officeDocument/2006/relationships/hyperlink" Target="http://www.amchara.com" TargetMode="External"/><Relationship Id="rId4913" Type="http://schemas.openxmlformats.org/officeDocument/2006/relationships/hyperlink" Target="https://pbs.twimg.com/media/EOLcuQFWoAAu7h8.jpg" TargetMode="External"/><Relationship Id="rId4916" Type="http://schemas.openxmlformats.org/officeDocument/2006/relationships/hyperlink" Target="http://www.datpiff.com/profile/TommyAlFrost" TargetMode="External"/><Relationship Id="rId4915" Type="http://schemas.openxmlformats.org/officeDocument/2006/relationships/hyperlink" Target="https://www.instagram.com/p/B7RLbvjFP7x/?igshid=kq9zdp6c89un" TargetMode="External"/><Relationship Id="rId4918" Type="http://schemas.openxmlformats.org/officeDocument/2006/relationships/hyperlink" Target="https://pbs.twimg.com/media/EOLa1bmXsAAXuYM.jpg" TargetMode="External"/><Relationship Id="rId4917" Type="http://schemas.openxmlformats.org/officeDocument/2006/relationships/hyperlink" Target="https://lttr.ai/MHkw" TargetMode="External"/><Relationship Id="rId4919" Type="http://schemas.openxmlformats.org/officeDocument/2006/relationships/hyperlink" Target="https://enhancedwellbeing.com" TargetMode="External"/><Relationship Id="rId1880" Type="http://schemas.openxmlformats.org/officeDocument/2006/relationships/hyperlink" Target="https://pbs.twimg.com/media/EObLwvoWAAIlHxg.jpg" TargetMode="External"/><Relationship Id="rId1881" Type="http://schemas.openxmlformats.org/officeDocument/2006/relationships/hyperlink" Target="http://www.breathworks-mindfulness.org.uk/" TargetMode="External"/><Relationship Id="rId1882" Type="http://schemas.openxmlformats.org/officeDocument/2006/relationships/hyperlink" Target="https://hubs.ly/H0mCCLg0" TargetMode="External"/><Relationship Id="rId1883" Type="http://schemas.openxmlformats.org/officeDocument/2006/relationships/hyperlink" Target="https://www.guystuffcounseling.com" TargetMode="External"/><Relationship Id="rId3612" Type="http://schemas.openxmlformats.org/officeDocument/2006/relationships/hyperlink" Target="http://bit.ly/2bmfle8" TargetMode="External"/><Relationship Id="rId4943" Type="http://schemas.openxmlformats.org/officeDocument/2006/relationships/hyperlink" Target="http://www.staceymillerconsultancy.co.uk" TargetMode="External"/><Relationship Id="rId3611" Type="http://schemas.openxmlformats.org/officeDocument/2006/relationships/hyperlink" Target="https://groomandstyle.com" TargetMode="External"/><Relationship Id="rId4942" Type="http://schemas.openxmlformats.org/officeDocument/2006/relationships/hyperlink" Target="https://pbs.twimg.com/media/EOLVGjaXsAARa8k.jpg" TargetMode="External"/><Relationship Id="rId3614" Type="http://schemas.openxmlformats.org/officeDocument/2006/relationships/hyperlink" Target="http://www.alternativewaystoheal.com" TargetMode="External"/><Relationship Id="rId4945" Type="http://schemas.openxmlformats.org/officeDocument/2006/relationships/hyperlink" Target="https://pbs.twimg.com/media/EOLUZ9XVAAQEJqS.jpg" TargetMode="External"/><Relationship Id="rId3613" Type="http://schemas.openxmlformats.org/officeDocument/2006/relationships/hyperlink" Target="https://pbs.twimg.com/media/EOR_vyCWAAAPqLh.jpg" TargetMode="External"/><Relationship Id="rId4944" Type="http://schemas.openxmlformats.org/officeDocument/2006/relationships/hyperlink" Target="https://dynamiteyoga.com/dynamiteyoga-meditation.php" TargetMode="External"/><Relationship Id="rId3616" Type="http://schemas.openxmlformats.org/officeDocument/2006/relationships/hyperlink" Target="http://www.startupdonut.co.uk" TargetMode="External"/><Relationship Id="rId4947" Type="http://schemas.openxmlformats.org/officeDocument/2006/relationships/hyperlink" Target="https://gleeyoga.com/our-blog.php" TargetMode="External"/><Relationship Id="rId3615" Type="http://schemas.openxmlformats.org/officeDocument/2006/relationships/hyperlink" Target="https://bit.ly/35qwbOJ" TargetMode="External"/><Relationship Id="rId4946" Type="http://schemas.openxmlformats.org/officeDocument/2006/relationships/hyperlink" Target="https://dynamiteyoga.com" TargetMode="External"/><Relationship Id="rId3618" Type="http://schemas.openxmlformats.org/officeDocument/2006/relationships/hyperlink" Target="http://www.shereekirby.com" TargetMode="External"/><Relationship Id="rId4949" Type="http://schemas.openxmlformats.org/officeDocument/2006/relationships/hyperlink" Target="https://gleeyoga.com" TargetMode="External"/><Relationship Id="rId3617" Type="http://schemas.openxmlformats.org/officeDocument/2006/relationships/hyperlink" Target="https://www.healthline.com/health/tight-jaw" TargetMode="External"/><Relationship Id="rId4948" Type="http://schemas.openxmlformats.org/officeDocument/2006/relationships/hyperlink" Target="https://pbs.twimg.com/media/EOLUZoZVUAAS_YO.png" TargetMode="External"/><Relationship Id="rId3619" Type="http://schemas.openxmlformats.org/officeDocument/2006/relationships/hyperlink" Target="http://ow.ly/PdoY50xUbYu" TargetMode="External"/><Relationship Id="rId3610" Type="http://schemas.openxmlformats.org/officeDocument/2006/relationships/hyperlink" Target="https://pbs.twimg.com/media/EOSDY1EX0AE9zUr.jpg" TargetMode="External"/><Relationship Id="rId4941" Type="http://schemas.openxmlformats.org/officeDocument/2006/relationships/hyperlink" Target="http://www.psychiatrictimes.com" TargetMode="External"/><Relationship Id="rId4940" Type="http://schemas.openxmlformats.org/officeDocument/2006/relationships/hyperlink" Target="https://eurekalert.org/e/9XzJ" TargetMode="External"/><Relationship Id="rId3601" Type="http://schemas.openxmlformats.org/officeDocument/2006/relationships/hyperlink" Target="http://www.lifecompasswellness.com" TargetMode="External"/><Relationship Id="rId4932" Type="http://schemas.openxmlformats.org/officeDocument/2006/relationships/hyperlink" Target="https://pbs.twimg.com/media/EOLWt2TX4AAFVvO.jpg" TargetMode="External"/><Relationship Id="rId3600" Type="http://schemas.openxmlformats.org/officeDocument/2006/relationships/hyperlink" Target="https://www.instagram.com/p/B7UiSz4ACBq/?igshid=1lu8ssrjghrb3" TargetMode="External"/><Relationship Id="rId4931" Type="http://schemas.openxmlformats.org/officeDocument/2006/relationships/hyperlink" Target="https://health.mil/AfterDeployment" TargetMode="External"/><Relationship Id="rId3603" Type="http://schemas.openxmlformats.org/officeDocument/2006/relationships/hyperlink" Target="http://myretirementbusiness.com/blog" TargetMode="External"/><Relationship Id="rId4934" Type="http://schemas.openxmlformats.org/officeDocument/2006/relationships/hyperlink" Target="http://rlwildeman.neora.com" TargetMode="External"/><Relationship Id="rId3602" Type="http://schemas.openxmlformats.org/officeDocument/2006/relationships/hyperlink" Target="https://pbs.twimg.com/media/EOSHUhUWkAArOhR.jpg" TargetMode="External"/><Relationship Id="rId4933" Type="http://schemas.openxmlformats.org/officeDocument/2006/relationships/hyperlink" Target="https://www.aldergrovestar.com/news/weather-flurries-remain-in-langley-forecast/" TargetMode="External"/><Relationship Id="rId3605" Type="http://schemas.openxmlformats.org/officeDocument/2006/relationships/hyperlink" Target="http://www.nims.org.in" TargetMode="External"/><Relationship Id="rId4936" Type="http://schemas.openxmlformats.org/officeDocument/2006/relationships/hyperlink" Target="https://pbs.twimg.com/media/EOLWekIW4AEx_1f.jpg" TargetMode="External"/><Relationship Id="rId3604" Type="http://schemas.openxmlformats.org/officeDocument/2006/relationships/hyperlink" Target="https://pbs.twimg.com/media/EOSDmUzU0AAos3c.jpg" TargetMode="External"/><Relationship Id="rId4935" Type="http://schemas.openxmlformats.org/officeDocument/2006/relationships/hyperlink" Target="http://www.binauralblog.com/binaural-spiritual-alignment" TargetMode="External"/><Relationship Id="rId3607" Type="http://schemas.openxmlformats.org/officeDocument/2006/relationships/hyperlink" Target="https://pbs.twimg.com/media/EOSDZgTWkAEwLy6.png" TargetMode="External"/><Relationship Id="rId4938" Type="http://schemas.openxmlformats.org/officeDocument/2006/relationships/hyperlink" Target="https://twitter.com/JohnDavisJDLLM/status/1216747133136539651" TargetMode="External"/><Relationship Id="rId3606" Type="http://schemas.openxmlformats.org/officeDocument/2006/relationships/hyperlink" Target="https://www.homefootcareservices.com" TargetMode="External"/><Relationship Id="rId4937" Type="http://schemas.openxmlformats.org/officeDocument/2006/relationships/hyperlink" Target="http://www.i-doser.com" TargetMode="External"/><Relationship Id="rId3609" Type="http://schemas.openxmlformats.org/officeDocument/2006/relationships/hyperlink" Target="https://www.figur8.net/2016/12/24/stress-management/" TargetMode="External"/><Relationship Id="rId3608" Type="http://schemas.openxmlformats.org/officeDocument/2006/relationships/hyperlink" Target="https://www.homefootcareservices.com" TargetMode="External"/><Relationship Id="rId4939" Type="http://schemas.openxmlformats.org/officeDocument/2006/relationships/hyperlink" Target="http://www.menarehuman.com" TargetMode="External"/><Relationship Id="rId4930" Type="http://schemas.openxmlformats.org/officeDocument/2006/relationships/hyperlink" Target="https://pbs.twimg.com/media/EOLX8TcWsAIAOl9.jpg" TargetMode="External"/><Relationship Id="rId1059" Type="http://schemas.openxmlformats.org/officeDocument/2006/relationships/hyperlink" Target="https://pbs.twimg.com/media/EOf5Y4oU8AA1Fsr.jpg" TargetMode="External"/><Relationship Id="rId228" Type="http://schemas.openxmlformats.org/officeDocument/2006/relationships/hyperlink" Target="http://www.southernmomloves.com/2020/01/self-care-tips-to-stress-less-in-new.html" TargetMode="External"/><Relationship Id="rId227" Type="http://schemas.openxmlformats.org/officeDocument/2006/relationships/hyperlink" Target="http://positiveconstructs.com" TargetMode="External"/><Relationship Id="rId226" Type="http://schemas.openxmlformats.org/officeDocument/2006/relationships/hyperlink" Target="https://www.instagram.com/p/B7eH1J-Aw1S/?igshid=1lrtgk2553isi" TargetMode="External"/><Relationship Id="rId225" Type="http://schemas.openxmlformats.org/officeDocument/2006/relationships/hyperlink" Target="http://www.escoffier.edu" TargetMode="External"/><Relationship Id="rId2380" Type="http://schemas.openxmlformats.org/officeDocument/2006/relationships/hyperlink" Target="https://bit.ly/304R0yf" TargetMode="External"/><Relationship Id="rId229" Type="http://schemas.openxmlformats.org/officeDocument/2006/relationships/hyperlink" Target="https://pbs.twimg.com/media/EOlSiFEUUAAJ1C3.jpg" TargetMode="External"/><Relationship Id="rId1050" Type="http://schemas.openxmlformats.org/officeDocument/2006/relationships/hyperlink" Target="http://www.dbdlawfirm.com/" TargetMode="External"/><Relationship Id="rId2381" Type="http://schemas.openxmlformats.org/officeDocument/2006/relationships/hyperlink" Target="https://pbs.twimg.com/media/EOZhVa-XUAAKs7X.jpg" TargetMode="External"/><Relationship Id="rId220" Type="http://schemas.openxmlformats.org/officeDocument/2006/relationships/hyperlink" Target="https://pbs.twimg.com/media/EOlXlapWoAEbduk.jpg" TargetMode="External"/><Relationship Id="rId1051" Type="http://schemas.openxmlformats.org/officeDocument/2006/relationships/hyperlink" Target="https://lttr.ai/MQ4b" TargetMode="External"/><Relationship Id="rId2382" Type="http://schemas.openxmlformats.org/officeDocument/2006/relationships/hyperlink" Target="http://www.hearthandmade.co.uk" TargetMode="External"/><Relationship Id="rId1052" Type="http://schemas.openxmlformats.org/officeDocument/2006/relationships/hyperlink" Target="https://pbs.twimg.com/media/EOf5t9nXsAELpUi.jpg" TargetMode="External"/><Relationship Id="rId2383" Type="http://schemas.openxmlformats.org/officeDocument/2006/relationships/hyperlink" Target="https://www.instagram.com/p/B7YM_7WFNPA/?igshid=1qpanj4fomff3" TargetMode="External"/><Relationship Id="rId1053" Type="http://schemas.openxmlformats.org/officeDocument/2006/relationships/hyperlink" Target="http://yogaclassesnear.me" TargetMode="External"/><Relationship Id="rId2384" Type="http://schemas.openxmlformats.org/officeDocument/2006/relationships/hyperlink" Target="http://ow.ly/Ksm550xWUeZ" TargetMode="External"/><Relationship Id="rId1054" Type="http://schemas.openxmlformats.org/officeDocument/2006/relationships/hyperlink" Target="https://www.psychologytoday.com/us/blog/mental-health-in-the-workplace/202001/how-get-and-stay-motivated-all-year-long" TargetMode="External"/><Relationship Id="rId2385" Type="http://schemas.openxmlformats.org/officeDocument/2006/relationships/hyperlink" Target="http://peopleessentials.co.uk" TargetMode="External"/><Relationship Id="rId224" Type="http://schemas.openxmlformats.org/officeDocument/2006/relationships/hyperlink" Target="https://bit.ly/2DYDDZ7" TargetMode="External"/><Relationship Id="rId1055" Type="http://schemas.openxmlformats.org/officeDocument/2006/relationships/hyperlink" Target="http://www.imageryandmusic.com" TargetMode="External"/><Relationship Id="rId2386" Type="http://schemas.openxmlformats.org/officeDocument/2006/relationships/hyperlink" Target="https://kingsumo.com/g/9agctd/giveaway-january-2020/1yk7qxl" TargetMode="External"/><Relationship Id="rId223" Type="http://schemas.openxmlformats.org/officeDocument/2006/relationships/hyperlink" Target="https://themindsjournal.com/" TargetMode="External"/><Relationship Id="rId1056" Type="http://schemas.openxmlformats.org/officeDocument/2006/relationships/hyperlink" Target="http://ow.ly/d19A306sDja" TargetMode="External"/><Relationship Id="rId2387" Type="http://schemas.openxmlformats.org/officeDocument/2006/relationships/hyperlink" Target="https://lnkd.in/dVtu_25" TargetMode="External"/><Relationship Id="rId222" Type="http://schemas.openxmlformats.org/officeDocument/2006/relationships/hyperlink" Target="https://themindsjournal.com/11-symptoms-nervous-breakdown/" TargetMode="External"/><Relationship Id="rId1057" Type="http://schemas.openxmlformats.org/officeDocument/2006/relationships/hyperlink" Target="http://www.aplaceofhope.com" TargetMode="External"/><Relationship Id="rId2388" Type="http://schemas.openxmlformats.org/officeDocument/2006/relationships/hyperlink" Target="http://www.liggywebb.com" TargetMode="External"/><Relationship Id="rId221" Type="http://schemas.openxmlformats.org/officeDocument/2006/relationships/hyperlink" Target="https://pbs.twimg.com/media/EOlWshqUYAAVF7n.jpg" TargetMode="External"/><Relationship Id="rId1058" Type="http://schemas.openxmlformats.org/officeDocument/2006/relationships/hyperlink" Target="https://bit.ly/30EbhKx" TargetMode="External"/><Relationship Id="rId2389" Type="http://schemas.openxmlformats.org/officeDocument/2006/relationships/hyperlink" Target="https://www.britsafe.org/publications/safety-management-magazine/safety-management-magazine/2019/prosecution-for-work-related-stress-just-matter-of-time-law-event-hears/?utm_source=marketo&amp;utm_medium=email&amp;utm_campaign=safety-management-1001&amp;mkt_tok=eyJpIjoiTVdVMFpqbGhZVGd6WkdGaCIsInQiOiJ2ZEc1Mjh5TStNVVRQMENKRm5CNExyaUl0c2V5c0F2TFRtQjduRGlHelM1UWFWMWlkYmx3Z0NuUFI2QUxqSWM1eFpmTkMxdXdPZEtsZzRUUTZWUm03VllZeUJubGdaaXJnMWdOWE1DVDhTRXhRNm5sTHNxaFVcL1krQnhnZklMZUsifQ%3D%3D" TargetMode="External"/><Relationship Id="rId1048" Type="http://schemas.openxmlformats.org/officeDocument/2006/relationships/hyperlink" Target="http://dalesellers.com" TargetMode="External"/><Relationship Id="rId2379" Type="http://schemas.openxmlformats.org/officeDocument/2006/relationships/hyperlink" Target="http://www.zanos.co.uk/" TargetMode="External"/><Relationship Id="rId1049" Type="http://schemas.openxmlformats.org/officeDocument/2006/relationships/hyperlink" Target="http://ow.ly/Q4KS50xRtfq" TargetMode="External"/><Relationship Id="rId217" Type="http://schemas.openxmlformats.org/officeDocument/2006/relationships/hyperlink" Target="https://pbs.twimg.com/media/EOlZFTgXUAAcNQ1.jpg" TargetMode="External"/><Relationship Id="rId216" Type="http://schemas.openxmlformats.org/officeDocument/2006/relationships/hyperlink" Target="https://www.silverspringcenter.com/gummies" TargetMode="External"/><Relationship Id="rId215" Type="http://schemas.openxmlformats.org/officeDocument/2006/relationships/hyperlink" Target="http://www.austinozone.com" TargetMode="External"/><Relationship Id="rId214" Type="http://schemas.openxmlformats.org/officeDocument/2006/relationships/hyperlink" Target="https://pbs.twimg.com/media/EOlZ3T6UYAAW-iG.jpg" TargetMode="External"/><Relationship Id="rId219" Type="http://schemas.openxmlformats.org/officeDocument/2006/relationships/hyperlink" Target="https://buff.ly/2TxEqX9" TargetMode="External"/><Relationship Id="rId218" Type="http://schemas.openxmlformats.org/officeDocument/2006/relationships/hyperlink" Target="https://www.silverspringcenter.com/shop" TargetMode="External"/><Relationship Id="rId2370" Type="http://schemas.openxmlformats.org/officeDocument/2006/relationships/hyperlink" Target="http://mummyfever.co.uk" TargetMode="External"/><Relationship Id="rId1040" Type="http://schemas.openxmlformats.org/officeDocument/2006/relationships/hyperlink" Target="http://www.leetchi.com/c/devenir-developpeur" TargetMode="External"/><Relationship Id="rId2371" Type="http://schemas.openxmlformats.org/officeDocument/2006/relationships/hyperlink" Target="https://marisapeer.com/is-stress-really-the-silent-killer-marisa-peers-top-tips-to-overcome-stress/?utm_source=facebook&amp;utm_medium=organic&amp;utm_campaign=stress_the_silent_killer&amp;fbclid=IwAR3PvnoQ37Ud2eXhfZIcY9JEeP_16z9GM9ESQYfRmVXUB0QsfVqxPgwjccc" TargetMode="External"/><Relationship Id="rId1041" Type="http://schemas.openxmlformats.org/officeDocument/2006/relationships/hyperlink" Target="https://buff.ly/2VVVmUX" TargetMode="External"/><Relationship Id="rId2372" Type="http://schemas.openxmlformats.org/officeDocument/2006/relationships/hyperlink" Target="http://www.nadinemccabe.co.uk" TargetMode="External"/><Relationship Id="rId1042" Type="http://schemas.openxmlformats.org/officeDocument/2006/relationships/hyperlink" Target="https://pbs.twimg.com/media/EOf6JJEWsAEZW27.jpg" TargetMode="External"/><Relationship Id="rId2373" Type="http://schemas.openxmlformats.org/officeDocument/2006/relationships/hyperlink" Target="http://ti.me/2kIDaj8" TargetMode="External"/><Relationship Id="rId1043" Type="http://schemas.openxmlformats.org/officeDocument/2006/relationships/hyperlink" Target="http://hside.org" TargetMode="External"/><Relationship Id="rId2374" Type="http://schemas.openxmlformats.org/officeDocument/2006/relationships/hyperlink" Target="https://pbs.twimg.com/media/EOZjPfBX0AAF0uw.jpg" TargetMode="External"/><Relationship Id="rId213" Type="http://schemas.openxmlformats.org/officeDocument/2006/relationships/hyperlink" Target="http://owl.li/tnHW30q8RZg" TargetMode="External"/><Relationship Id="rId1044" Type="http://schemas.openxmlformats.org/officeDocument/2006/relationships/hyperlink" Target="https://go.usa.gov/xpFkt" TargetMode="External"/><Relationship Id="rId2375" Type="http://schemas.openxmlformats.org/officeDocument/2006/relationships/hyperlink" Target="http://anthonyclarkmusic.com" TargetMode="External"/><Relationship Id="rId212" Type="http://schemas.openxmlformats.org/officeDocument/2006/relationships/hyperlink" Target="https://qwikad.com" TargetMode="External"/><Relationship Id="rId1045" Type="http://schemas.openxmlformats.org/officeDocument/2006/relationships/hyperlink" Target="https://pbs.twimg.com/media/EOf6ES5WsAAPvta.jpg" TargetMode="External"/><Relationship Id="rId2376" Type="http://schemas.openxmlformats.org/officeDocument/2006/relationships/hyperlink" Target="https://bigideasforsmallbusiness.com/5-ways-to-reduce-employee-stress/" TargetMode="External"/><Relationship Id="rId211" Type="http://schemas.openxmlformats.org/officeDocument/2006/relationships/hyperlink" Target="https://qwikad.com/426/posts/20-Income-Opps/129-Business-Opportunities/683791--Stop-Financing-Stress-Worrying-Now-.html" TargetMode="External"/><Relationship Id="rId1046" Type="http://schemas.openxmlformats.org/officeDocument/2006/relationships/hyperlink" Target="http://dalesellers.com" TargetMode="External"/><Relationship Id="rId2377" Type="http://schemas.openxmlformats.org/officeDocument/2006/relationships/hyperlink" Target="http://smbizamerica.com" TargetMode="External"/><Relationship Id="rId210" Type="http://schemas.openxmlformats.org/officeDocument/2006/relationships/hyperlink" Target="https://pbs.twimg.com/media/EOla9q0X0AE8REW.jpg" TargetMode="External"/><Relationship Id="rId1047" Type="http://schemas.openxmlformats.org/officeDocument/2006/relationships/hyperlink" Target="https://pbs.twimg.com/media/EOf5_5kX4AA8LCg.jpg" TargetMode="External"/><Relationship Id="rId2378" Type="http://schemas.openxmlformats.org/officeDocument/2006/relationships/hyperlink" Target="https://pbs.twimg.com/media/EOZhtgMWoAEkyBz.jpg" TargetMode="External"/><Relationship Id="rId4107" Type="http://schemas.openxmlformats.org/officeDocument/2006/relationships/hyperlink" Target="http://www.bhcfengshui.com" TargetMode="External"/><Relationship Id="rId4106" Type="http://schemas.openxmlformats.org/officeDocument/2006/relationships/hyperlink" Target="https://pbs.twimg.com/media/EOQAk06VUAIRIaj.jpg" TargetMode="External"/><Relationship Id="rId4109" Type="http://schemas.openxmlformats.org/officeDocument/2006/relationships/hyperlink" Target="http://dld.bz/gAWnT" TargetMode="External"/><Relationship Id="rId4108" Type="http://schemas.openxmlformats.org/officeDocument/2006/relationships/hyperlink" Target="https://link.medium.com/CgQIJzChe3" TargetMode="External"/><Relationship Id="rId249" Type="http://schemas.openxmlformats.org/officeDocument/2006/relationships/hyperlink" Target="http://www.worldsshopoffers.com" TargetMode="External"/><Relationship Id="rId248" Type="http://schemas.openxmlformats.org/officeDocument/2006/relationships/hyperlink" Target="https://www.amazon.com/Bliss-Apps-Stress-Cure/dp/B075X37J1V/" TargetMode="External"/><Relationship Id="rId247" Type="http://schemas.openxmlformats.org/officeDocument/2006/relationships/hyperlink" Target="http://www.imamediation.com" TargetMode="External"/><Relationship Id="rId1070" Type="http://schemas.openxmlformats.org/officeDocument/2006/relationships/hyperlink" Target="https://www.calmmoment.com/living/why-decluttering-is-good-for-your-mental-health/" TargetMode="External"/><Relationship Id="rId1071" Type="http://schemas.openxmlformats.org/officeDocument/2006/relationships/hyperlink" Target="https://healthyfit07.blogspot.com/2018/03/hiccups-causes-and-treatment.html" TargetMode="External"/><Relationship Id="rId1072" Type="http://schemas.openxmlformats.org/officeDocument/2006/relationships/hyperlink" Target="https://pbs.twimg.com/media/EOf0z__WsAcZnAd.jpg" TargetMode="External"/><Relationship Id="rId242" Type="http://schemas.openxmlformats.org/officeDocument/2006/relationships/hyperlink" Target="http://thenaturalhealthblogger.com/product/maca-root-2500mg-120-capsules/" TargetMode="External"/><Relationship Id="rId1073" Type="http://schemas.openxmlformats.org/officeDocument/2006/relationships/hyperlink" Target="https://healthyfit07.blogspot.com" TargetMode="External"/><Relationship Id="rId241" Type="http://schemas.openxmlformats.org/officeDocument/2006/relationships/hyperlink" Target="http://pic.twitter.com/aLi024T9RE" TargetMode="External"/><Relationship Id="rId1074" Type="http://schemas.openxmlformats.org/officeDocument/2006/relationships/hyperlink" Target="https://lnkd.in/eq-MQSU" TargetMode="External"/><Relationship Id="rId240" Type="http://schemas.openxmlformats.org/officeDocument/2006/relationships/hyperlink" Target="https://twitter.com/Mufaa6/status/1218247795557031936" TargetMode="External"/><Relationship Id="rId1075" Type="http://schemas.openxmlformats.org/officeDocument/2006/relationships/hyperlink" Target="http://www.highpowerrealty.com" TargetMode="External"/><Relationship Id="rId4101" Type="http://schemas.openxmlformats.org/officeDocument/2006/relationships/hyperlink" Target="https://www.instagram.com/p/Bl8tDpFBwuz/?igshid=18sgacqfde4l6" TargetMode="External"/><Relationship Id="rId1076" Type="http://schemas.openxmlformats.org/officeDocument/2006/relationships/hyperlink" Target="https://elst.es/3ajrnyr" TargetMode="External"/><Relationship Id="rId4100" Type="http://schemas.openxmlformats.org/officeDocument/2006/relationships/hyperlink" Target="http://www.lessstresscoach.com" TargetMode="External"/><Relationship Id="rId246" Type="http://schemas.openxmlformats.org/officeDocument/2006/relationships/hyperlink" Target="https://pbs.twimg.com/media/EOlNVhMWsAATA2f.jpg" TargetMode="External"/><Relationship Id="rId1077" Type="http://schemas.openxmlformats.org/officeDocument/2006/relationships/hyperlink" Target="http://www.eliostruyf.com" TargetMode="External"/><Relationship Id="rId4103" Type="http://schemas.openxmlformats.org/officeDocument/2006/relationships/hyperlink" Target="https://buff.ly/2Q54Tbj" TargetMode="External"/><Relationship Id="rId245" Type="http://schemas.openxmlformats.org/officeDocument/2006/relationships/hyperlink" Target="http://bit.ly/2ZPNfvR" TargetMode="External"/><Relationship Id="rId1078" Type="http://schemas.openxmlformats.org/officeDocument/2006/relationships/hyperlink" Target="https://www.parents.com/parenting/moms/healthy-mom/the-burnout-epidemic-is-disproportionately-affecting-women-heres-what-moms-can-do/" TargetMode="External"/><Relationship Id="rId4102" Type="http://schemas.openxmlformats.org/officeDocument/2006/relationships/hyperlink" Target="https://www.facebook.com/pages/The-Health-Tree/255683209471" TargetMode="External"/><Relationship Id="rId244" Type="http://schemas.openxmlformats.org/officeDocument/2006/relationships/hyperlink" Target="http://thenaturalhealthblogger.com" TargetMode="External"/><Relationship Id="rId1079" Type="http://schemas.openxmlformats.org/officeDocument/2006/relationships/hyperlink" Target="http://www.drcarlamanly.com" TargetMode="External"/><Relationship Id="rId4105" Type="http://schemas.openxmlformats.org/officeDocument/2006/relationships/hyperlink" Target="http://wintripconsultinggroup.com/" TargetMode="External"/><Relationship Id="rId243" Type="http://schemas.openxmlformats.org/officeDocument/2006/relationships/hyperlink" Target="https://pbs.twimg.com/media/EOlNjiQX0AAAltp.jpg" TargetMode="External"/><Relationship Id="rId4104" Type="http://schemas.openxmlformats.org/officeDocument/2006/relationships/hyperlink" Target="https://pbs.twimg.com/media/EOQAruhXUAEfWed.jpg" TargetMode="External"/><Relationship Id="rId239" Type="http://schemas.openxmlformats.org/officeDocument/2006/relationships/hyperlink" Target="https://bit.ly/2Smi4HE" TargetMode="External"/><Relationship Id="rId238" Type="http://schemas.openxmlformats.org/officeDocument/2006/relationships/hyperlink" Target="https://ykyz.com/p/975a21ac6a3a44e7a670869392611101e7ac46f1/" TargetMode="External"/><Relationship Id="rId237" Type="http://schemas.openxmlformats.org/officeDocument/2006/relationships/hyperlink" Target="http://www.franksonnenbergonline.com" TargetMode="External"/><Relationship Id="rId236" Type="http://schemas.openxmlformats.org/officeDocument/2006/relationships/hyperlink" Target="http://bit.ly/2rzHim9" TargetMode="External"/><Relationship Id="rId2390" Type="http://schemas.openxmlformats.org/officeDocument/2006/relationships/hyperlink" Target="http://www.staywelloh.co.uk/" TargetMode="External"/><Relationship Id="rId1060" Type="http://schemas.openxmlformats.org/officeDocument/2006/relationships/hyperlink" Target="http://moicontrelavie.com/" TargetMode="External"/><Relationship Id="rId2391" Type="http://schemas.openxmlformats.org/officeDocument/2006/relationships/hyperlink" Target="https://www.beejameditation.com/londons-most-stressful/" TargetMode="External"/><Relationship Id="rId1061" Type="http://schemas.openxmlformats.org/officeDocument/2006/relationships/hyperlink" Target="http://bit.ly/2QVBctI" TargetMode="External"/><Relationship Id="rId2392" Type="http://schemas.openxmlformats.org/officeDocument/2006/relationships/hyperlink" Target="http://tsunami-axis.com" TargetMode="External"/><Relationship Id="rId231" Type="http://schemas.openxmlformats.org/officeDocument/2006/relationships/hyperlink" Target="https://gumroad.com/encouragingbird" TargetMode="External"/><Relationship Id="rId1062" Type="http://schemas.openxmlformats.org/officeDocument/2006/relationships/hyperlink" Target="http://jeannieburlowski.com" TargetMode="External"/><Relationship Id="rId2393" Type="http://schemas.openxmlformats.org/officeDocument/2006/relationships/hyperlink" Target="https://bit.ly/2u0EQL0" TargetMode="External"/><Relationship Id="rId230" Type="http://schemas.openxmlformats.org/officeDocument/2006/relationships/hyperlink" Target="http://www.southernmomloves.com" TargetMode="External"/><Relationship Id="rId1063" Type="http://schemas.openxmlformats.org/officeDocument/2006/relationships/hyperlink" Target="http://ow.ly/MYep30pZIEt" TargetMode="External"/><Relationship Id="rId2394" Type="http://schemas.openxmlformats.org/officeDocument/2006/relationships/hyperlink" Target="https://pbs.twimg.com/media/EOZbHltU0AUJtCY.jpg" TargetMode="External"/><Relationship Id="rId1064" Type="http://schemas.openxmlformats.org/officeDocument/2006/relationships/hyperlink" Target="http://www.orangecountyurology.com" TargetMode="External"/><Relationship Id="rId2395" Type="http://schemas.openxmlformats.org/officeDocument/2006/relationships/hyperlink" Target="https://pbs.twimg.com/media/EOZay6zWkAAYt6E.png" TargetMode="External"/><Relationship Id="rId1065" Type="http://schemas.openxmlformats.org/officeDocument/2006/relationships/hyperlink" Target="https://mindfulnessmeditationinstitute.org/product/mindfulness-in-the-workplace-pdf/" TargetMode="External"/><Relationship Id="rId2396" Type="http://schemas.openxmlformats.org/officeDocument/2006/relationships/hyperlink" Target="https://www.facebook.com/Wiltshire-IAPT-Service-1020309227996651/?ref=hl" TargetMode="External"/><Relationship Id="rId235" Type="http://schemas.openxmlformats.org/officeDocument/2006/relationships/hyperlink" Target="http://www.thebraincollective.c.uk" TargetMode="External"/><Relationship Id="rId1066" Type="http://schemas.openxmlformats.org/officeDocument/2006/relationships/hyperlink" Target="http://www.mindfulnessmeditationinstitute.org/" TargetMode="External"/><Relationship Id="rId2397" Type="http://schemas.openxmlformats.org/officeDocument/2006/relationships/hyperlink" Target="http://pic.twitter.com/BoP21LcWew" TargetMode="External"/><Relationship Id="rId234" Type="http://schemas.openxmlformats.org/officeDocument/2006/relationships/hyperlink" Target="https://qoo.ly/33wprw" TargetMode="External"/><Relationship Id="rId1067" Type="http://schemas.openxmlformats.org/officeDocument/2006/relationships/hyperlink" Target="https://pbs.twimg.com/media/EOf2Wj6WkAIcOPV.jpg" TargetMode="External"/><Relationship Id="rId2398" Type="http://schemas.openxmlformats.org/officeDocument/2006/relationships/hyperlink" Target="https://www.invensislearning.com" TargetMode="External"/><Relationship Id="rId233" Type="http://schemas.openxmlformats.org/officeDocument/2006/relationships/hyperlink" Target="http://www.patreon.com/SkeinandStory" TargetMode="External"/><Relationship Id="rId1068" Type="http://schemas.openxmlformats.org/officeDocument/2006/relationships/hyperlink" Target="http://www.trumperickdujour.com" TargetMode="External"/><Relationship Id="rId2399" Type="http://schemas.openxmlformats.org/officeDocument/2006/relationships/hyperlink" Target="https://pbs.twimg.com/media/EOZZ2cpUwAAxTpJ.jpg" TargetMode="External"/><Relationship Id="rId232" Type="http://schemas.openxmlformats.org/officeDocument/2006/relationships/hyperlink" Target="https://pbs.twimg.com/media/EOgsjVWX4AITXHv.jpg" TargetMode="External"/><Relationship Id="rId1069" Type="http://schemas.openxmlformats.org/officeDocument/2006/relationships/hyperlink" Target="https://www.instagram.com/p/B7bYw4IAMdK/?igshid=rjd3so6j3d3s" TargetMode="External"/><Relationship Id="rId1015" Type="http://schemas.openxmlformats.org/officeDocument/2006/relationships/hyperlink" Target="https://www.instagram.com/p/B7bdtjvnR7d/?igshid=1p9gz2t2isa1r" TargetMode="External"/><Relationship Id="rId2346" Type="http://schemas.openxmlformats.org/officeDocument/2006/relationships/hyperlink" Target="https://davidwithington.com" TargetMode="External"/><Relationship Id="rId3678" Type="http://schemas.openxmlformats.org/officeDocument/2006/relationships/hyperlink" Target="https://pbs.twimg.com/media/EORiwqxU0AEW5iC.jpg" TargetMode="External"/><Relationship Id="rId1016" Type="http://schemas.openxmlformats.org/officeDocument/2006/relationships/hyperlink" Target="http://www.thechildreypractice.co.uk" TargetMode="External"/><Relationship Id="rId2347" Type="http://schemas.openxmlformats.org/officeDocument/2006/relationships/hyperlink" Target="http://pic.twitter.com/MC2bQe7jkX" TargetMode="External"/><Relationship Id="rId3677" Type="http://schemas.openxmlformats.org/officeDocument/2006/relationships/hyperlink" Target="http://www.conscioushealth.net" TargetMode="External"/><Relationship Id="rId1017" Type="http://schemas.openxmlformats.org/officeDocument/2006/relationships/hyperlink" Target="https://buff.ly/2NCMSAX" TargetMode="External"/><Relationship Id="rId2348" Type="http://schemas.openxmlformats.org/officeDocument/2006/relationships/hyperlink" Target="https://www.facebook.com/thismattersuk/" TargetMode="External"/><Relationship Id="rId1018" Type="http://schemas.openxmlformats.org/officeDocument/2006/relationships/hyperlink" Target="https://pbs.twimg.com/media/EOf_joAX0AEJDvd.jpg" TargetMode="External"/><Relationship Id="rId2349" Type="http://schemas.openxmlformats.org/officeDocument/2006/relationships/hyperlink" Target="https://www.sme-news.co.uk/for-smes-to-grow-they-must-identify-and-take-control-of-stress-in-the-workplace/" TargetMode="External"/><Relationship Id="rId3679"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1019" Type="http://schemas.openxmlformats.org/officeDocument/2006/relationships/hyperlink" Target="https://mailchi.mp/ccd5ec8b547b/5stepstosuccess" TargetMode="External"/><Relationship Id="rId3670" Type="http://schemas.openxmlformats.org/officeDocument/2006/relationships/hyperlink" Target="https://www.linkedin.com/pulse/urgentimportant-matrix-neil-gowing" TargetMode="External"/><Relationship Id="rId2340" Type="http://schemas.openxmlformats.org/officeDocument/2006/relationships/hyperlink" Target="https://pbs.twimg.com/media/EOZrGORX0AAZmHz.jpg" TargetMode="External"/><Relationship Id="rId3672" Type="http://schemas.openxmlformats.org/officeDocument/2006/relationships/hyperlink" Target="https://pbs.twimg.com/media/EORlNeuUUAEtNVG.jpg" TargetMode="External"/><Relationship Id="rId1010" Type="http://schemas.openxmlformats.org/officeDocument/2006/relationships/hyperlink" Target="https://phys.org/news/2020-01-sea-lions-due-anxiety.html" TargetMode="External"/><Relationship Id="rId2341" Type="http://schemas.openxmlformats.org/officeDocument/2006/relationships/hyperlink" Target="http://psychicaccess.com/0003" TargetMode="External"/><Relationship Id="rId3671" Type="http://schemas.openxmlformats.org/officeDocument/2006/relationships/hyperlink" Target="http://www.neilgowing.co.uk" TargetMode="External"/><Relationship Id="rId1011" Type="http://schemas.openxmlformats.org/officeDocument/2006/relationships/hyperlink" Target="http://www.calstate.edu/coast" TargetMode="External"/><Relationship Id="rId2342" Type="http://schemas.openxmlformats.org/officeDocument/2006/relationships/hyperlink" Target="https://buff.ly/2LAEAe6" TargetMode="External"/><Relationship Id="rId3674"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1012" Type="http://schemas.openxmlformats.org/officeDocument/2006/relationships/hyperlink" Target="https://buff.ly/37GHJPI" TargetMode="External"/><Relationship Id="rId2343" Type="http://schemas.openxmlformats.org/officeDocument/2006/relationships/hyperlink" Target="https://pbs.twimg.com/media/EOZrOaqWAAAxHsf.jpg" TargetMode="External"/><Relationship Id="rId3673" Type="http://schemas.openxmlformats.org/officeDocument/2006/relationships/hyperlink" Target="http://www.hempworx.com/mslady978" TargetMode="External"/><Relationship Id="rId1013" Type="http://schemas.openxmlformats.org/officeDocument/2006/relationships/hyperlink" Target="https://pbs.twimg.com/media/EOf_yibX4AEtZaT.jpg" TargetMode="External"/><Relationship Id="rId2344" Type="http://schemas.openxmlformats.org/officeDocument/2006/relationships/hyperlink" Target="http://www.psychotherapist-nyc.blogspot.com" TargetMode="External"/><Relationship Id="rId3676" Type="http://schemas.openxmlformats.org/officeDocument/2006/relationships/hyperlink" Target="https://pbs.twimg.com/media/EORjkrWXUAcSrry.png" TargetMode="External"/><Relationship Id="rId1014" Type="http://schemas.openxmlformats.org/officeDocument/2006/relationships/hyperlink" Target="https://www.countplus.co.uk/" TargetMode="External"/><Relationship Id="rId2345" Type="http://schemas.openxmlformats.org/officeDocument/2006/relationships/hyperlink" Target="http://davidwithington.com/the-free-de-stress-day-with-the-compliments-of-samsung/" TargetMode="External"/><Relationship Id="rId3675" Type="http://schemas.openxmlformats.org/officeDocument/2006/relationships/hyperlink" Target="http://edbenjaminbooks.com/" TargetMode="External"/><Relationship Id="rId1004" Type="http://schemas.openxmlformats.org/officeDocument/2006/relationships/hyperlink" Target="http://salonoasisanddayspa.com/" TargetMode="External"/><Relationship Id="rId2335" Type="http://schemas.openxmlformats.org/officeDocument/2006/relationships/hyperlink" Target="http://www.hayaat.pk" TargetMode="External"/><Relationship Id="rId3667" Type="http://schemas.openxmlformats.org/officeDocument/2006/relationships/hyperlink" Target="http://www.leadershipcall.com" TargetMode="External"/><Relationship Id="rId4998" Type="http://schemas.openxmlformats.org/officeDocument/2006/relationships/hyperlink" Target="http://medicalxpress.com" TargetMode="External"/><Relationship Id="rId1005" Type="http://schemas.openxmlformats.org/officeDocument/2006/relationships/hyperlink" Target="http://ow.ly/Uocg50xVgn3" TargetMode="External"/><Relationship Id="rId2336" Type="http://schemas.openxmlformats.org/officeDocument/2006/relationships/hyperlink" Target="https://endosport.co.uk/products/" TargetMode="External"/><Relationship Id="rId3666" Type="http://schemas.openxmlformats.org/officeDocument/2006/relationships/hyperlink" Target="https://www.inc.com/minda-zetlin/yoga-brain-benefits-memory-decision-making-emotional-intelligence.html" TargetMode="External"/><Relationship Id="rId4997" Type="http://schemas.openxmlformats.org/officeDocument/2006/relationships/hyperlink" Target="https://medicalxpress.com/news/2020-01-link-cannabis-anxiety-stress.html" TargetMode="External"/><Relationship Id="rId1006" Type="http://schemas.openxmlformats.org/officeDocument/2006/relationships/hyperlink" Target="https://pbs.twimg.com/media/EOgAVy6WkAEOX4k.png" TargetMode="External"/><Relationship Id="rId2337" Type="http://schemas.openxmlformats.org/officeDocument/2006/relationships/hyperlink" Target="https://pbs.twimg.com/media/EOZrUhlX0AEAK6r.jpg" TargetMode="External"/><Relationship Id="rId3669" Type="http://schemas.openxmlformats.org/officeDocument/2006/relationships/hyperlink" Target="https://www.youtube.com/channel/UCJTp4GjLWa5PN1FsK18V8pQ" TargetMode="External"/><Relationship Id="rId1007" Type="http://schemas.openxmlformats.org/officeDocument/2006/relationships/hyperlink" Target="http://www.themarispractice.com/" TargetMode="External"/><Relationship Id="rId2338" Type="http://schemas.openxmlformats.org/officeDocument/2006/relationships/hyperlink" Target="http://www.endosport.co.uk" TargetMode="External"/><Relationship Id="rId3668" Type="http://schemas.openxmlformats.org/officeDocument/2006/relationships/hyperlink" Target="https://www.youtube.com/watch?v=okrhPa7MZe8&amp;t=435s" TargetMode="External"/><Relationship Id="rId4999" Type="http://schemas.openxmlformats.org/officeDocument/2006/relationships/hyperlink" Target="http://bit.ly/HlthWel" TargetMode="External"/><Relationship Id="rId1008" Type="http://schemas.openxmlformats.org/officeDocument/2006/relationships/hyperlink" Target="https://pin.it/vlv6vmjw3vex76" TargetMode="External"/><Relationship Id="rId2339" Type="http://schemas.openxmlformats.org/officeDocument/2006/relationships/hyperlink" Target="https://soo.nr/FhVs" TargetMode="External"/><Relationship Id="rId1009" Type="http://schemas.openxmlformats.org/officeDocument/2006/relationships/hyperlink" Target="http://teamawesomism.com" TargetMode="External"/><Relationship Id="rId4990" Type="http://schemas.openxmlformats.org/officeDocument/2006/relationships/hyperlink" Target="https://www.toronto.com/opinion-story/9793922-did-you-know-kids-along-with-parents-have-stress-ask-alyson/" TargetMode="External"/><Relationship Id="rId3661" Type="http://schemas.openxmlformats.org/officeDocument/2006/relationships/hyperlink" Target="https://pbs.twimg.com/media/EORrKJZXUAAK85_.jpg" TargetMode="External"/><Relationship Id="rId4992" Type="http://schemas.openxmlformats.org/officeDocument/2006/relationships/hyperlink" Target="http://www.alysonschafer.com" TargetMode="External"/><Relationship Id="rId2330" Type="http://schemas.openxmlformats.org/officeDocument/2006/relationships/hyperlink" Target="https://pbs.twimg.com/media/EOZrk4EWkAACKRd.jpg" TargetMode="External"/><Relationship Id="rId3660" Type="http://schemas.openxmlformats.org/officeDocument/2006/relationships/hyperlink" Target="http://thenaturalhealthblogger.com/product/full-spectrum-schisandra-berry-extract-powder-80g-wild-harvested/" TargetMode="External"/><Relationship Id="rId4991" Type="http://schemas.openxmlformats.org/officeDocument/2006/relationships/hyperlink" Target="https://pbs.twimg.com/media/EOLFeA3XUAgLY5D.jpg" TargetMode="External"/><Relationship Id="rId1000" Type="http://schemas.openxmlformats.org/officeDocument/2006/relationships/hyperlink" Target="http://anthonyclarkmusic.com" TargetMode="External"/><Relationship Id="rId2331" Type="http://schemas.openxmlformats.org/officeDocument/2006/relationships/hyperlink" Target="https://tonyburkinshaw.co.uk/contact" TargetMode="External"/><Relationship Id="rId3663" Type="http://schemas.openxmlformats.org/officeDocument/2006/relationships/hyperlink" Target="http://dld.bz/fV33W" TargetMode="External"/><Relationship Id="rId4994" Type="http://schemas.openxmlformats.org/officeDocument/2006/relationships/hyperlink" Target="http://www.imageryandmusic.com" TargetMode="External"/><Relationship Id="rId1001" Type="http://schemas.openxmlformats.org/officeDocument/2006/relationships/hyperlink" Target="https://doug-sandler-3bnl.squarespace.com/news/anxietyattack" TargetMode="External"/><Relationship Id="rId2332" Type="http://schemas.openxmlformats.org/officeDocument/2006/relationships/hyperlink" Target="http://hayaat.pk" TargetMode="External"/><Relationship Id="rId3662" Type="http://schemas.openxmlformats.org/officeDocument/2006/relationships/hyperlink" Target="http://thenaturalhealthblogger.com" TargetMode="External"/><Relationship Id="rId4993" Type="http://schemas.openxmlformats.org/officeDocument/2006/relationships/hyperlink" Target="https://www.npr.org/sections/health-shots/2019/12/31/792505428/start-fresh-6-tips-for-mental-health-in-2020?fbclid=IwAR184-5XhKPRpPhYkr_Au7dE8oWB6EVLYboqic5y2HGzjqMKs3avUnYp4r8" TargetMode="External"/><Relationship Id="rId1002" Type="http://schemas.openxmlformats.org/officeDocument/2006/relationships/hyperlink" Target="https://pbs.twimg.com/media/EOgBtaGXkAASk5w.jpg" TargetMode="External"/><Relationship Id="rId2333" Type="http://schemas.openxmlformats.org/officeDocument/2006/relationships/hyperlink" Target="https://hayaat.pk/" TargetMode="External"/><Relationship Id="rId3665" Type="http://schemas.openxmlformats.org/officeDocument/2006/relationships/hyperlink" Target="https://scentfill.com/" TargetMode="External"/><Relationship Id="rId4996" Type="http://schemas.openxmlformats.org/officeDocument/2006/relationships/hyperlink" Target="http://www.neuroflowsolution.com/" TargetMode="External"/><Relationship Id="rId1003" Type="http://schemas.openxmlformats.org/officeDocument/2006/relationships/hyperlink" Target="https://www.fastcompany.com/90275754/this-is-what-kind-of-music-you-should-listen-to-at-work-to-be-more-productive" TargetMode="External"/><Relationship Id="rId2334" Type="http://schemas.openxmlformats.org/officeDocument/2006/relationships/hyperlink" Target="https://pbs.twimg.com/media/EOZriINWkAAESHk.jpg" TargetMode="External"/><Relationship Id="rId3664" Type="http://schemas.openxmlformats.org/officeDocument/2006/relationships/hyperlink" Target="https://pbs.twimg.com/media/EORqvzTXsAAV8ux.jpg" TargetMode="External"/><Relationship Id="rId4995" Type="http://schemas.openxmlformats.org/officeDocument/2006/relationships/hyperlink" Target="https://hubs.ly/H0myp930" TargetMode="External"/><Relationship Id="rId1037" Type="http://schemas.openxmlformats.org/officeDocument/2006/relationships/hyperlink" Target="http://ow.ly/1ewd50xUIGN" TargetMode="External"/><Relationship Id="rId2368" Type="http://schemas.openxmlformats.org/officeDocument/2006/relationships/hyperlink" Target="https://mummyfever.co.uk/7-tips-to-take-the-stress-out-of-travelling-with-family/" TargetMode="External"/><Relationship Id="rId1038" Type="http://schemas.openxmlformats.org/officeDocument/2006/relationships/hyperlink" Target="https://pbs.twimg.com/media/EOf6jIeWkAAJ4RC.jpg" TargetMode="External"/><Relationship Id="rId2369" Type="http://schemas.openxmlformats.org/officeDocument/2006/relationships/hyperlink" Target="https://pbs.twimg.com/media/EOZj0kzWkAA40CT.jpg" TargetMode="External"/><Relationship Id="rId3699" Type="http://schemas.openxmlformats.org/officeDocument/2006/relationships/hyperlink" Target="https://www.tenpercent.com/challenge" TargetMode="External"/><Relationship Id="rId1039" Type="http://schemas.openxmlformats.org/officeDocument/2006/relationships/hyperlink" Target="http://shoshanashea.com/" TargetMode="External"/><Relationship Id="rId206" Type="http://schemas.openxmlformats.org/officeDocument/2006/relationships/hyperlink" Target="https://pbs.twimg.com/media/EOlercYXkAEkPIU.jpg" TargetMode="External"/><Relationship Id="rId205" Type="http://schemas.openxmlformats.org/officeDocument/2006/relationships/hyperlink" Target="http://ow.ly/cODr30q83SH" TargetMode="External"/><Relationship Id="rId204" Type="http://schemas.openxmlformats.org/officeDocument/2006/relationships/hyperlink" Target="http://www.melittacampbell.com" TargetMode="External"/><Relationship Id="rId203" Type="http://schemas.openxmlformats.org/officeDocument/2006/relationships/hyperlink" Target="http://anthonyclarkmusic.com" TargetMode="External"/><Relationship Id="rId209" Type="http://schemas.openxmlformats.org/officeDocument/2006/relationships/hyperlink" Target="http://www.imageryandmusic.com" TargetMode="External"/><Relationship Id="rId208" Type="http://schemas.openxmlformats.org/officeDocument/2006/relationships/hyperlink" Target="https://www.psychologytoday.com/us/blog/reaching-across-the-divide/202001/make-daily-meditation-your-new-years-resolution" TargetMode="External"/><Relationship Id="rId3690" Type="http://schemas.openxmlformats.org/officeDocument/2006/relationships/hyperlink" Target="http://www.honeylangcaster-james.com" TargetMode="External"/><Relationship Id="rId207" Type="http://schemas.openxmlformats.org/officeDocument/2006/relationships/hyperlink" Target="https://tonyburkinshaw.co.uk/contact" TargetMode="External"/><Relationship Id="rId2360" Type="http://schemas.openxmlformats.org/officeDocument/2006/relationships/hyperlink" Target="https://pbs.twimg.com/media/EOZoB_8VUAE3cGp.jpg" TargetMode="External"/><Relationship Id="rId3692" Type="http://schemas.openxmlformats.org/officeDocument/2006/relationships/hyperlink" Target="http://bit.ly/2FO9EBm" TargetMode="External"/><Relationship Id="rId1030" Type="http://schemas.openxmlformats.org/officeDocument/2006/relationships/hyperlink" Target="http://www.thechildreypractice.co.uk" TargetMode="External"/><Relationship Id="rId2361" Type="http://schemas.openxmlformats.org/officeDocument/2006/relationships/hyperlink" Target="http://www.wjso.com" TargetMode="External"/><Relationship Id="rId3691" Type="http://schemas.openxmlformats.org/officeDocument/2006/relationships/hyperlink" Target="http://www.jannellmacaulay.com" TargetMode="External"/><Relationship Id="rId1031" Type="http://schemas.openxmlformats.org/officeDocument/2006/relationships/hyperlink" Target="https://pbs.twimg.com/media/EOf7BCQWAAEqJYX.jpg" TargetMode="External"/><Relationship Id="rId2362" Type="http://schemas.openxmlformats.org/officeDocument/2006/relationships/hyperlink" Target="https://bit.ly/2R1Mmyh" TargetMode="External"/><Relationship Id="rId3694" Type="http://schemas.openxmlformats.org/officeDocument/2006/relationships/hyperlink" Target="http://ow.ly/cbPW50xToSa" TargetMode="External"/><Relationship Id="rId1032" Type="http://schemas.openxmlformats.org/officeDocument/2006/relationships/hyperlink" Target="http://www.hot-newtech.com" TargetMode="External"/><Relationship Id="rId2363" Type="http://schemas.openxmlformats.org/officeDocument/2006/relationships/hyperlink" Target="http://www.nmamilife.com" TargetMode="External"/><Relationship Id="rId3693" Type="http://schemas.openxmlformats.org/officeDocument/2006/relationships/hyperlink" Target="http://5reasonstoread.com" TargetMode="External"/><Relationship Id="rId202" Type="http://schemas.openxmlformats.org/officeDocument/2006/relationships/hyperlink" Target="https://pbs.twimg.com/media/EOlful4UcAAok_x.jpg" TargetMode="External"/><Relationship Id="rId1033" Type="http://schemas.openxmlformats.org/officeDocument/2006/relationships/hyperlink" Target="https://pbs.twimg.com/media/EOf6mKtX0AAx5l3.jpg" TargetMode="External"/><Relationship Id="rId2364" Type="http://schemas.openxmlformats.org/officeDocument/2006/relationships/hyperlink" Target="https://pbs.twimg.com/media/EOZkdZ9WAAArnNR.jpg" TargetMode="External"/><Relationship Id="rId3696" Type="http://schemas.openxmlformats.org/officeDocument/2006/relationships/hyperlink" Target="https://lttr.ai/MKvp" TargetMode="External"/><Relationship Id="rId201" Type="http://schemas.openxmlformats.org/officeDocument/2006/relationships/hyperlink" Target="http://snip.ly/e4sz2" TargetMode="External"/><Relationship Id="rId1034" Type="http://schemas.openxmlformats.org/officeDocument/2006/relationships/hyperlink" Target="http://www.amandadudman.co.uk" TargetMode="External"/><Relationship Id="rId2365" Type="http://schemas.openxmlformats.org/officeDocument/2006/relationships/hyperlink" Target="https://conta.cc/2QWYRv1" TargetMode="External"/><Relationship Id="rId3695" Type="http://schemas.openxmlformats.org/officeDocument/2006/relationships/hyperlink" Target="http://marthaforlines.com" TargetMode="External"/><Relationship Id="rId200" Type="http://schemas.openxmlformats.org/officeDocument/2006/relationships/hyperlink" Target="https://kingsumo.com/g/9agctd/giveaway-january-2020/mp97o47" TargetMode="External"/><Relationship Id="rId1035" Type="http://schemas.openxmlformats.org/officeDocument/2006/relationships/hyperlink" Target="http://bit.ly/2GAmz9y" TargetMode="External"/><Relationship Id="rId2366" Type="http://schemas.openxmlformats.org/officeDocument/2006/relationships/hyperlink" Target="https://pbs.twimg.com/media/EOZkbzNWAAEdHjI.jpg" TargetMode="External"/><Relationship Id="rId3698" Type="http://schemas.openxmlformats.org/officeDocument/2006/relationships/hyperlink" Target="http://www.hypnosisfirst.com" TargetMode="External"/><Relationship Id="rId1036" Type="http://schemas.openxmlformats.org/officeDocument/2006/relationships/hyperlink" Target="http://www.kaylajwmarnach.com" TargetMode="External"/><Relationship Id="rId2367" Type="http://schemas.openxmlformats.org/officeDocument/2006/relationships/hyperlink" Target="http://www.mindful.ca" TargetMode="External"/><Relationship Id="rId3697" Type="http://schemas.openxmlformats.org/officeDocument/2006/relationships/hyperlink" Target="https://pbs.twimg.com/media/EORdxpHX4AAnChY.jpg" TargetMode="External"/><Relationship Id="rId1026" Type="http://schemas.openxmlformats.org/officeDocument/2006/relationships/hyperlink" Target="http://ow.ly/j12250xXWEj" TargetMode="External"/><Relationship Id="rId2357" Type="http://schemas.openxmlformats.org/officeDocument/2006/relationships/hyperlink" Target="http://youtube.com/scottebruh" TargetMode="External"/><Relationship Id="rId3689" Type="http://schemas.openxmlformats.org/officeDocument/2006/relationships/hyperlink" Target="http://pic.twitter.com/1a0xBGszhQ" TargetMode="External"/><Relationship Id="rId1027" Type="http://schemas.openxmlformats.org/officeDocument/2006/relationships/hyperlink" Target="https://pbs.twimg.com/media/EOf81QOXsAAid3S.jpg" TargetMode="External"/><Relationship Id="rId2358" Type="http://schemas.openxmlformats.org/officeDocument/2006/relationships/hyperlink" Target="https://www.youthforumswitzerland.ch/" TargetMode="External"/><Relationship Id="rId3688" Type="http://schemas.openxmlformats.org/officeDocument/2006/relationships/hyperlink" Target="http://www.mango.bz" TargetMode="External"/><Relationship Id="rId1028" Type="http://schemas.openxmlformats.org/officeDocument/2006/relationships/hyperlink" Target="http://www.bodet.co.uk" TargetMode="External"/><Relationship Id="rId2359" Type="http://schemas.openxmlformats.org/officeDocument/2006/relationships/hyperlink" Target="http://www.bohaceklab.ethz.ch" TargetMode="External"/><Relationship Id="rId1029" Type="http://schemas.openxmlformats.org/officeDocument/2006/relationships/hyperlink" Target="https://www.facebook.com/428558810623455/posts/1950172031795451?sfns=mo" TargetMode="External"/><Relationship Id="rId3681" Type="http://schemas.openxmlformats.org/officeDocument/2006/relationships/hyperlink" Target="http://ow.ly/L5D750xFALe" TargetMode="External"/><Relationship Id="rId2350" Type="http://schemas.openxmlformats.org/officeDocument/2006/relationships/hyperlink" Target="http://www.sme-news.co.uk/" TargetMode="External"/><Relationship Id="rId3680" Type="http://schemas.openxmlformats.org/officeDocument/2006/relationships/hyperlink" Target="http://edbenjaminbooks.com/" TargetMode="External"/><Relationship Id="rId1020" Type="http://schemas.openxmlformats.org/officeDocument/2006/relationships/hyperlink" Target="https://www.instagram.com/p/B7bc8nvlGTT/?igshid=17nzibrdqci0k" TargetMode="External"/><Relationship Id="rId2351" Type="http://schemas.openxmlformats.org/officeDocument/2006/relationships/hyperlink" Target="http://ow.ly/YSu730nrXMP" TargetMode="External"/><Relationship Id="rId3683" Type="http://schemas.openxmlformats.org/officeDocument/2006/relationships/hyperlink" Target="https://www.psychologytoday.com/us/blog/you-according-them/202001/manage-your-worry-not-your-work" TargetMode="External"/><Relationship Id="rId1021" Type="http://schemas.openxmlformats.org/officeDocument/2006/relationships/hyperlink" Target="http://www.artesiannaturalfoods.com" TargetMode="External"/><Relationship Id="rId2352" Type="http://schemas.openxmlformats.org/officeDocument/2006/relationships/hyperlink" Target="https://pbs.twimg.com/media/EOZq4VbX4AAZfUx.jpg" TargetMode="External"/><Relationship Id="rId3682" Type="http://schemas.openxmlformats.org/officeDocument/2006/relationships/hyperlink" Target="http://csnn.ca" TargetMode="External"/><Relationship Id="rId1022" Type="http://schemas.openxmlformats.org/officeDocument/2006/relationships/hyperlink" Target="https://youtu.be/uRT5dMO4oFw" TargetMode="External"/><Relationship Id="rId2353" Type="http://schemas.openxmlformats.org/officeDocument/2006/relationships/hyperlink" Target="http://www.skinonline.co.za" TargetMode="External"/><Relationship Id="rId3685" Type="http://schemas.openxmlformats.org/officeDocument/2006/relationships/hyperlink" Target="https://www.psypost.org/2019/12/mindfulness-linked-to-acceptance-and-self-compassion-in-response-to-stressful-experiences-55111" TargetMode="External"/><Relationship Id="rId1023" Type="http://schemas.openxmlformats.org/officeDocument/2006/relationships/hyperlink" Target="https://pbs.twimg.com/media/EOf_V2TX0AYO3To.jpg" TargetMode="External"/><Relationship Id="rId2354" Type="http://schemas.openxmlformats.org/officeDocument/2006/relationships/hyperlink" Target="https://www.headtorch.org/stressed-im-not-stressed/" TargetMode="External"/><Relationship Id="rId3684" Type="http://schemas.openxmlformats.org/officeDocument/2006/relationships/hyperlink" Target="https://greenwoodcounselingcenter.com/" TargetMode="External"/><Relationship Id="rId1024" Type="http://schemas.openxmlformats.org/officeDocument/2006/relationships/hyperlink" Target="http://drromie.com" TargetMode="External"/><Relationship Id="rId2355" Type="http://schemas.openxmlformats.org/officeDocument/2006/relationships/hyperlink" Target="https://pbs.twimg.com/media/EOZqAzrX4AA9R89.jpg" TargetMode="External"/><Relationship Id="rId3687" Type="http://schemas.openxmlformats.org/officeDocument/2006/relationships/hyperlink" Target="https://listproducer.com/2020/01/how-gayle-king-stays-productive/" TargetMode="External"/><Relationship Id="rId1025" Type="http://schemas.openxmlformats.org/officeDocument/2006/relationships/hyperlink" Target="https://now.uz/2NCcFZF" TargetMode="External"/><Relationship Id="rId2356" Type="http://schemas.openxmlformats.org/officeDocument/2006/relationships/hyperlink" Target="http://www.headtorch.org/" TargetMode="External"/><Relationship Id="rId3686" Type="http://schemas.openxmlformats.org/officeDocument/2006/relationships/hyperlink" Target="http://www.facingdragons.com" TargetMode="External"/><Relationship Id="rId4161" Type="http://schemas.openxmlformats.org/officeDocument/2006/relationships/hyperlink" Target="https://pbs.twimg.com/media/EOPzaEdX0AUbTSg.jpg" TargetMode="External"/><Relationship Id="rId4160" Type="http://schemas.openxmlformats.org/officeDocument/2006/relationships/hyperlink" Target="http://bit.ly/2smiRh9" TargetMode="External"/><Relationship Id="rId4163" Type="http://schemas.openxmlformats.org/officeDocument/2006/relationships/hyperlink" Target="https://pbs.twimg.com/media/EOPznSrWkAIKM2_.png" TargetMode="External"/><Relationship Id="rId4162" Type="http://schemas.openxmlformats.org/officeDocument/2006/relationships/hyperlink" Target="http://www.womans.org" TargetMode="External"/><Relationship Id="rId4165" Type="http://schemas.openxmlformats.org/officeDocument/2006/relationships/hyperlink" Target="https://pbs.twimg.com/media/EOPza_nWkAIxNX3.jpg" TargetMode="External"/><Relationship Id="rId4164" Type="http://schemas.openxmlformats.org/officeDocument/2006/relationships/hyperlink" Target="https://www.emotionatwork.co.uk" TargetMode="External"/><Relationship Id="rId4167" Type="http://schemas.openxmlformats.org/officeDocument/2006/relationships/hyperlink" Target="https://pbs.twimg.com/media/EOPzbIxUYAAlcpE.jpg" TargetMode="External"/><Relationship Id="rId4166" Type="http://schemas.openxmlformats.org/officeDocument/2006/relationships/hyperlink" Target="http://www.drama2calmer.com" TargetMode="External"/><Relationship Id="rId4169" Type="http://schemas.openxmlformats.org/officeDocument/2006/relationships/hyperlink" Target="https://bit.ly/2QZrBlv" TargetMode="External"/><Relationship Id="rId4168" Type="http://schemas.openxmlformats.org/officeDocument/2006/relationships/hyperlink" Target="http://www.yogapathwellness.ca" TargetMode="External"/><Relationship Id="rId4150" Type="http://schemas.openxmlformats.org/officeDocument/2006/relationships/hyperlink" Target="https://www.podbean.com/eu/pb-qbzu8-cc5801" TargetMode="External"/><Relationship Id="rId4152" Type="http://schemas.openxmlformats.org/officeDocument/2006/relationships/hyperlink" Target="http://ow.ly/rS1R50xORSG" TargetMode="External"/><Relationship Id="rId4151" Type="http://schemas.openxmlformats.org/officeDocument/2006/relationships/hyperlink" Target="https://worksmartlivesmart.com" TargetMode="External"/><Relationship Id="rId4154" Type="http://schemas.openxmlformats.org/officeDocument/2006/relationships/hyperlink" Target="https://buff.ly/36UrLkI" TargetMode="External"/><Relationship Id="rId4153" Type="http://schemas.openxmlformats.org/officeDocument/2006/relationships/hyperlink" Target="http://www.monkeypuzzletraining.co.uk" TargetMode="External"/><Relationship Id="rId4156" Type="http://schemas.openxmlformats.org/officeDocument/2006/relationships/hyperlink" Target="http://ambreassociates.com" TargetMode="External"/><Relationship Id="rId4155" Type="http://schemas.openxmlformats.org/officeDocument/2006/relationships/hyperlink" Target="https://pbs.twimg.com/media/EOPz3ZHWsAEz_WS.jpg" TargetMode="External"/><Relationship Id="rId4158" Type="http://schemas.openxmlformats.org/officeDocument/2006/relationships/hyperlink" Target="https://pbs.twimg.com/media/EOPzz-cWsAEceLd.jpg" TargetMode="External"/><Relationship Id="rId4157" Type="http://schemas.openxmlformats.org/officeDocument/2006/relationships/hyperlink" Target="https://bit.ly/30inrJA" TargetMode="External"/><Relationship Id="rId4159" Type="http://schemas.openxmlformats.org/officeDocument/2006/relationships/hyperlink" Target="http://mtv.com.lb" TargetMode="External"/><Relationship Id="rId1910" Type="http://schemas.openxmlformats.org/officeDocument/2006/relationships/hyperlink" Target="https://pbs.twimg.com/media/EObFineXkAIbMah.jpg" TargetMode="External"/><Relationship Id="rId1911" Type="http://schemas.openxmlformats.org/officeDocument/2006/relationships/hyperlink" Target="http://drbondhopson.com/" TargetMode="External"/><Relationship Id="rId1912" Type="http://schemas.openxmlformats.org/officeDocument/2006/relationships/hyperlink" Target="http://www.theherbalgardens.com" TargetMode="External"/><Relationship Id="rId1913" Type="http://schemas.openxmlformats.org/officeDocument/2006/relationships/hyperlink" Target="https://www.radioiowa.com/2020/01/16/free-iowa-concern-hotline-available-to-help-deal-with-stress-of-life/" TargetMode="External"/><Relationship Id="rId1914" Type="http://schemas.openxmlformats.org/officeDocument/2006/relationships/hyperlink" Target="https://neptune33usa.blogspot.com/2017/05/neptune-33.html" TargetMode="External"/><Relationship Id="rId1915" Type="http://schemas.openxmlformats.org/officeDocument/2006/relationships/hyperlink" Target="https://www.madinamerica.com/2020/01/stress-abandoned-predation-suicide-modern-world/" TargetMode="External"/><Relationship Id="rId1916" Type="http://schemas.openxmlformats.org/officeDocument/2006/relationships/hyperlink" Target="http://madinamerica.com" TargetMode="External"/><Relationship Id="rId1917" Type="http://schemas.openxmlformats.org/officeDocument/2006/relationships/hyperlink" Target="http://www.sharonstiles.co.uk/happy-new-year" TargetMode="External"/><Relationship Id="rId1918" Type="http://schemas.openxmlformats.org/officeDocument/2006/relationships/hyperlink" Target="https://pbs.twimg.com/media/EObDMh8WAAENYPQ.jpg" TargetMode="External"/><Relationship Id="rId1919" Type="http://schemas.openxmlformats.org/officeDocument/2006/relationships/hyperlink" Target="https://www.sharonstiles.co.uk" TargetMode="External"/><Relationship Id="rId4181" Type="http://schemas.openxmlformats.org/officeDocument/2006/relationships/hyperlink" Target="http://breathebodymind.com" TargetMode="External"/><Relationship Id="rId4180" Type="http://schemas.openxmlformats.org/officeDocument/2006/relationships/hyperlink" Target="https://pbs.twimg.com/media/EOPxQuVWoAEb4Z4.jpg" TargetMode="External"/><Relationship Id="rId4183" Type="http://schemas.openxmlformats.org/officeDocument/2006/relationships/hyperlink" Target="https://pbs.twimg.com/media/EOPwsJtWoAEcHnf.jpg" TargetMode="External"/><Relationship Id="rId4182" Type="http://schemas.openxmlformats.org/officeDocument/2006/relationships/hyperlink" Target="http://janesonx.com" TargetMode="External"/><Relationship Id="rId4185" Type="http://schemas.openxmlformats.org/officeDocument/2006/relationships/hyperlink" Target="https://www.eurekalert.org/pub_releases/2020-01/vumc-ssl011020.php" TargetMode="External"/><Relationship Id="rId4184" Type="http://schemas.openxmlformats.org/officeDocument/2006/relationships/hyperlink" Target="https://janesonx.com" TargetMode="External"/><Relationship Id="rId4187" Type="http://schemas.openxmlformats.org/officeDocument/2006/relationships/hyperlink" Target="http://ow.ly/zxVk50xUqK1" TargetMode="External"/><Relationship Id="rId4186" Type="http://schemas.openxmlformats.org/officeDocument/2006/relationships/hyperlink" Target="http://www.advancedcare.com" TargetMode="External"/><Relationship Id="rId4189" Type="http://schemas.openxmlformats.org/officeDocument/2006/relationships/hyperlink" Target="https://bit.ly/33bpuQh" TargetMode="External"/><Relationship Id="rId4188" Type="http://schemas.openxmlformats.org/officeDocument/2006/relationships/hyperlink" Target="http://shulman.ca/" TargetMode="External"/><Relationship Id="rId1900" Type="http://schemas.openxmlformats.org/officeDocument/2006/relationships/hyperlink" Target="https://amzn.to/30OzTA5" TargetMode="External"/><Relationship Id="rId1901" Type="http://schemas.openxmlformats.org/officeDocument/2006/relationships/hyperlink" Target="https://pbs.twimg.com/media/EObGruNXsAAPk6h.jpg" TargetMode="External"/><Relationship Id="rId1902" Type="http://schemas.openxmlformats.org/officeDocument/2006/relationships/hyperlink" Target="http://www.timemanagementninja.com" TargetMode="External"/><Relationship Id="rId1903" Type="http://schemas.openxmlformats.org/officeDocument/2006/relationships/hyperlink" Target="http://pachaworld.org/mentalhealth-stress-depression-anxiety-rescue-pastilles-homeopathic-stress-relief-natural-cranberry-flavor-35-pastilles" TargetMode="External"/><Relationship Id="rId1904" Type="http://schemas.openxmlformats.org/officeDocument/2006/relationships/hyperlink" Target="https://pbs.twimg.com/media/EObFynSXkAArg-8.jpg" TargetMode="External"/><Relationship Id="rId1905" Type="http://schemas.openxmlformats.org/officeDocument/2006/relationships/hyperlink" Target="https://www.pinterest.com/bestmetabooster/" TargetMode="External"/><Relationship Id="rId1906" Type="http://schemas.openxmlformats.org/officeDocument/2006/relationships/hyperlink" Target="https://www.instagram.com/p/B7Y9B0jjDvZ/" TargetMode="External"/><Relationship Id="rId1907" Type="http://schemas.openxmlformats.org/officeDocument/2006/relationships/hyperlink" Target="https://pbs.twimg.com/media/EObFi_9W4AEWaX4.jpg" TargetMode="External"/><Relationship Id="rId1908" Type="http://schemas.openxmlformats.org/officeDocument/2006/relationships/hyperlink" Target="https://www.instagram.com/philburmac" TargetMode="External"/><Relationship Id="rId1909" Type="http://schemas.openxmlformats.org/officeDocument/2006/relationships/hyperlink" Target="http://bit.ly/2R0uuUl" TargetMode="External"/><Relationship Id="rId4170" Type="http://schemas.openxmlformats.org/officeDocument/2006/relationships/hyperlink" Target="https://pbs.twimg.com/media/EOPzbEQWoAAOe7X.jpg" TargetMode="External"/><Relationship Id="rId4172" Type="http://schemas.openxmlformats.org/officeDocument/2006/relationships/hyperlink" Target="https://data.val.org.uk/civicrm/event/info?id=1423&amp;reset=1" TargetMode="External"/><Relationship Id="rId4171" Type="http://schemas.openxmlformats.org/officeDocument/2006/relationships/hyperlink" Target="http://www.mirrormeditation.com" TargetMode="External"/><Relationship Id="rId4174" Type="http://schemas.openxmlformats.org/officeDocument/2006/relationships/hyperlink" Target="http://doinggoodleeds.org.uk" TargetMode="External"/><Relationship Id="rId4173" Type="http://schemas.openxmlformats.org/officeDocument/2006/relationships/hyperlink" Target="https://pbs.twimg.com/media/ENSBkvDWwAAGF6M.png" TargetMode="External"/><Relationship Id="rId4176" Type="http://schemas.openxmlformats.org/officeDocument/2006/relationships/hyperlink" Target="http://www.wehearyou.co.za/" TargetMode="External"/><Relationship Id="rId4175" Type="http://schemas.openxmlformats.org/officeDocument/2006/relationships/hyperlink" Target="https://pbs.twimg.com/media/EOKptKZX4AIYQAK.jpg" TargetMode="External"/><Relationship Id="rId4178" Type="http://schemas.openxmlformats.org/officeDocument/2006/relationships/hyperlink" Target="https://worksmartlivesmart.com" TargetMode="External"/><Relationship Id="rId4177" Type="http://schemas.openxmlformats.org/officeDocument/2006/relationships/hyperlink" Target="https://www.podbean.com/eu/pb-sjsnq-cc57fa" TargetMode="External"/><Relationship Id="rId4179" Type="http://schemas.openxmlformats.org/officeDocument/2006/relationships/hyperlink" Target="https://ift.tt/35Nw93D" TargetMode="External"/><Relationship Id="rId4129" Type="http://schemas.openxmlformats.org/officeDocument/2006/relationships/hyperlink" Target="https://pbs.twimg.com/media/EOLk91vWAAAL9Cz.jpg" TargetMode="External"/><Relationship Id="rId4128" Type="http://schemas.openxmlformats.org/officeDocument/2006/relationships/hyperlink" Target="http://www.theherbalgardens.com" TargetMode="External"/><Relationship Id="rId1090" Type="http://schemas.openxmlformats.org/officeDocument/2006/relationships/hyperlink" Target="http://www.flickr.com/photos/crack_shot/collections/" TargetMode="External"/><Relationship Id="rId1091" Type="http://schemas.openxmlformats.org/officeDocument/2006/relationships/hyperlink" Target="https://pbs.twimg.com/media/EOft2SvU4AUtJzJ.jpg" TargetMode="External"/><Relationship Id="rId1092" Type="http://schemas.openxmlformats.org/officeDocument/2006/relationships/hyperlink" Target="https://getversus.com" TargetMode="External"/><Relationship Id="rId1093" Type="http://schemas.openxmlformats.org/officeDocument/2006/relationships/hyperlink" Target="http://bit.ly/2VxPxSg" TargetMode="External"/><Relationship Id="rId1094" Type="http://schemas.openxmlformats.org/officeDocument/2006/relationships/hyperlink" Target="https://pbs.twimg.com/media/EOftTxYVAAIqiXW.jpg" TargetMode="External"/><Relationship Id="rId1095" Type="http://schemas.openxmlformats.org/officeDocument/2006/relationships/hyperlink" Target="https://www.mariagaian.com" TargetMode="External"/><Relationship Id="rId4121" Type="http://schemas.openxmlformats.org/officeDocument/2006/relationships/hyperlink" Target="https://kingsumo.com/g/9agctd/giveaway-january-2020/m27d4j7" TargetMode="External"/><Relationship Id="rId1096" Type="http://schemas.openxmlformats.org/officeDocument/2006/relationships/hyperlink" Target="https://hubs.ly/H0myxwC0" TargetMode="External"/><Relationship Id="rId4120" Type="http://schemas.openxmlformats.org/officeDocument/2006/relationships/hyperlink" Target="http://www.dianafletcher.com" TargetMode="External"/><Relationship Id="rId1097" Type="http://schemas.openxmlformats.org/officeDocument/2006/relationships/hyperlink" Target="http://www.neuroflowsolution.com/" TargetMode="External"/><Relationship Id="rId4123" Type="http://schemas.openxmlformats.org/officeDocument/2006/relationships/hyperlink" Target="https://pbs.twimg.com/media/EOP8rjtU4AAMUid.jpg" TargetMode="External"/><Relationship Id="rId1098" Type="http://schemas.openxmlformats.org/officeDocument/2006/relationships/hyperlink" Target="https://www.mindbodygreen.com/articles/social-support-can-lead-to-full-recovery-of-anxiety-study-finds" TargetMode="External"/><Relationship Id="rId4122" Type="http://schemas.openxmlformats.org/officeDocument/2006/relationships/hyperlink" Target="https://www.facebook.com/mike.bratek?ref=tn_tnmn" TargetMode="External"/><Relationship Id="rId1099" Type="http://schemas.openxmlformats.org/officeDocument/2006/relationships/hyperlink" Target="http://www.apa.org/helpcenter" TargetMode="External"/><Relationship Id="rId4125" Type="http://schemas.openxmlformats.org/officeDocument/2006/relationships/hyperlink" Target="https://www.instagram.com/p/B7Tb90tFS5A/?igshid=1o0rz25iv77sq" TargetMode="External"/><Relationship Id="rId4124" Type="http://schemas.openxmlformats.org/officeDocument/2006/relationships/hyperlink" Target="https://www.linkedin.com/in/jean-claude-morris-a9337914" TargetMode="External"/><Relationship Id="rId4127" Type="http://schemas.openxmlformats.org/officeDocument/2006/relationships/hyperlink" Target="https://pbs.twimg.com/media/EOP8BsSUYAMZygX.jpg" TargetMode="External"/><Relationship Id="rId4126" Type="http://schemas.openxmlformats.org/officeDocument/2006/relationships/hyperlink" Target="http://linktr.ee/crimsonbowscinitiative" TargetMode="External"/><Relationship Id="rId4118" Type="http://schemas.openxmlformats.org/officeDocument/2006/relationships/hyperlink" Target="https://twitter.com/balance2018/status/1216766902917312512" TargetMode="External"/><Relationship Id="rId4117" Type="http://schemas.openxmlformats.org/officeDocument/2006/relationships/hyperlink" Target="http://mikegreg.com" TargetMode="External"/><Relationship Id="rId4119" Type="http://schemas.openxmlformats.org/officeDocument/2006/relationships/hyperlink" Target="https://pbs.twimg.com/media/EOLTC_6X4AACKiR.jpg" TargetMode="External"/><Relationship Id="rId1080" Type="http://schemas.openxmlformats.org/officeDocument/2006/relationships/hyperlink" Target="https://www.constructionnews.co.uk/agenda/opinion/employers-have-a-duty-to-assess-the-risk-of-stress-17-01-2020/" TargetMode="External"/><Relationship Id="rId1081" Type="http://schemas.openxmlformats.org/officeDocument/2006/relationships/hyperlink" Target="https://pbs.twimg.com/media/EOfxPflX0AIiC39.jpg" TargetMode="External"/><Relationship Id="rId1082" Type="http://schemas.openxmlformats.org/officeDocument/2006/relationships/hyperlink" Target="https://www.linkedin.com/in/catherine-mackay-4a3b5449" TargetMode="External"/><Relationship Id="rId1083" Type="http://schemas.openxmlformats.org/officeDocument/2006/relationships/hyperlink" Target="http://itsgardeningtime.com/?p=8736&amp;utm_source=ReviveOldPost&amp;utm_medium=social&amp;utm_campaign=ReviveOldPost" TargetMode="External"/><Relationship Id="rId1084" Type="http://schemas.openxmlformats.org/officeDocument/2006/relationships/hyperlink" Target="http://itsgardeningtime.com" TargetMode="External"/><Relationship Id="rId4110" Type="http://schemas.openxmlformats.org/officeDocument/2006/relationships/hyperlink" Target="https://pbs.twimg.com/media/EOQAFA5WoAIS9zm.jpg" TargetMode="External"/><Relationship Id="rId1085" Type="http://schemas.openxmlformats.org/officeDocument/2006/relationships/hyperlink" Target="https://mailchi.mp/aadccaf0044a/pain-tools-physical-and-emotion-pain-articles-trivia" TargetMode="External"/><Relationship Id="rId1086" Type="http://schemas.openxmlformats.org/officeDocument/2006/relationships/hyperlink" Target="https://pbs.twimg.com/media/EOfvI6OXUAETFks.jpg" TargetMode="External"/><Relationship Id="rId4112" Type="http://schemas.openxmlformats.org/officeDocument/2006/relationships/hyperlink" Target="https://kingsumo.com/g/9agctd/giveaway-january-2020/1yk5o8l" TargetMode="External"/><Relationship Id="rId1087" Type="http://schemas.openxmlformats.org/officeDocument/2006/relationships/hyperlink" Target="http://www.tomseamancoaching.com" TargetMode="External"/><Relationship Id="rId4111" Type="http://schemas.openxmlformats.org/officeDocument/2006/relationships/hyperlink" Target="https://scentfill.com/" TargetMode="External"/><Relationship Id="rId1088" Type="http://schemas.openxmlformats.org/officeDocument/2006/relationships/hyperlink" Target="https://securityintelligence.com/articles/9-reasons-why-cybersecurity-stress-is-an-industry-epidemic/" TargetMode="External"/><Relationship Id="rId4114" Type="http://schemas.openxmlformats.org/officeDocument/2006/relationships/hyperlink" Target="https://pbs.twimg.com/media/EOP_TyRWsAIajC_.jpg" TargetMode="External"/><Relationship Id="rId1089" Type="http://schemas.openxmlformats.org/officeDocument/2006/relationships/hyperlink" Target="http://www.linkedin.com/in/avdrst" TargetMode="External"/><Relationship Id="rId4113" Type="http://schemas.openxmlformats.org/officeDocument/2006/relationships/hyperlink" Target="http://ed.gr/b42wu" TargetMode="External"/><Relationship Id="rId4116" Type="http://schemas.openxmlformats.org/officeDocument/2006/relationships/hyperlink" Target="https://www.linkedin.com/pulse/how-manage-stress-attorneys-accountants-appraisers-michael-mike-" TargetMode="External"/><Relationship Id="rId4115" Type="http://schemas.openxmlformats.org/officeDocument/2006/relationships/hyperlink" Target="http://vulsini.com" TargetMode="External"/><Relationship Id="rId4141" Type="http://schemas.openxmlformats.org/officeDocument/2006/relationships/hyperlink" Target="https://buff.ly/2TmoJ4L" TargetMode="External"/><Relationship Id="rId4140" Type="http://schemas.openxmlformats.org/officeDocument/2006/relationships/hyperlink" Target="https://www.linkedin.com/in/siobhan-griffin-183166b4/" TargetMode="External"/><Relationship Id="rId4143" Type="http://schemas.openxmlformats.org/officeDocument/2006/relationships/hyperlink" Target="https://radiomd.com/healthy-talk/item/27162-mindfulness-meditation-made-easy" TargetMode="External"/><Relationship Id="rId4142" Type="http://schemas.openxmlformats.org/officeDocument/2006/relationships/hyperlink" Target="https://knowledgeenthusiast.com/" TargetMode="External"/><Relationship Id="rId4145" Type="http://schemas.openxmlformats.org/officeDocument/2006/relationships/hyperlink" Target="http://www.anxietytreatmentqueens.com/index.html" TargetMode="External"/><Relationship Id="rId4144" Type="http://schemas.openxmlformats.org/officeDocument/2006/relationships/hyperlink" Target="http://www.mindfulnessmeditationinstitute.org/" TargetMode="External"/><Relationship Id="rId4147" Type="http://schemas.openxmlformats.org/officeDocument/2006/relationships/hyperlink" Target="https://www.facebook.com/groups/289025471781251/" TargetMode="External"/><Relationship Id="rId4146" Type="http://schemas.openxmlformats.org/officeDocument/2006/relationships/hyperlink" Target="https://www.inc.com/dave-kerpen/3-ways-business-leaders-can-address-mental-health-in-office.html" TargetMode="External"/><Relationship Id="rId4149" Type="http://schemas.openxmlformats.org/officeDocument/2006/relationships/hyperlink" Target="https://www.climatechangeinitiative.org/" TargetMode="External"/><Relationship Id="rId4148" Type="http://schemas.openxmlformats.org/officeDocument/2006/relationships/hyperlink" Target="http://ow.ly/AwIY50xU8qi" TargetMode="External"/><Relationship Id="rId4139" Type="http://schemas.openxmlformats.org/officeDocument/2006/relationships/hyperlink" Target="https://pbs.twimg.com/media/EOPqPRSXkAEe3Ui.jpg" TargetMode="External"/><Relationship Id="rId4130" Type="http://schemas.openxmlformats.org/officeDocument/2006/relationships/hyperlink" Target="http://www.newleafcollege.co.uk" TargetMode="External"/><Relationship Id="rId4132" Type="http://schemas.openxmlformats.org/officeDocument/2006/relationships/hyperlink" Target="http://www.debcohenllc.com" TargetMode="External"/><Relationship Id="rId4131" Type="http://schemas.openxmlformats.org/officeDocument/2006/relationships/hyperlink" Target="http://bit.ly/2FKzBBq" TargetMode="External"/><Relationship Id="rId4134" Type="http://schemas.openxmlformats.org/officeDocument/2006/relationships/hyperlink" Target="http://kimberleebow.com" TargetMode="External"/><Relationship Id="rId4133" Type="http://schemas.openxmlformats.org/officeDocument/2006/relationships/hyperlink" Target="https://www.mindful.org/how-the-body-scan-meditation-practice-reduces-biological-stress/" TargetMode="External"/><Relationship Id="rId4136" Type="http://schemas.openxmlformats.org/officeDocument/2006/relationships/hyperlink" Target="https://twitter.com/TheNorthbankBID/status/1217064988046741505" TargetMode="External"/><Relationship Id="rId4135" Type="http://schemas.openxmlformats.org/officeDocument/2006/relationships/hyperlink" Target="https://pbs.twimg.com/media/EOP4402XsAY-OPG.jpg" TargetMode="External"/><Relationship Id="rId4138" Type="http://schemas.openxmlformats.org/officeDocument/2006/relationships/hyperlink" Target="http://www.wellbeingpeople.com" TargetMode="External"/><Relationship Id="rId4137" Type="http://schemas.openxmlformats.org/officeDocument/2006/relationships/hyperlink" Target="https://pbs.twimg.com/media/EOPiFiaWAAI6Ygs.jpg" TargetMode="External"/><Relationship Id="rId1972" Type="http://schemas.openxmlformats.org/officeDocument/2006/relationships/hyperlink" Target="http://www.environmentalhealthproject.org" TargetMode="External"/><Relationship Id="rId1973" Type="http://schemas.openxmlformats.org/officeDocument/2006/relationships/hyperlink" Target="https://www.podbean.com/eu/pb-esv4x-cc5812" TargetMode="External"/><Relationship Id="rId1974" Type="http://schemas.openxmlformats.org/officeDocument/2006/relationships/hyperlink" Target="https://worksmartlivesmart.com" TargetMode="External"/><Relationship Id="rId1975" Type="http://schemas.openxmlformats.org/officeDocument/2006/relationships/hyperlink" Target="https://www.ted.com/talks/kelly_mcgonigal_how_to_make_stress_your_friend" TargetMode="External"/><Relationship Id="rId1976" Type="http://schemas.openxmlformats.org/officeDocument/2006/relationships/hyperlink" Target="https://linktr.ee/mikekawula" TargetMode="External"/><Relationship Id="rId1977" Type="http://schemas.openxmlformats.org/officeDocument/2006/relationships/hyperlink" Target="http://binauralblog.com/fear-based-meditation" TargetMode="External"/><Relationship Id="rId1978" Type="http://schemas.openxmlformats.org/officeDocument/2006/relationships/hyperlink" Target="https://pbs.twimg.com/media/EOazP2vX4AMKMcZ.jpg" TargetMode="External"/><Relationship Id="rId1979" Type="http://schemas.openxmlformats.org/officeDocument/2006/relationships/hyperlink" Target="http://www.i-doser.com" TargetMode="External"/><Relationship Id="rId1970" Type="http://schemas.openxmlformats.org/officeDocument/2006/relationships/hyperlink" Target="http://ow.ly/8SGv50xWtVi" TargetMode="External"/><Relationship Id="rId1971" Type="http://schemas.openxmlformats.org/officeDocument/2006/relationships/hyperlink" Target="https://pbs.twimg.com/media/EOa1hQpXsAAk-uF.jpg" TargetMode="External"/><Relationship Id="rId1961" Type="http://schemas.openxmlformats.org/officeDocument/2006/relationships/hyperlink" Target="https://phys.org/news/2020-01-cells-stress.html" TargetMode="External"/><Relationship Id="rId1962" Type="http://schemas.openxmlformats.org/officeDocument/2006/relationships/hyperlink" Target="http://phys.org/science-news/biology/" TargetMode="External"/><Relationship Id="rId1963" Type="http://schemas.openxmlformats.org/officeDocument/2006/relationships/hyperlink" Target="http://ow.ly/xOjO30q9c5O" TargetMode="External"/><Relationship Id="rId1964" Type="http://schemas.openxmlformats.org/officeDocument/2006/relationships/hyperlink" Target="https://pbs.twimg.com/media/EOa2vewX0AIFKVA.png" TargetMode="External"/><Relationship Id="rId1965" Type="http://schemas.openxmlformats.org/officeDocument/2006/relationships/hyperlink" Target="http://www.namimass.org" TargetMode="External"/><Relationship Id="rId1966" Type="http://schemas.openxmlformats.org/officeDocument/2006/relationships/hyperlink" Target="https://pbs.twimg.com/media/EOa2N8bX0AMiYMq.jpg" TargetMode="External"/><Relationship Id="rId1967" Type="http://schemas.openxmlformats.org/officeDocument/2006/relationships/hyperlink" Target="http://www.mapleleafclinic.co.uk" TargetMode="External"/><Relationship Id="rId1968" Type="http://schemas.openxmlformats.org/officeDocument/2006/relationships/hyperlink" Target="http://pic.twitter.com/0tcQlRaUlj" TargetMode="External"/><Relationship Id="rId1969" Type="http://schemas.openxmlformats.org/officeDocument/2006/relationships/hyperlink" Target="http://www.coachingandlife.com" TargetMode="External"/><Relationship Id="rId1960" Type="http://schemas.openxmlformats.org/officeDocument/2006/relationships/hyperlink" Target="https://necincinnati.macaronikid.com/" TargetMode="External"/><Relationship Id="rId1994" Type="http://schemas.openxmlformats.org/officeDocument/2006/relationships/hyperlink" Target="https://gleeyoga.com" TargetMode="External"/><Relationship Id="rId1995" Type="http://schemas.openxmlformats.org/officeDocument/2006/relationships/hyperlink" Target="https://pbs.twimg.com/media/EOaw7c3W4AAQm32.png" TargetMode="External"/><Relationship Id="rId1996" Type="http://schemas.openxmlformats.org/officeDocument/2006/relationships/hyperlink" Target="http://www.cannaconsulting.co.uk" TargetMode="External"/><Relationship Id="rId1997" Type="http://schemas.openxmlformats.org/officeDocument/2006/relationships/hyperlink" Target="https://buff.ly/37wRFuN" TargetMode="External"/><Relationship Id="rId1998" Type="http://schemas.openxmlformats.org/officeDocument/2006/relationships/hyperlink" Target="http://badgermapping.com" TargetMode="External"/><Relationship Id="rId1999" Type="http://schemas.openxmlformats.org/officeDocument/2006/relationships/hyperlink" Target="https://www.psychologytoday.com/blog/turning-straw-gold/202001/how-help-manage-your-everyday-fears" TargetMode="External"/><Relationship Id="rId1990" Type="http://schemas.openxmlformats.org/officeDocument/2006/relationships/hyperlink" Target="https://pbs.twimg.com/media/EOaxc7OWoAE56yC.jpg" TargetMode="External"/><Relationship Id="rId1991" Type="http://schemas.openxmlformats.org/officeDocument/2006/relationships/hyperlink" Target="http://www.bupa.co.uk" TargetMode="External"/><Relationship Id="rId1992" Type="http://schemas.openxmlformats.org/officeDocument/2006/relationships/hyperlink" Target="https://gleeyoga.com/gleeyoga-depression-anxiety.php" TargetMode="External"/><Relationship Id="rId1993" Type="http://schemas.openxmlformats.org/officeDocument/2006/relationships/hyperlink" Target="https://pbs.twimg.com/media/EOaxZFOUEAEmU-1.png" TargetMode="External"/><Relationship Id="rId1983" Type="http://schemas.openxmlformats.org/officeDocument/2006/relationships/hyperlink" Target="http://www.clearviewminds.com" TargetMode="External"/><Relationship Id="rId1984" Type="http://schemas.openxmlformats.org/officeDocument/2006/relationships/hyperlink" Target="https://www.instagram.com/p/B7Y3L3NpURi/?igshid=91cfpwxbl84p" TargetMode="External"/><Relationship Id="rId1985" Type="http://schemas.openxmlformats.org/officeDocument/2006/relationships/hyperlink" Target="http://www.sportyking.com/inspirational-fun-letter.html" TargetMode="External"/><Relationship Id="rId1986" Type="http://schemas.openxmlformats.org/officeDocument/2006/relationships/hyperlink" Target="https://buff.ly/35FW0eB" TargetMode="External"/><Relationship Id="rId1987" Type="http://schemas.openxmlformats.org/officeDocument/2006/relationships/hyperlink" Target="https://pbs.twimg.com/media/EOayFJIWkAEY9PU.jpg" TargetMode="External"/><Relationship Id="rId1988" Type="http://schemas.openxmlformats.org/officeDocument/2006/relationships/hyperlink" Target="http://www.praiseworks.biz" TargetMode="External"/><Relationship Id="rId1989" Type="http://schemas.openxmlformats.org/officeDocument/2006/relationships/hyperlink" Target="http://bupa.co.uk/mental-health" TargetMode="External"/><Relationship Id="rId1980" Type="http://schemas.openxmlformats.org/officeDocument/2006/relationships/hyperlink" Target="https://www.cpr.org/2020/01/16/when-even-a-student-who-loves-school-starts-missing-day-after-day-how-you-bring-them-back/" TargetMode="External"/><Relationship Id="rId1981" Type="http://schemas.openxmlformats.org/officeDocument/2006/relationships/hyperlink" Target="http://www.cpr.org" TargetMode="External"/><Relationship Id="rId1982" Type="http://schemas.openxmlformats.org/officeDocument/2006/relationships/hyperlink" Target="https://pbs.twimg.com/media/EOZdtVEWAAAKdSR.jpg" TargetMode="External"/><Relationship Id="rId1930" Type="http://schemas.openxmlformats.org/officeDocument/2006/relationships/hyperlink" Target="https://pbs.twimg.com/media/EOa9wRDXsAIQgtQ.jpg" TargetMode="External"/><Relationship Id="rId1931" Type="http://schemas.openxmlformats.org/officeDocument/2006/relationships/hyperlink" Target="http://www.freedomhealthinsurance.co.uk" TargetMode="External"/><Relationship Id="rId1932" Type="http://schemas.openxmlformats.org/officeDocument/2006/relationships/hyperlink" Target="http://www.thefinanceteam.co.za/why-stress-can-actually-be-good-for-you/" TargetMode="External"/><Relationship Id="rId1933" Type="http://schemas.openxmlformats.org/officeDocument/2006/relationships/hyperlink" Target="https://pbs.twimg.com/media/EOa9pNhXUAMBrsY.jpg" TargetMode="External"/><Relationship Id="rId1934" Type="http://schemas.openxmlformats.org/officeDocument/2006/relationships/hyperlink" Target="http://www.thefinanceteam.co.za" TargetMode="External"/><Relationship Id="rId1935" Type="http://schemas.openxmlformats.org/officeDocument/2006/relationships/hyperlink" Target="http://bit.ly/ChngMd" TargetMode="External"/><Relationship Id="rId1936" Type="http://schemas.openxmlformats.org/officeDocument/2006/relationships/hyperlink" Target="http://www.quick-good-fortune.com" TargetMode="External"/><Relationship Id="rId1937" Type="http://schemas.openxmlformats.org/officeDocument/2006/relationships/hyperlink" Target="https://pbs.twimg.com/media/EOa8aKVUcAAayP9.jpg" TargetMode="External"/><Relationship Id="rId1938" Type="http://schemas.openxmlformats.org/officeDocument/2006/relationships/hyperlink" Target="https://www.oncali.com" TargetMode="External"/><Relationship Id="rId1939" Type="http://schemas.openxmlformats.org/officeDocument/2006/relationships/hyperlink" Target="https://qwikad.com/697/posts/20-Income-Opps/129-Business-Opportunities/853282-NO-RISK-NO-STRESS.html" TargetMode="External"/><Relationship Id="rId1920" Type="http://schemas.openxmlformats.org/officeDocument/2006/relationships/hyperlink" Target="https://bit.ly/2PzBsPp" TargetMode="External"/><Relationship Id="rId1921" Type="http://schemas.openxmlformats.org/officeDocument/2006/relationships/hyperlink" Target="https://pbs.twimg.com/media/EObBaTBXsAIPHhH.jpg" TargetMode="External"/><Relationship Id="rId1922" Type="http://schemas.openxmlformats.org/officeDocument/2006/relationships/hyperlink" Target="http://www.masisstaffing.com" TargetMode="External"/><Relationship Id="rId1923" Type="http://schemas.openxmlformats.org/officeDocument/2006/relationships/hyperlink" Target="https://wiselifetherapy.com/advise-overload-3-ways-to-cope/" TargetMode="External"/><Relationship Id="rId1924" Type="http://schemas.openxmlformats.org/officeDocument/2006/relationships/hyperlink" Target="http://wiselifetherapy.com" TargetMode="External"/><Relationship Id="rId1925" Type="http://schemas.openxmlformats.org/officeDocument/2006/relationships/hyperlink" Target="http://www.southernmomloves.com/2020/01/self-care-tips-to-stress-less-in-new.html" TargetMode="External"/><Relationship Id="rId1926" Type="http://schemas.openxmlformats.org/officeDocument/2006/relationships/hyperlink" Target="https://pbs.twimg.com/media/EOa_Wg5X0AA01sU.jpg" TargetMode="External"/><Relationship Id="rId1927" Type="http://schemas.openxmlformats.org/officeDocument/2006/relationships/hyperlink" Target="http://www.southernmomloves.com" TargetMode="External"/><Relationship Id="rId1928" Type="http://schemas.openxmlformats.org/officeDocument/2006/relationships/hyperlink" Target="https://www.cnn.com/2018/07/30/health/biking-wisdom-project/index.html" TargetMode="External"/><Relationship Id="rId1929" Type="http://schemas.openxmlformats.org/officeDocument/2006/relationships/hyperlink" Target="http://ow.ly/8wXX30q3i4e" TargetMode="External"/><Relationship Id="rId4190" Type="http://schemas.openxmlformats.org/officeDocument/2006/relationships/hyperlink" Target="https://pbs.twimg.com/media/EOPv4FeXsAAbIfy.jpg" TargetMode="External"/><Relationship Id="rId4192" Type="http://schemas.openxmlformats.org/officeDocument/2006/relationships/hyperlink" Target="http://a.msn.com/05/en-ca/BBYUzc4?ocid=st" TargetMode="External"/><Relationship Id="rId4191" Type="http://schemas.openxmlformats.org/officeDocument/2006/relationships/hyperlink" Target="http://www.mlmdominationtraining.com" TargetMode="External"/><Relationship Id="rId4194" Type="http://schemas.openxmlformats.org/officeDocument/2006/relationships/hyperlink" Target="https://pbs.twimg.com/media/EOPvj-BWAAADOJo.jpg" TargetMode="External"/><Relationship Id="rId4193" Type="http://schemas.openxmlformats.org/officeDocument/2006/relationships/hyperlink" Target="http://www.kissandtellproductions.com" TargetMode="External"/><Relationship Id="rId4196" Type="http://schemas.openxmlformats.org/officeDocument/2006/relationships/hyperlink" Target="https://irwinedgehilltraining.com/2019/08/01/there-really-is-a-cure-for-workplace-stress/" TargetMode="External"/><Relationship Id="rId4195" Type="http://schemas.openxmlformats.org/officeDocument/2006/relationships/hyperlink" Target="http://www.allaboutpeopleltd.co.uk/" TargetMode="External"/><Relationship Id="rId4198" Type="http://schemas.openxmlformats.org/officeDocument/2006/relationships/hyperlink" Target="http://www.irwinedgehilltraining.com" TargetMode="External"/><Relationship Id="rId4197" Type="http://schemas.openxmlformats.org/officeDocument/2006/relationships/hyperlink" Target="https://pbs.twimg.com/media/EOPvYAkXkAATnub.jpg" TargetMode="External"/><Relationship Id="rId4199" Type="http://schemas.openxmlformats.org/officeDocument/2006/relationships/hyperlink" Target="https://dmesupplyusa.com/daily-patient-aids/incontinence.html" TargetMode="External"/><Relationship Id="rId1950" Type="http://schemas.openxmlformats.org/officeDocument/2006/relationships/hyperlink" Target="http://snip.ly/xsg7u" TargetMode="External"/><Relationship Id="rId1951" Type="http://schemas.openxmlformats.org/officeDocument/2006/relationships/hyperlink" Target="https://pbs.twimg.com/media/EOa4gGhWoAESOzw.jpg" TargetMode="External"/><Relationship Id="rId1952" Type="http://schemas.openxmlformats.org/officeDocument/2006/relationships/hyperlink" Target="http://anthonyclarkmusic.com" TargetMode="External"/><Relationship Id="rId1953" Type="http://schemas.openxmlformats.org/officeDocument/2006/relationships/hyperlink" Target="https://www.kayhealdhr.co.uk/hr-articles/resilience-at-work/" TargetMode="External"/><Relationship Id="rId1954" Type="http://schemas.openxmlformats.org/officeDocument/2006/relationships/hyperlink" Target="https://pbs.twimg.com/media/EOamOBJWAAAS3AF.jpg" TargetMode="External"/><Relationship Id="rId1955" Type="http://schemas.openxmlformats.org/officeDocument/2006/relationships/hyperlink" Target="http://www.kayhealdhr.co.uk/" TargetMode="External"/><Relationship Id="rId1956" Type="http://schemas.openxmlformats.org/officeDocument/2006/relationships/hyperlink" Target="http://ow.ly/6DS750xOPVI" TargetMode="External"/><Relationship Id="rId1957" Type="http://schemas.openxmlformats.org/officeDocument/2006/relationships/hyperlink" Target="https://pbs.twimg.com/media/EOa3zuTXUAIj8JK.jpg" TargetMode="External"/><Relationship Id="rId1958" Type="http://schemas.openxmlformats.org/officeDocument/2006/relationships/hyperlink" Target="http://denisecallaghan.co.uk/" TargetMode="External"/><Relationship Id="rId1959" Type="http://schemas.openxmlformats.org/officeDocument/2006/relationships/hyperlink" Target="https://pbs.twimg.com/media/EOa3rVOWAAEEzCK.jpg" TargetMode="External"/><Relationship Id="rId1940" Type="http://schemas.openxmlformats.org/officeDocument/2006/relationships/hyperlink" Target="https://qwikad.com" TargetMode="External"/><Relationship Id="rId1941" Type="http://schemas.openxmlformats.org/officeDocument/2006/relationships/hyperlink" Target="https://pbs.twimg.com/media/EOa6oMsVUAAf3hq.png" TargetMode="External"/><Relationship Id="rId1942" Type="http://schemas.openxmlformats.org/officeDocument/2006/relationships/hyperlink" Target="http://www.parentsecure.co.uk" TargetMode="External"/><Relationship Id="rId1943" Type="http://schemas.openxmlformats.org/officeDocument/2006/relationships/hyperlink" Target="http://www.lifezone4.com" TargetMode="External"/><Relationship Id="rId1944" Type="http://schemas.openxmlformats.org/officeDocument/2006/relationships/hyperlink" Target="https://youtu.be/0nkG_gIzpNQ" TargetMode="External"/><Relationship Id="rId1945" Type="http://schemas.openxmlformats.org/officeDocument/2006/relationships/hyperlink" Target="https://sarahjc.com" TargetMode="External"/><Relationship Id="rId1946" Type="http://schemas.openxmlformats.org/officeDocument/2006/relationships/hyperlink" Target="https://lnkd.in/gY4-mJT" TargetMode="External"/><Relationship Id="rId1947" Type="http://schemas.openxmlformats.org/officeDocument/2006/relationships/hyperlink" Target="http://www.studio3.org" TargetMode="External"/><Relationship Id="rId1948" Type="http://schemas.openxmlformats.org/officeDocument/2006/relationships/hyperlink" Target="https://psychcentral.com/stress/" TargetMode="External"/><Relationship Id="rId1949" Type="http://schemas.openxmlformats.org/officeDocument/2006/relationships/hyperlink" Target="http://youthsuicideprevention.nebraska.edu/" TargetMode="External"/><Relationship Id="rId2423" Type="http://schemas.openxmlformats.org/officeDocument/2006/relationships/hyperlink" Target="http://www.comeoutreach.org" TargetMode="External"/><Relationship Id="rId3755" Type="http://schemas.openxmlformats.org/officeDocument/2006/relationships/hyperlink" Target="https://pbs.twimg.com/media/EORQjxCWAAIY1M3.png" TargetMode="External"/><Relationship Id="rId2424" Type="http://schemas.openxmlformats.org/officeDocument/2006/relationships/hyperlink" Target="https://pbs.twimg.com/media/EOZPIJ1W4AAq6Bb.jpg" TargetMode="External"/><Relationship Id="rId3754" Type="http://schemas.openxmlformats.org/officeDocument/2006/relationships/hyperlink" Target="http://bit.ly/2S0sfRY" TargetMode="External"/><Relationship Id="rId2425" Type="http://schemas.openxmlformats.org/officeDocument/2006/relationships/hyperlink" Target="https://pbs.twimg.com/media/EOZPCbRXUAARGrE.jpg" TargetMode="External"/><Relationship Id="rId3757" Type="http://schemas.openxmlformats.org/officeDocument/2006/relationships/hyperlink" Target="https://bit.ly/36s1WJ4" TargetMode="External"/><Relationship Id="rId2426" Type="http://schemas.openxmlformats.org/officeDocument/2006/relationships/hyperlink" Target="https://lttr.ai/MNt0" TargetMode="External"/><Relationship Id="rId3756" Type="http://schemas.openxmlformats.org/officeDocument/2006/relationships/hyperlink" Target="https://www.brauer.com.au/" TargetMode="External"/><Relationship Id="rId2427" Type="http://schemas.openxmlformats.org/officeDocument/2006/relationships/hyperlink" Target="https://pbs.twimg.com/media/EOZOsz2W4AUNVC3.png" TargetMode="External"/><Relationship Id="rId3759" Type="http://schemas.openxmlformats.org/officeDocument/2006/relationships/hyperlink" Target="http://www.mlmdominationtraining.com" TargetMode="External"/><Relationship Id="rId2428" Type="http://schemas.openxmlformats.org/officeDocument/2006/relationships/hyperlink" Target="https://lnkd.in/g4x85pA" TargetMode="External"/><Relationship Id="rId3758" Type="http://schemas.openxmlformats.org/officeDocument/2006/relationships/hyperlink" Target="https://pbs.twimg.com/media/EORQaw9WoAAgWCG.jpg" TargetMode="External"/><Relationship Id="rId2429" Type="http://schemas.openxmlformats.org/officeDocument/2006/relationships/hyperlink" Target="http://www.mindinfocus.co.uk" TargetMode="External"/><Relationship Id="rId509" Type="http://schemas.openxmlformats.org/officeDocument/2006/relationships/hyperlink" Target="https://pbs.twimg.com/media/EOji3qWUUAA8_kn.jpg" TargetMode="External"/><Relationship Id="rId508" Type="http://schemas.openxmlformats.org/officeDocument/2006/relationships/hyperlink" Target="http://www.reinglassadr.com" TargetMode="External"/><Relationship Id="rId503" Type="http://schemas.openxmlformats.org/officeDocument/2006/relationships/hyperlink" Target="http://www.mindfulnessmeditationinstitute.org/" TargetMode="External"/><Relationship Id="rId502" Type="http://schemas.openxmlformats.org/officeDocument/2006/relationships/hyperlink" Target="https://mindfulnessmeditationinstitute.org/2018/11/02/the-ultimate-meditation-guide-infographic/" TargetMode="External"/><Relationship Id="rId501" Type="http://schemas.openxmlformats.org/officeDocument/2006/relationships/hyperlink" Target="http://www.seandcessexmind.org.uk" TargetMode="External"/><Relationship Id="rId500" Type="http://schemas.openxmlformats.org/officeDocument/2006/relationships/hyperlink" Target="https://pbs.twimg.com/media/EOjokw_WoAEZaq_.jpg" TargetMode="External"/><Relationship Id="rId507" Type="http://schemas.openxmlformats.org/officeDocument/2006/relationships/hyperlink" Target="https://go.shr.lc/2DkhVv5" TargetMode="External"/><Relationship Id="rId506" Type="http://schemas.openxmlformats.org/officeDocument/2006/relationships/hyperlink" Target="https://www.surveycircle.com/surveys" TargetMode="External"/><Relationship Id="rId505" Type="http://schemas.openxmlformats.org/officeDocument/2006/relationships/hyperlink" Target="https://pbs.twimg.com/media/EOjltpxX0AAcHhT.jpg" TargetMode="External"/><Relationship Id="rId504" Type="http://schemas.openxmlformats.org/officeDocument/2006/relationships/hyperlink" Target="https://www.surveycircle.com/en/surveys/?cr=at" TargetMode="External"/><Relationship Id="rId3751" Type="http://schemas.openxmlformats.org/officeDocument/2006/relationships/hyperlink" Target="http://www.spiritualityismedicine.com" TargetMode="External"/><Relationship Id="rId2420" Type="http://schemas.openxmlformats.org/officeDocument/2006/relationships/hyperlink" Target="https://pbs.twimg.com/media/EOZQIbfXkAAUE5t.jpg" TargetMode="External"/><Relationship Id="rId3750" Type="http://schemas.openxmlformats.org/officeDocument/2006/relationships/hyperlink" Target="https://e360.yale.edu/features/ecopsychology-how-immersion-in-nature-benefits-your-health?fbclid=IwAR1JaP5utunnC6D7rKCpMjCKmJyN10pl_Z4rz0868FRON-nVoFgZCNgkndE" TargetMode="External"/><Relationship Id="rId2421" Type="http://schemas.openxmlformats.org/officeDocument/2006/relationships/hyperlink" Target="http://brighton-hove.gov.uk/libraries" TargetMode="External"/><Relationship Id="rId3753" Type="http://schemas.openxmlformats.org/officeDocument/2006/relationships/hyperlink" Target="http://www.salimetrics.com" TargetMode="External"/><Relationship Id="rId2422" Type="http://schemas.openxmlformats.org/officeDocument/2006/relationships/hyperlink" Target="https://pbs.twimg.com/media/EOZPr6eWkAAmuvP.jpg" TargetMode="External"/><Relationship Id="rId3752" Type="http://schemas.openxmlformats.org/officeDocument/2006/relationships/hyperlink" Target="https://salimetrics.com/child-maltreatment-impacts-diurnal-cortisol/" TargetMode="External"/><Relationship Id="rId2412" Type="http://schemas.openxmlformats.org/officeDocument/2006/relationships/hyperlink" Target="http://www.valluricf.com/" TargetMode="External"/><Relationship Id="rId3744" Type="http://schemas.openxmlformats.org/officeDocument/2006/relationships/hyperlink" Target="http://rti.org/gender" TargetMode="External"/><Relationship Id="rId2413" Type="http://schemas.openxmlformats.org/officeDocument/2006/relationships/hyperlink" Target="https://pbs.twimg.com/media/EOZTzjNWsAAcSOZ.jpg" TargetMode="External"/><Relationship Id="rId3743" Type="http://schemas.openxmlformats.org/officeDocument/2006/relationships/hyperlink" Target="https://pbs.twimg.com/media/EORTEDQX0AAd3s1.jpg" TargetMode="External"/><Relationship Id="rId2414" Type="http://schemas.openxmlformats.org/officeDocument/2006/relationships/hyperlink" Target="https://healthwire.co/ensuring-mental-health-at-workplace-dealing-with-stress-is-easier-than-you-think/" TargetMode="External"/><Relationship Id="rId3746" Type="http://schemas.openxmlformats.org/officeDocument/2006/relationships/hyperlink" Target="https://pbs.twimg.com/media/EORSlOZU8AAtKSz.jpg" TargetMode="External"/><Relationship Id="rId2415" Type="http://schemas.openxmlformats.org/officeDocument/2006/relationships/hyperlink" Target="https://healthwire.co/" TargetMode="External"/><Relationship Id="rId3745" Type="http://schemas.openxmlformats.org/officeDocument/2006/relationships/hyperlink" Target="https://bit.ly/35OcwbO" TargetMode="External"/><Relationship Id="rId2416" Type="http://schemas.openxmlformats.org/officeDocument/2006/relationships/hyperlink" Target="https://pbs.twimg.com/media/EOZLIRyXkAAj_83.jpg" TargetMode="External"/><Relationship Id="rId3748" Type="http://schemas.openxmlformats.org/officeDocument/2006/relationships/hyperlink" Target="https://www.wsj.com/articles/hedge-funds-could-make-one-potential-fed-repo-market-fix-hard-to-stomach-11578997801?reflink=e2twmkts" TargetMode="External"/><Relationship Id="rId2417" Type="http://schemas.openxmlformats.org/officeDocument/2006/relationships/hyperlink" Target="https://buff.ly/2FSxpIf" TargetMode="External"/><Relationship Id="rId3747" Type="http://schemas.openxmlformats.org/officeDocument/2006/relationships/hyperlink" Target="http://www.oibr.uga.edu" TargetMode="External"/><Relationship Id="rId2418" Type="http://schemas.openxmlformats.org/officeDocument/2006/relationships/hyperlink" Target="https://pbs.twimg.com/media/EOZQzV3WAAEW2QQ.jpg" TargetMode="External"/><Relationship Id="rId2419" Type="http://schemas.openxmlformats.org/officeDocument/2006/relationships/hyperlink" Target="http://www.dailywaffle.co.uk" TargetMode="External"/><Relationship Id="rId3749" Type="http://schemas.openxmlformats.org/officeDocument/2006/relationships/hyperlink" Target="https://www.pnas.org/content/117/1/641" TargetMode="External"/><Relationship Id="rId3740" Type="http://schemas.openxmlformats.org/officeDocument/2006/relationships/hyperlink" Target="https://pbs.twimg.com/media/EORTJ_KXsAA-1o_.jpg" TargetMode="External"/><Relationship Id="rId2410" Type="http://schemas.openxmlformats.org/officeDocument/2006/relationships/hyperlink" Target="http://bit.ly/2NLEn6v" TargetMode="External"/><Relationship Id="rId3742" Type="http://schemas.openxmlformats.org/officeDocument/2006/relationships/hyperlink" Target="http://bit.ly/3aeUjI3" TargetMode="External"/><Relationship Id="rId2411" Type="http://schemas.openxmlformats.org/officeDocument/2006/relationships/hyperlink" Target="https://pbs.twimg.com/media/EOZV2QcUYAEgELZ.png" TargetMode="External"/><Relationship Id="rId3741" Type="http://schemas.openxmlformats.org/officeDocument/2006/relationships/hyperlink" Target="http://gracemed.org" TargetMode="External"/><Relationship Id="rId1114" Type="http://schemas.openxmlformats.org/officeDocument/2006/relationships/hyperlink" Target="https://www.canva.com/learn/photography-as-therapy/" TargetMode="External"/><Relationship Id="rId2445" Type="http://schemas.openxmlformats.org/officeDocument/2006/relationships/hyperlink" Target="https://pbs.twimg.com/media/EOZG9XfWsAEQhan.jpg" TargetMode="External"/><Relationship Id="rId3777" Type="http://schemas.openxmlformats.org/officeDocument/2006/relationships/hyperlink" Target="https://pbs.twimg.com/media/EORLMqRX4AEF0zv.jpg" TargetMode="External"/><Relationship Id="rId1115" Type="http://schemas.openxmlformats.org/officeDocument/2006/relationships/hyperlink" Target="https://tdi.dartmouth.edu/education/professional-education/healthcare-foundations/overview" TargetMode="External"/><Relationship Id="rId2446" Type="http://schemas.openxmlformats.org/officeDocument/2006/relationships/hyperlink" Target="http://www.cordellhealth.co.uk" TargetMode="External"/><Relationship Id="rId3776" Type="http://schemas.openxmlformats.org/officeDocument/2006/relationships/hyperlink" Target="http://livproducts.com" TargetMode="External"/><Relationship Id="rId1116" Type="http://schemas.openxmlformats.org/officeDocument/2006/relationships/hyperlink" Target="https://n.pr/2smLN8H" TargetMode="External"/><Relationship Id="rId2447" Type="http://schemas.openxmlformats.org/officeDocument/2006/relationships/hyperlink" Target="http://www.manakriticlinic.com/depression/" TargetMode="External"/><Relationship Id="rId3779" Type="http://schemas.openxmlformats.org/officeDocument/2006/relationships/hyperlink" Target="http://livproducts.com" TargetMode="External"/><Relationship Id="rId1117" Type="http://schemas.openxmlformats.org/officeDocument/2006/relationships/hyperlink" Target="http://louisianacancer.org" TargetMode="External"/><Relationship Id="rId2448" Type="http://schemas.openxmlformats.org/officeDocument/2006/relationships/hyperlink" Target="https://pbs.twimg.com/media/EOZCzdwVAAEbLd_.jpg" TargetMode="External"/><Relationship Id="rId3778" Type="http://schemas.openxmlformats.org/officeDocument/2006/relationships/hyperlink" Target="http://livproducts.com" TargetMode="External"/><Relationship Id="rId1118" Type="http://schemas.openxmlformats.org/officeDocument/2006/relationships/hyperlink" Target="https://pbs.twimg.com/media/ENxKgtdW4AAWwre.jpg" TargetMode="External"/><Relationship Id="rId2449" Type="http://schemas.openxmlformats.org/officeDocument/2006/relationships/hyperlink" Target="http://www.manakriticlinic.com/" TargetMode="External"/><Relationship Id="rId1119" Type="http://schemas.openxmlformats.org/officeDocument/2006/relationships/hyperlink" Target="https://www.instagram.com/p/B7bRZc1I5-m/?igshid=1uc292m0y3htp" TargetMode="External"/><Relationship Id="rId525" Type="http://schemas.openxmlformats.org/officeDocument/2006/relationships/hyperlink" Target="https://pbs.twimg.com/media/EOjcEqoWoAAmLX_.jpg" TargetMode="External"/><Relationship Id="rId524" Type="http://schemas.openxmlformats.org/officeDocument/2006/relationships/hyperlink" Target="http://www.therawrainbow.com" TargetMode="External"/><Relationship Id="rId523" Type="http://schemas.openxmlformats.org/officeDocument/2006/relationships/hyperlink" Target="https://museumatter.blogspot.com/" TargetMode="External"/><Relationship Id="rId522" Type="http://schemas.openxmlformats.org/officeDocument/2006/relationships/hyperlink" Target="https://pbs.twimg.com/media/EOjcOZUVAAAerhW.jpg" TargetMode="External"/><Relationship Id="rId529" Type="http://schemas.openxmlformats.org/officeDocument/2006/relationships/hyperlink" Target="http://rikidavies.co.uk" TargetMode="External"/><Relationship Id="rId528" Type="http://schemas.openxmlformats.org/officeDocument/2006/relationships/hyperlink" Target="http://www.managingmadesimple.com/about-us/" TargetMode="External"/><Relationship Id="rId527" Type="http://schemas.openxmlformats.org/officeDocument/2006/relationships/hyperlink" Target="http://ow.ly/LcPW30qai1m" TargetMode="External"/><Relationship Id="rId526" Type="http://schemas.openxmlformats.org/officeDocument/2006/relationships/hyperlink" Target="http://www.therawrainbow.com" TargetMode="External"/><Relationship Id="rId3771" Type="http://schemas.openxmlformats.org/officeDocument/2006/relationships/hyperlink" Target="https://pbs.twimg.com/media/EORMWSOX0AUWBY4.jpg" TargetMode="External"/><Relationship Id="rId2440" Type="http://schemas.openxmlformats.org/officeDocument/2006/relationships/hyperlink" Target="http://www.reverbnation.com/jayreezybsmg" TargetMode="External"/><Relationship Id="rId3770" Type="http://schemas.openxmlformats.org/officeDocument/2006/relationships/hyperlink" Target="https://www.youtube.com/channel/UCjgpUAY-7RiKkJFga4WKxFg" TargetMode="External"/><Relationship Id="rId521" Type="http://schemas.openxmlformats.org/officeDocument/2006/relationships/hyperlink" Target="https://www.instagram.com/p/B7c0rjogC4q/?igshid=1tmovpgoa2dwk" TargetMode="External"/><Relationship Id="rId1110" Type="http://schemas.openxmlformats.org/officeDocument/2006/relationships/hyperlink" Target="https://www.mheducation.com/highered/ideas/student-content-update/how-to-manage-stress" TargetMode="External"/><Relationship Id="rId2441" Type="http://schemas.openxmlformats.org/officeDocument/2006/relationships/hyperlink" Target="https://twitter.com/careerconversa1/status/1217407077343289345" TargetMode="External"/><Relationship Id="rId3773" Type="http://schemas.openxmlformats.org/officeDocument/2006/relationships/hyperlink" Target="http://livproducts.com" TargetMode="External"/><Relationship Id="rId520" Type="http://schemas.openxmlformats.org/officeDocument/2006/relationships/hyperlink" Target="http://www.outskirtspress.com/dailybrewjournal" TargetMode="External"/><Relationship Id="rId1111" Type="http://schemas.openxmlformats.org/officeDocument/2006/relationships/hyperlink" Target="http://shop.mheducation.com/ideas.html" TargetMode="External"/><Relationship Id="rId2442" Type="http://schemas.openxmlformats.org/officeDocument/2006/relationships/hyperlink" Target="https://pbs.twimg.com/media/EOZJALLXkAAEcCx.jpg" TargetMode="External"/><Relationship Id="rId3772" Type="http://schemas.openxmlformats.org/officeDocument/2006/relationships/hyperlink" Target="http://www.bailmeoutproductions.com" TargetMode="External"/><Relationship Id="rId1112" Type="http://schemas.openxmlformats.org/officeDocument/2006/relationships/hyperlink" Target="https://www.myjewishlearning.com/here-now/are-you-addicted-to-the-internet-what-you-need-to-know-about-online-addictions/" TargetMode="External"/><Relationship Id="rId2443" Type="http://schemas.openxmlformats.org/officeDocument/2006/relationships/hyperlink" Target="http://www.thewellbeingblogger.com" TargetMode="External"/><Relationship Id="rId3775" Type="http://schemas.openxmlformats.org/officeDocument/2006/relationships/hyperlink" Target="http://livproducts.com" TargetMode="External"/><Relationship Id="rId1113" Type="http://schemas.openxmlformats.org/officeDocument/2006/relationships/hyperlink" Target="http://jewishboard.org" TargetMode="External"/><Relationship Id="rId2444" Type="http://schemas.openxmlformats.org/officeDocument/2006/relationships/hyperlink" Target="http://bit.ly/2Xj2z2O" TargetMode="External"/><Relationship Id="rId3774" Type="http://schemas.openxmlformats.org/officeDocument/2006/relationships/hyperlink" Target="https://pbs.twimg.com/media/EORLhEHW4AACy4u.jpg" TargetMode="External"/><Relationship Id="rId1103" Type="http://schemas.openxmlformats.org/officeDocument/2006/relationships/hyperlink" Target="https://buff.ly/2zMcEh7" TargetMode="External"/><Relationship Id="rId2434" Type="http://schemas.openxmlformats.org/officeDocument/2006/relationships/hyperlink" Target="http://www.anxietyuk.org.uk" TargetMode="External"/><Relationship Id="rId3766" Type="http://schemas.openxmlformats.org/officeDocument/2006/relationships/hyperlink" Target="https://pbs.twimg.com/media/EORN8ylW4AAjylq.jpg" TargetMode="External"/><Relationship Id="rId1104" Type="http://schemas.openxmlformats.org/officeDocument/2006/relationships/hyperlink" Target="https://pbs.twimg.com/media/EOfrsWiXkAArv_t.jpg" TargetMode="External"/><Relationship Id="rId2435" Type="http://schemas.openxmlformats.org/officeDocument/2006/relationships/hyperlink" Target="https://journals.plos.org/plosone/article?id=10.1371/journal.pone.0226393" TargetMode="External"/><Relationship Id="rId3765" Type="http://schemas.openxmlformats.org/officeDocument/2006/relationships/hyperlink" Target="https://www.amazon.com/s?k=dayrizzy&amp;ref=is_s" TargetMode="External"/><Relationship Id="rId1105" Type="http://schemas.openxmlformats.org/officeDocument/2006/relationships/hyperlink" Target="http://www.coum.org" TargetMode="External"/><Relationship Id="rId2436" Type="http://schemas.openxmlformats.org/officeDocument/2006/relationships/hyperlink" Target="https://laurasecologyonthego.wordpress.com/" TargetMode="External"/><Relationship Id="rId3768" Type="http://schemas.openxmlformats.org/officeDocument/2006/relationships/hyperlink" Target="https://www.midbodygreen.com/articles/5-ways-stress-messes-with-your-hormones-which-foods-can-help" TargetMode="External"/><Relationship Id="rId1106" Type="http://schemas.openxmlformats.org/officeDocument/2006/relationships/hyperlink" Target="https://pbs.twimg.com/media/EOdbHIgW4AArkMX.jpg" TargetMode="External"/><Relationship Id="rId2437" Type="http://schemas.openxmlformats.org/officeDocument/2006/relationships/hyperlink" Target="http://bit.ly/2oyvgGO" TargetMode="External"/><Relationship Id="rId3767" Type="http://schemas.openxmlformats.org/officeDocument/2006/relationships/hyperlink" Target="http://www.imocharity.org" TargetMode="External"/><Relationship Id="rId1107" Type="http://schemas.openxmlformats.org/officeDocument/2006/relationships/hyperlink" Target="http://www.wehearyou.co.za/" TargetMode="External"/><Relationship Id="rId2438" Type="http://schemas.openxmlformats.org/officeDocument/2006/relationships/hyperlink" Target="http://www.justtiki.com" TargetMode="External"/><Relationship Id="rId1108" Type="http://schemas.openxmlformats.org/officeDocument/2006/relationships/hyperlink" Target="http://ow.ly/Uik450xUsa8" TargetMode="External"/><Relationship Id="rId2439" Type="http://schemas.openxmlformats.org/officeDocument/2006/relationships/hyperlink" Target="http://pic.twitter.com/UiOGgu7B2W" TargetMode="External"/><Relationship Id="rId3769" Type="http://schemas.openxmlformats.org/officeDocument/2006/relationships/hyperlink" Target="http://www.hotflashnetwork.com" TargetMode="External"/><Relationship Id="rId1109" Type="http://schemas.openxmlformats.org/officeDocument/2006/relationships/hyperlink" Target="http://novaassociates.co.uk" TargetMode="External"/><Relationship Id="rId519" Type="http://schemas.openxmlformats.org/officeDocument/2006/relationships/hyperlink" Target="https://pbs.twimg.com/media/EOjdY9cXUAAtFJy.jpg" TargetMode="External"/><Relationship Id="rId514" Type="http://schemas.openxmlformats.org/officeDocument/2006/relationships/hyperlink" Target="https://pbs.twimg.com/media/EOjev5GXUAA038r.png" TargetMode="External"/><Relationship Id="rId513" Type="http://schemas.openxmlformats.org/officeDocument/2006/relationships/hyperlink" Target="https://davidsatchell-trichologist.uk/why-does-stress-affect-hair-loss/" TargetMode="External"/><Relationship Id="rId512" Type="http://schemas.openxmlformats.org/officeDocument/2006/relationships/hyperlink" Target="https://freeyourmind.uk" TargetMode="External"/><Relationship Id="rId511" Type="http://schemas.openxmlformats.org/officeDocument/2006/relationships/hyperlink" Target="https://pbs.twimg.com/media/EOjiAtNXUAAKC3X.jpg" TargetMode="External"/><Relationship Id="rId518" Type="http://schemas.openxmlformats.org/officeDocument/2006/relationships/hyperlink" Target="http://www.abctales.com/user/markihlogie" TargetMode="External"/><Relationship Id="rId517" Type="http://schemas.openxmlformats.org/officeDocument/2006/relationships/hyperlink" Target="https://pbs.twimg.com/media/EOg-UL1W4AgVh_Q.jpg" TargetMode="External"/><Relationship Id="rId516" Type="http://schemas.openxmlformats.org/officeDocument/2006/relationships/hyperlink" Target="https://twitter.com/mercola/status/1218292219901284352" TargetMode="External"/><Relationship Id="rId515" Type="http://schemas.openxmlformats.org/officeDocument/2006/relationships/hyperlink" Target="http://eucaderm.com" TargetMode="External"/><Relationship Id="rId3760" Type="http://schemas.openxmlformats.org/officeDocument/2006/relationships/hyperlink" Target="https://ahealthycareer.com/managing-family-stress-while-managing-your-career/" TargetMode="External"/><Relationship Id="rId510" Type="http://schemas.openxmlformats.org/officeDocument/2006/relationships/hyperlink" Target="http://ommamayoga.com" TargetMode="External"/><Relationship Id="rId2430" Type="http://schemas.openxmlformats.org/officeDocument/2006/relationships/hyperlink" Target="http://dld.bz/dhGew" TargetMode="External"/><Relationship Id="rId3762" Type="http://schemas.openxmlformats.org/officeDocument/2006/relationships/hyperlink" Target="http://www.kbmcoaching.com" TargetMode="External"/><Relationship Id="rId1100" Type="http://schemas.openxmlformats.org/officeDocument/2006/relationships/hyperlink" Target="http://itsettled.co.uk" TargetMode="External"/><Relationship Id="rId2431" Type="http://schemas.openxmlformats.org/officeDocument/2006/relationships/hyperlink" Target="https://www.sonima.com/meditation/daily-meditation-practice/" TargetMode="External"/><Relationship Id="rId3761" Type="http://schemas.openxmlformats.org/officeDocument/2006/relationships/hyperlink" Target="https://pbs.twimg.com/media/EORPJvzWAAQd9nQ.jpg" TargetMode="External"/><Relationship Id="rId1101" Type="http://schemas.openxmlformats.org/officeDocument/2006/relationships/hyperlink" Target="https://pbs.twimg.com/media/EOfr1vNXkAEFGVR.jpg" TargetMode="External"/><Relationship Id="rId2432" Type="http://schemas.openxmlformats.org/officeDocument/2006/relationships/hyperlink" Target="http://www.mindfulnessmeditationinstitute.org/" TargetMode="External"/><Relationship Id="rId3764" Type="http://schemas.openxmlformats.org/officeDocument/2006/relationships/hyperlink" Target="http://www.charleshannahigher.com" TargetMode="External"/><Relationship Id="rId1102" Type="http://schemas.openxmlformats.org/officeDocument/2006/relationships/hyperlink" Target="http://itsettled.co.uk" TargetMode="External"/><Relationship Id="rId2433" Type="http://schemas.openxmlformats.org/officeDocument/2006/relationships/hyperlink" Target="http://ow.ly/TM3v50xWQkl" TargetMode="External"/><Relationship Id="rId3763" Type="http://schemas.openxmlformats.org/officeDocument/2006/relationships/hyperlink" Target="http://bit.ly/2hGGKVB" TargetMode="External"/><Relationship Id="rId3711" Type="http://schemas.openxmlformats.org/officeDocument/2006/relationships/hyperlink" Target="http://edbenjaminbooks.com/" TargetMode="External"/><Relationship Id="rId3710" Type="http://schemas.openxmlformats.org/officeDocument/2006/relationships/hyperlink" Target="https://pbs.twimg.com/media/EORcAbMW4AED2MV.jpg" TargetMode="External"/><Relationship Id="rId3713" Type="http://schemas.openxmlformats.org/officeDocument/2006/relationships/hyperlink" Target="http://edbenjaminbooks.com/" TargetMode="External"/><Relationship Id="rId3712"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3715" Type="http://schemas.openxmlformats.org/officeDocument/2006/relationships/hyperlink" Target="https://pbs.twimg.com/media/EORbUyYXUAUIW_Z.jpg" TargetMode="External"/><Relationship Id="rId3714" Type="http://schemas.openxmlformats.org/officeDocument/2006/relationships/hyperlink" Target="https://buff.ly/2NgSLmN" TargetMode="External"/><Relationship Id="rId3717" Type="http://schemas.openxmlformats.org/officeDocument/2006/relationships/hyperlink" Target="http://wp.me/p8anIU-8a" TargetMode="External"/><Relationship Id="rId3716" Type="http://schemas.openxmlformats.org/officeDocument/2006/relationships/hyperlink" Target="http://www.johnkjennings.com" TargetMode="External"/><Relationship Id="rId3719" Type="http://schemas.openxmlformats.org/officeDocument/2006/relationships/hyperlink" Target="https://pbs.twimg.com/media/EORaO8eUYAAZNtD.jpg" TargetMode="External"/><Relationship Id="rId3718" Type="http://schemas.openxmlformats.org/officeDocument/2006/relationships/hyperlink" Target="http://sohappyintown.com/shop/" TargetMode="External"/><Relationship Id="rId3700" Type="http://schemas.openxmlformats.org/officeDocument/2006/relationships/hyperlink" Target="http://www.dwayneprimeau.com" TargetMode="External"/><Relationship Id="rId3702" Type="http://schemas.openxmlformats.org/officeDocument/2006/relationships/hyperlink" Target="https://pbs.twimg.com/media/EORcXQ4WoAIa5oG.jpg" TargetMode="External"/><Relationship Id="rId3701"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3704"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3703" Type="http://schemas.openxmlformats.org/officeDocument/2006/relationships/hyperlink" Target="http://edbenjaminbooks.com/" TargetMode="External"/><Relationship Id="rId3706" Type="http://schemas.openxmlformats.org/officeDocument/2006/relationships/hyperlink" Target="https://www.news-medical.net/news/20200114/Scientists-discover-powerful-molecule-that-explains-why-people-with-anxiety-use-marijuana.aspx" TargetMode="External"/><Relationship Id="rId3705" Type="http://schemas.openxmlformats.org/officeDocument/2006/relationships/hyperlink" Target="http://edbenjaminbooks.com/" TargetMode="External"/><Relationship Id="rId3708" Type="http://schemas.openxmlformats.org/officeDocument/2006/relationships/hyperlink" Target="https://www.news-medical.net/" TargetMode="External"/><Relationship Id="rId3707" Type="http://schemas.openxmlformats.org/officeDocument/2006/relationships/hyperlink" Target="https://pbs.twimg.com/media/EORcHT2WAAMSQeS.jpg" TargetMode="External"/><Relationship Id="rId3709" Type="http://schemas.openxmlformats.org/officeDocument/2006/relationships/hyperlink" Target="https://www.amazon.com/gp/product/B07W19RR5L/ref=as_li_tl?ie=UTF8&amp;tag=flowatpre-20&amp;camp=1789&amp;creative=9325&amp;linkCode=as2&amp;creativeASIN=B07W19RR5L&amp;linkId=0909071c7f9cfbff112a33c3e814305e" TargetMode="External"/><Relationship Id="rId2401" Type="http://schemas.openxmlformats.org/officeDocument/2006/relationships/hyperlink" Target="https://pbs.twimg.com/media/EOZZ1TiXsAEQKz7.jpg" TargetMode="External"/><Relationship Id="rId3733" Type="http://schemas.openxmlformats.org/officeDocument/2006/relationships/hyperlink" Target="http://salleemclaren.com.au" TargetMode="External"/><Relationship Id="rId2402" Type="http://schemas.openxmlformats.org/officeDocument/2006/relationships/hyperlink" Target="http://www.trafficjam.mobi/" TargetMode="External"/><Relationship Id="rId3732" Type="http://schemas.openxmlformats.org/officeDocument/2006/relationships/hyperlink" Target="https://www.linkedin.com/pulse/time-tears-take-charge-dr-sallee-mclaren" TargetMode="External"/><Relationship Id="rId2403" Type="http://schemas.openxmlformats.org/officeDocument/2006/relationships/hyperlink" Target="http://www.neuro-marseille.org" TargetMode="External"/><Relationship Id="rId3735" Type="http://schemas.openxmlformats.org/officeDocument/2006/relationships/hyperlink" Target="http://www.eft-scripts.com" TargetMode="External"/><Relationship Id="rId2404" Type="http://schemas.openxmlformats.org/officeDocument/2006/relationships/hyperlink" Target="https://loom.ly/XPsMAgw" TargetMode="External"/><Relationship Id="rId3734" Type="http://schemas.openxmlformats.org/officeDocument/2006/relationships/hyperlink" Target="https://www.eft-scripts.com/" TargetMode="External"/><Relationship Id="rId2405" Type="http://schemas.openxmlformats.org/officeDocument/2006/relationships/hyperlink" Target="https://pbs.twimg.com/media/EOZYmAqXsAASzVb.jpg" TargetMode="External"/><Relationship Id="rId3737" Type="http://schemas.openxmlformats.org/officeDocument/2006/relationships/hyperlink" Target="https://tonyburkinshaw.co.uk/contact" TargetMode="External"/><Relationship Id="rId2406" Type="http://schemas.openxmlformats.org/officeDocument/2006/relationships/hyperlink" Target="http://www.wellbeingumbrella.com" TargetMode="External"/><Relationship Id="rId3736" Type="http://schemas.openxmlformats.org/officeDocument/2006/relationships/hyperlink" Target="https://tonyburkinshaw.co.uk/negative-stress-positive-stress/" TargetMode="External"/><Relationship Id="rId2407" Type="http://schemas.openxmlformats.org/officeDocument/2006/relationships/hyperlink" Target="http://www.leadershaala.com/coaching" TargetMode="External"/><Relationship Id="rId3739" Type="http://schemas.openxmlformats.org/officeDocument/2006/relationships/hyperlink" Target="http://bit.ly/GM-bp" TargetMode="External"/><Relationship Id="rId2408" Type="http://schemas.openxmlformats.org/officeDocument/2006/relationships/hyperlink" Target="http://pic.twitter.com/DD04FFSnd6" TargetMode="External"/><Relationship Id="rId3738" Type="http://schemas.openxmlformats.org/officeDocument/2006/relationships/hyperlink" Target="http://pic.twitter.com/x2OpZHhZXu" TargetMode="External"/><Relationship Id="rId2409" Type="http://schemas.openxmlformats.org/officeDocument/2006/relationships/hyperlink" Target="http://www.leadershaala.com" TargetMode="External"/><Relationship Id="rId3731" Type="http://schemas.openxmlformats.org/officeDocument/2006/relationships/hyperlink" Target="https://pbs.twimg.com/media/EORVyC0WkAQafCb.jpg" TargetMode="External"/><Relationship Id="rId2400" Type="http://schemas.openxmlformats.org/officeDocument/2006/relationships/hyperlink" Target="http://zpr.io/guka2" TargetMode="External"/><Relationship Id="rId3730" Type="http://schemas.openxmlformats.org/officeDocument/2006/relationships/hyperlink" Target="http://lifeextensioneurope.com" TargetMode="External"/><Relationship Id="rId3722" Type="http://schemas.openxmlformats.org/officeDocument/2006/relationships/hyperlink" Target="https://pawtocol.com/" TargetMode="External"/><Relationship Id="rId3721" Type="http://schemas.openxmlformats.org/officeDocument/2006/relationships/hyperlink" Target="https://pbs.twimg.com/media/EORYVc5U0AAC4H8.jpg" TargetMode="External"/><Relationship Id="rId3724" Type="http://schemas.openxmlformats.org/officeDocument/2006/relationships/hyperlink" Target="http://amysimpson.co.uk" TargetMode="External"/><Relationship Id="rId3723" Type="http://schemas.openxmlformats.org/officeDocument/2006/relationships/hyperlink" Target="https://pbs.twimg.com/media/EORX0AGW4AEet0p.jpg" TargetMode="External"/><Relationship Id="rId3726" Type="http://schemas.openxmlformats.org/officeDocument/2006/relationships/hyperlink" Target="https://smallbusinessbonfire.com" TargetMode="External"/><Relationship Id="rId3725" Type="http://schemas.openxmlformats.org/officeDocument/2006/relationships/hyperlink" Target="https://bnfr.me/35Kh1ou" TargetMode="External"/><Relationship Id="rId3728" Type="http://schemas.openxmlformats.org/officeDocument/2006/relationships/hyperlink" Target="http://www.mindfulnessmeditationinstitute.org/" TargetMode="External"/><Relationship Id="rId3727" Type="http://schemas.openxmlformats.org/officeDocument/2006/relationships/hyperlink" Target="https://mindfulnessmeditationinstitute.org/the-mindfulness-meditation-practice/writing-meditation/" TargetMode="External"/><Relationship Id="rId3729" Type="http://schemas.openxmlformats.org/officeDocument/2006/relationships/hyperlink" Target="https://pbs.twimg.com/media/EORWvePW4AYBBcH.jpg" TargetMode="External"/><Relationship Id="rId3720" Type="http://schemas.openxmlformats.org/officeDocument/2006/relationships/hyperlink" Target="https://www.facebook.com/Pawtocol/photos/a.523702831711155/621641871917250/?type=1&amp;theater" TargetMode="External"/><Relationship Id="rId4206" Type="http://schemas.openxmlformats.org/officeDocument/2006/relationships/hyperlink" Target="http://pic.twitter.com/u7zJViFjbU" TargetMode="External"/><Relationship Id="rId4205" Type="http://schemas.openxmlformats.org/officeDocument/2006/relationships/hyperlink" Target="http://eco-gstm.org/tamraraven/" TargetMode="External"/><Relationship Id="rId4208" Type="http://schemas.openxmlformats.org/officeDocument/2006/relationships/hyperlink" Target="https://mommingit.com/when-mom-is-happy-everyone-is-happy/" TargetMode="External"/><Relationship Id="rId4207" Type="http://schemas.openxmlformats.org/officeDocument/2006/relationships/hyperlink" Target="https://themovehappy.com" TargetMode="External"/><Relationship Id="rId590" Type="http://schemas.openxmlformats.org/officeDocument/2006/relationships/hyperlink" Target="https://buff.ly/2RqzY9S" TargetMode="External"/><Relationship Id="rId4209" Type="http://schemas.openxmlformats.org/officeDocument/2006/relationships/hyperlink" Target="https://pbs.twimg.com/media/EOPsrC7WAAYKLkN.jpg" TargetMode="External"/><Relationship Id="rId589" Type="http://schemas.openxmlformats.org/officeDocument/2006/relationships/hyperlink" Target="https://www.psychiatristinbhopal.com" TargetMode="External"/><Relationship Id="rId588" Type="http://schemas.openxmlformats.org/officeDocument/2006/relationships/hyperlink" Target="https://pbs.twimg.com/media/EOiwIxaUEAAM5pg.jpg" TargetMode="External"/><Relationship Id="rId1170" Type="http://schemas.openxmlformats.org/officeDocument/2006/relationships/hyperlink" Target="http://cannabisclinicians.org/" TargetMode="External"/><Relationship Id="rId1171" Type="http://schemas.openxmlformats.org/officeDocument/2006/relationships/hyperlink" Target="https://pbs.twimg.com/media/EOfYck4XkAMO87V.jpg" TargetMode="External"/><Relationship Id="rId583" Type="http://schemas.openxmlformats.org/officeDocument/2006/relationships/hyperlink" Target="https://www.instagram.com/p/ByOnXifhHqE/?igshid=caipojiuavns" TargetMode="External"/><Relationship Id="rId1172" Type="http://schemas.openxmlformats.org/officeDocument/2006/relationships/hyperlink" Target="http://www.stephanieescott.com" TargetMode="External"/><Relationship Id="rId582" Type="http://schemas.openxmlformats.org/officeDocument/2006/relationships/hyperlink" Target="http://www.franksonnenbergonline.com" TargetMode="External"/><Relationship Id="rId1173" Type="http://schemas.openxmlformats.org/officeDocument/2006/relationships/hyperlink" Target="https://pbs.twimg.com/media/EOfXUc8WAAA_Lmz.jpg" TargetMode="External"/><Relationship Id="rId581" Type="http://schemas.openxmlformats.org/officeDocument/2006/relationships/hyperlink" Target="http://bit.ly/2o41exz" TargetMode="External"/><Relationship Id="rId1174" Type="http://schemas.openxmlformats.org/officeDocument/2006/relationships/hyperlink" Target="https://www.firstbeat.com/en/author/tiinahoffman/" TargetMode="External"/><Relationship Id="rId4200" Type="http://schemas.openxmlformats.org/officeDocument/2006/relationships/hyperlink" Target="https://pbs.twimg.com/media/EOPvKAiWsAA3e3k.jpg" TargetMode="External"/><Relationship Id="rId580" Type="http://schemas.openxmlformats.org/officeDocument/2006/relationships/hyperlink" Target="http://www.kingchameleons.com" TargetMode="External"/><Relationship Id="rId1175" Type="http://schemas.openxmlformats.org/officeDocument/2006/relationships/hyperlink" Target="https://healthyamericanmale.com/why-do-men-and-women-react-differently-to-stress/" TargetMode="External"/><Relationship Id="rId587" Type="http://schemas.openxmlformats.org/officeDocument/2006/relationships/hyperlink" Target="http://www.timewise.biz" TargetMode="External"/><Relationship Id="rId1176" Type="http://schemas.openxmlformats.org/officeDocument/2006/relationships/hyperlink" Target="https://pbs.twimg.com/media/EOfXJUjXUAEWvre.jpg" TargetMode="External"/><Relationship Id="rId4202" Type="http://schemas.openxmlformats.org/officeDocument/2006/relationships/hyperlink" Target="https://pbs.twimg.com/media/EOPurZSWAAAm1vA.jpg" TargetMode="External"/><Relationship Id="rId586" Type="http://schemas.openxmlformats.org/officeDocument/2006/relationships/hyperlink" Target="http://www.mapsofindia.com" TargetMode="External"/><Relationship Id="rId1177" Type="http://schemas.openxmlformats.org/officeDocument/2006/relationships/hyperlink" Target="http://www.healthyamericanmale.com/" TargetMode="External"/><Relationship Id="rId4201" Type="http://schemas.openxmlformats.org/officeDocument/2006/relationships/hyperlink" Target="http://pic.twitter.com/sTBQZGO5Qg" TargetMode="External"/><Relationship Id="rId585" Type="http://schemas.openxmlformats.org/officeDocument/2006/relationships/hyperlink" Target="https://www.mapsofindia.com/my-india/society/is-digital-gaming-the-right-option-for-stress-management" TargetMode="External"/><Relationship Id="rId1178" Type="http://schemas.openxmlformats.org/officeDocument/2006/relationships/hyperlink" Target="http://www.theherbalgardens.com" TargetMode="External"/><Relationship Id="rId4204" Type="http://schemas.openxmlformats.org/officeDocument/2006/relationships/hyperlink" Target="https://www.nature.com/articles/s41591-019-0721-y" TargetMode="External"/><Relationship Id="rId584" Type="http://schemas.openxmlformats.org/officeDocument/2006/relationships/hyperlink" Target="http://www.sunnynitedesigns.com" TargetMode="External"/><Relationship Id="rId1179" Type="http://schemas.openxmlformats.org/officeDocument/2006/relationships/hyperlink" Target="https://lttr.ai/MQhC" TargetMode="External"/><Relationship Id="rId4203" Type="http://schemas.openxmlformats.org/officeDocument/2006/relationships/hyperlink" Target="http://www.ibwgabudhabi.org/" TargetMode="External"/><Relationship Id="rId1169" Type="http://schemas.openxmlformats.org/officeDocument/2006/relationships/hyperlink" Target="https://pbs.twimg.com/media/EOLzX6mWAAEKXef.jpg" TargetMode="External"/><Relationship Id="rId579" Type="http://schemas.openxmlformats.org/officeDocument/2006/relationships/hyperlink" Target="http://www.bouldernuadthaispa.com" TargetMode="External"/><Relationship Id="rId578" Type="http://schemas.openxmlformats.org/officeDocument/2006/relationships/hyperlink" Target="https://bit.ly/2u2k2m4" TargetMode="External"/><Relationship Id="rId577" Type="http://schemas.openxmlformats.org/officeDocument/2006/relationships/hyperlink" Target="https://worksmartlivesmart.com" TargetMode="External"/><Relationship Id="rId2490" Type="http://schemas.openxmlformats.org/officeDocument/2006/relationships/hyperlink" Target="https://worksmartlivesmart.com" TargetMode="External"/><Relationship Id="rId1160" Type="http://schemas.openxmlformats.org/officeDocument/2006/relationships/hyperlink" Target="http://paulspector.com/" TargetMode="External"/><Relationship Id="rId2491" Type="http://schemas.openxmlformats.org/officeDocument/2006/relationships/hyperlink" Target="http://www.mindfulnessmeditationinstitute.org/2015/01/the-12-steps-of-the-mindfulness-meditation-practice/" TargetMode="External"/><Relationship Id="rId572" Type="http://schemas.openxmlformats.org/officeDocument/2006/relationships/hyperlink" Target="https://www.mapsofindia.com/my-india/society/peer-pressure-on-men" TargetMode="External"/><Relationship Id="rId1161" Type="http://schemas.openxmlformats.org/officeDocument/2006/relationships/hyperlink" Target="https://pbs.twimg.com/media/EOfc8tXWsAQ3H69.jpg" TargetMode="External"/><Relationship Id="rId2492" Type="http://schemas.openxmlformats.org/officeDocument/2006/relationships/hyperlink" Target="http://www.mindfulnessmeditationinstitute.org/" TargetMode="External"/><Relationship Id="rId571" Type="http://schemas.openxmlformats.org/officeDocument/2006/relationships/hyperlink" Target="https://pbs.twimg.com/media/EOi_aw1UwAAdHu7.jpg" TargetMode="External"/><Relationship Id="rId1162" Type="http://schemas.openxmlformats.org/officeDocument/2006/relationships/hyperlink" Target="http://25432.amarecontent.com" TargetMode="External"/><Relationship Id="rId2493" Type="http://schemas.openxmlformats.org/officeDocument/2006/relationships/hyperlink" Target="http://ht.ly/cHJg30q9RRM" TargetMode="External"/><Relationship Id="rId570" Type="http://schemas.openxmlformats.org/officeDocument/2006/relationships/hyperlink" Target="https://pbs.twimg.com/media/EOi_bywWoAAHY2Z.jpg" TargetMode="External"/><Relationship Id="rId1163" Type="http://schemas.openxmlformats.org/officeDocument/2006/relationships/hyperlink" Target="https://www.washingtonpost.com/business/2020/01/16/legos-toys-for-stressed-adults/" TargetMode="External"/><Relationship Id="rId2494" Type="http://schemas.openxmlformats.org/officeDocument/2006/relationships/hyperlink" Target="http://www.fusion-spaces.com" TargetMode="External"/><Relationship Id="rId1164" Type="http://schemas.openxmlformats.org/officeDocument/2006/relationships/hyperlink" Target="http://about.me/tabitha.sukhai" TargetMode="External"/><Relationship Id="rId2495" Type="http://schemas.openxmlformats.org/officeDocument/2006/relationships/hyperlink" Target="https://bit.ly/2EGEhYA" TargetMode="External"/><Relationship Id="rId576" Type="http://schemas.openxmlformats.org/officeDocument/2006/relationships/hyperlink" Target="https://www.podbean.com/eau/pb-jkvb2-d002f9" TargetMode="External"/><Relationship Id="rId1165" Type="http://schemas.openxmlformats.org/officeDocument/2006/relationships/hyperlink" Target="https://www.workerscomplawyerhelp.com/blog/2020/01/workers-comp-for-stress-and-anxiety/" TargetMode="External"/><Relationship Id="rId2496" Type="http://schemas.openxmlformats.org/officeDocument/2006/relationships/hyperlink" Target="https://pbs.twimg.com/media/EOYvQ2AX0AAdUFT.jpg" TargetMode="External"/><Relationship Id="rId575" Type="http://schemas.openxmlformats.org/officeDocument/2006/relationships/hyperlink" Target="http://www.mindfulnessmeditationinstitute.org/" TargetMode="External"/><Relationship Id="rId1166" Type="http://schemas.openxmlformats.org/officeDocument/2006/relationships/hyperlink" Target="https://pbs.twimg.com/media/EOfbOR-WoAERlEi.png" TargetMode="External"/><Relationship Id="rId2497" Type="http://schemas.openxmlformats.org/officeDocument/2006/relationships/hyperlink" Target="http://www.hearthandmade.co.uk" TargetMode="External"/><Relationship Id="rId574" Type="http://schemas.openxmlformats.org/officeDocument/2006/relationships/hyperlink" Target="https://mindfulnessmeditation.thinkific.com" TargetMode="External"/><Relationship Id="rId1167" Type="http://schemas.openxmlformats.org/officeDocument/2006/relationships/hyperlink" Target="http://www.workerscomplawyerhelp.com" TargetMode="External"/><Relationship Id="rId2498" Type="http://schemas.openxmlformats.org/officeDocument/2006/relationships/hyperlink" Target="https://pbs.twimg.com/media/EOYtZHsWoAAqcBI.jpg" TargetMode="External"/><Relationship Id="rId573" Type="http://schemas.openxmlformats.org/officeDocument/2006/relationships/hyperlink" Target="http://www.mapsofindia.com" TargetMode="External"/><Relationship Id="rId1168" Type="http://schemas.openxmlformats.org/officeDocument/2006/relationships/hyperlink" Target="https://www.fundacion-canna.es/en/endocannabinoid-system-and-stress-response-implication-fatigue-and-burn-out" TargetMode="External"/><Relationship Id="rId2499" Type="http://schemas.openxmlformats.org/officeDocument/2006/relationships/hyperlink" Target="https://www.havishamhypnotherapy.co.uk/" TargetMode="External"/><Relationship Id="rId4228" Type="http://schemas.openxmlformats.org/officeDocument/2006/relationships/hyperlink" Target="http://pic.twitter.com/0cLknAs2v9" TargetMode="External"/><Relationship Id="rId4227" Type="http://schemas.openxmlformats.org/officeDocument/2006/relationships/hyperlink" Target="https://twitter.com/impact__intl/status/1217033223437529090" TargetMode="External"/><Relationship Id="rId4229" Type="http://schemas.openxmlformats.org/officeDocument/2006/relationships/hyperlink" Target="http://eclipseperformance.uk" TargetMode="External"/><Relationship Id="rId1190" Type="http://schemas.openxmlformats.org/officeDocument/2006/relationships/hyperlink" Target="http://www.weareaspire.com" TargetMode="External"/><Relationship Id="rId1191" Type="http://schemas.openxmlformats.org/officeDocument/2006/relationships/hyperlink" Target="https://www.instagram.com/p/B7bIW_Og8nv/?igshid=1o0htjd2pee58" TargetMode="External"/><Relationship Id="rId1192" Type="http://schemas.openxmlformats.org/officeDocument/2006/relationships/hyperlink" Target="http://www.selfleadershipinitiative.com" TargetMode="External"/><Relationship Id="rId1193" Type="http://schemas.openxmlformats.org/officeDocument/2006/relationships/hyperlink" Target="https://pbs.twimg.com/media/EOfUyreXsAMOK7z.jpg" TargetMode="External"/><Relationship Id="rId1194" Type="http://schemas.openxmlformats.org/officeDocument/2006/relationships/hyperlink" Target="http://carabradley.net" TargetMode="External"/><Relationship Id="rId4220" Type="http://schemas.openxmlformats.org/officeDocument/2006/relationships/hyperlink" Target="http://bit.ly/2Tofy3M" TargetMode="External"/><Relationship Id="rId1195" Type="http://schemas.openxmlformats.org/officeDocument/2006/relationships/hyperlink" Target="https://mindfulnessmeditation.thinkific.com/courses/mindfulness-for-bu" TargetMode="External"/><Relationship Id="rId1196" Type="http://schemas.openxmlformats.org/officeDocument/2006/relationships/hyperlink" Target="http://www.mindfulnessmeditationinstitute.org/" TargetMode="External"/><Relationship Id="rId4222" Type="http://schemas.openxmlformats.org/officeDocument/2006/relationships/hyperlink" Target="https://www.instagram.com/p/B7TS6MkFHo5/?igshid=33hgf69ebc32" TargetMode="External"/><Relationship Id="rId1197" Type="http://schemas.openxmlformats.org/officeDocument/2006/relationships/hyperlink" Target="http://www.selfhelpguides.ntw.nhs.uk/merseycare/leaflets/selfhelp/Health%20Anxiety.pdf" TargetMode="External"/><Relationship Id="rId4221" Type="http://schemas.openxmlformats.org/officeDocument/2006/relationships/hyperlink" Target="http://www.ultimateresilience.co.uk" TargetMode="External"/><Relationship Id="rId1198" Type="http://schemas.openxmlformats.org/officeDocument/2006/relationships/hyperlink" Target="https://pbs.twimg.com/media/EOfUQfuWkAAWFvg.jpg" TargetMode="External"/><Relationship Id="rId4224" Type="http://schemas.openxmlformats.org/officeDocument/2006/relationships/hyperlink" Target="http://dld.bz/dhzyK" TargetMode="External"/><Relationship Id="rId1199" Type="http://schemas.openxmlformats.org/officeDocument/2006/relationships/hyperlink" Target="http://www.merseycare.nhs.uk" TargetMode="External"/><Relationship Id="rId4223" Type="http://schemas.openxmlformats.org/officeDocument/2006/relationships/hyperlink" Target="https://retail.totallifechanges.com/FitBossBabe" TargetMode="External"/><Relationship Id="rId4226" Type="http://schemas.openxmlformats.org/officeDocument/2006/relationships/hyperlink" Target="http://medicalxpress.com" TargetMode="External"/><Relationship Id="rId4225" Type="http://schemas.openxmlformats.org/officeDocument/2006/relationships/hyperlink" Target="https://medicalxpress.com/news/2020-01-compassion-parents-children-stress.html" TargetMode="External"/><Relationship Id="rId4217" Type="http://schemas.openxmlformats.org/officeDocument/2006/relationships/hyperlink" Target="http://www.backtonature.ae" TargetMode="External"/><Relationship Id="rId4216" Type="http://schemas.openxmlformats.org/officeDocument/2006/relationships/hyperlink" Target="http://pic.twitter.com/7Ps8CtHagF" TargetMode="External"/><Relationship Id="rId4219" Type="http://schemas.openxmlformats.org/officeDocument/2006/relationships/hyperlink" Target="https://www.weliftandshift.org" TargetMode="External"/><Relationship Id="rId4218" Type="http://schemas.openxmlformats.org/officeDocument/2006/relationships/hyperlink" Target="https://www.instagram.com/p/B7TT1yKJJHg/?igshid=kwof70iig5a1" TargetMode="External"/><Relationship Id="rId599" Type="http://schemas.openxmlformats.org/officeDocument/2006/relationships/hyperlink" Target="http://willowbrookmedicalcentre.co.uk" TargetMode="External"/><Relationship Id="rId1180" Type="http://schemas.openxmlformats.org/officeDocument/2006/relationships/hyperlink" Target="https://pbs.twimg.com/media/EOfXCjuWsAIQczd.jpg" TargetMode="External"/><Relationship Id="rId1181" Type="http://schemas.openxmlformats.org/officeDocument/2006/relationships/hyperlink" Target="http://www.equilibrialeadership.com" TargetMode="External"/><Relationship Id="rId1182" Type="http://schemas.openxmlformats.org/officeDocument/2006/relationships/hyperlink" Target="https://linktr.ee/stoodjoe" TargetMode="External"/><Relationship Id="rId594" Type="http://schemas.openxmlformats.org/officeDocument/2006/relationships/hyperlink" Target="https://stress-mindfulness.annualcongress.com/" TargetMode="External"/><Relationship Id="rId1183" Type="http://schemas.openxmlformats.org/officeDocument/2006/relationships/hyperlink" Target="https://www.ncbi.nlm.nih.gov/m/pubmed/31915861/" TargetMode="External"/><Relationship Id="rId593" Type="http://schemas.openxmlformats.org/officeDocument/2006/relationships/hyperlink" Target="https://www.hks.harvard.edu/faculty-research/policy-topics/health/report-sadness-triggers-addictive-behavior" TargetMode="External"/><Relationship Id="rId1184" Type="http://schemas.openxmlformats.org/officeDocument/2006/relationships/hyperlink" Target="http://mylaxman.com" TargetMode="External"/><Relationship Id="rId592" Type="http://schemas.openxmlformats.org/officeDocument/2006/relationships/hyperlink" Target="http://www.newyorkbehavioralhealth.com" TargetMode="External"/><Relationship Id="rId1185" Type="http://schemas.openxmlformats.org/officeDocument/2006/relationships/hyperlink" Target="https://pbs.twimg.com/media/EOfV2f0WsAEcJZF.png" TargetMode="External"/><Relationship Id="rId4211" Type="http://schemas.openxmlformats.org/officeDocument/2006/relationships/hyperlink" Target="https://pbs.twimg.com/media/EOPsk8oVAAA_KuT.jpg" TargetMode="External"/><Relationship Id="rId591" Type="http://schemas.openxmlformats.org/officeDocument/2006/relationships/hyperlink" Target="https://pbs.twimg.com/media/EOitr8vX0AAikAm.jpg" TargetMode="External"/><Relationship Id="rId1186" Type="http://schemas.openxmlformats.org/officeDocument/2006/relationships/hyperlink" Target="http://www.mylaxman.com" TargetMode="External"/><Relationship Id="rId4210" Type="http://schemas.openxmlformats.org/officeDocument/2006/relationships/hyperlink" Target="http://bit.ly/2M3Up98" TargetMode="External"/><Relationship Id="rId598" Type="http://schemas.openxmlformats.org/officeDocument/2006/relationships/hyperlink" Target="https://pbs.twimg.com/media/EOir5i9VAAARih_.jpg" TargetMode="External"/><Relationship Id="rId1187" Type="http://schemas.openxmlformats.org/officeDocument/2006/relationships/hyperlink" Target="https://kennesaw.co1.qualtrics.com/jfe/form/SV_7a13soTjGE0I3lj" TargetMode="External"/><Relationship Id="rId4213" Type="http://schemas.openxmlformats.org/officeDocument/2006/relationships/hyperlink" Target="https://pbs.twimg.com/media/EOJhfh6U0AMfH1Z.jpg" TargetMode="External"/><Relationship Id="rId597" Type="http://schemas.openxmlformats.org/officeDocument/2006/relationships/hyperlink" Target="https://zurl.co/NeOG" TargetMode="External"/><Relationship Id="rId1188" Type="http://schemas.openxmlformats.org/officeDocument/2006/relationships/hyperlink" Target="https://www.researchgate.net/profile/Sherrill_Hayes" TargetMode="External"/><Relationship Id="rId4212" Type="http://schemas.openxmlformats.org/officeDocument/2006/relationships/hyperlink" Target="http://www.lisakaplin.com" TargetMode="External"/><Relationship Id="rId596" Type="http://schemas.openxmlformats.org/officeDocument/2006/relationships/hyperlink" Target="http://thewestcoastgospelch.wix.com/westcoast" TargetMode="External"/><Relationship Id="rId1189" Type="http://schemas.openxmlformats.org/officeDocument/2006/relationships/hyperlink" Target="https://insights.weareaspire.com/post/102fv1m/stress-management-should-be-a-company-initiative-not-an-afterthought" TargetMode="External"/><Relationship Id="rId4215" Type="http://schemas.openxmlformats.org/officeDocument/2006/relationships/hyperlink" Target="http://www.backtonature.ae" TargetMode="External"/><Relationship Id="rId595" Type="http://schemas.openxmlformats.org/officeDocument/2006/relationships/hyperlink" Target="https://pbs.twimg.com/media/EOisD2tUcAACvEg.jpg" TargetMode="External"/><Relationship Id="rId4214" Type="http://schemas.openxmlformats.org/officeDocument/2006/relationships/hyperlink" Target="https://www.reliancehospitals.com/" TargetMode="External"/><Relationship Id="rId1136" Type="http://schemas.openxmlformats.org/officeDocument/2006/relationships/hyperlink" Target="https://totallythebomb.com/lego-sets-for-adults-that-are-meant-to-relieve-stress-and-anxiety" TargetMode="External"/><Relationship Id="rId2467" Type="http://schemas.openxmlformats.org/officeDocument/2006/relationships/hyperlink" Target="https://pbs.twimg.com/media/EOY9nrQWsAE2IB7.jpg" TargetMode="External"/><Relationship Id="rId3799" Type="http://schemas.openxmlformats.org/officeDocument/2006/relationships/hyperlink" Target="https://pbs.twimg.com/media/EORGIrwWsAAIqde.jpg" TargetMode="External"/><Relationship Id="rId1137" Type="http://schemas.openxmlformats.org/officeDocument/2006/relationships/hyperlink" Target="https://sigbi.org/leigh/" TargetMode="External"/><Relationship Id="rId2468" Type="http://schemas.openxmlformats.org/officeDocument/2006/relationships/hyperlink" Target="http://www.therawrainbow.com" TargetMode="External"/><Relationship Id="rId3798" Type="http://schemas.openxmlformats.org/officeDocument/2006/relationships/hyperlink" Target="http://www.makeeverythingfun.com/radio/reduce-financially-related-stress-whitney-hansen/" TargetMode="External"/><Relationship Id="rId1138" Type="http://schemas.openxmlformats.org/officeDocument/2006/relationships/hyperlink" Target="https://pbs.twimg.com/media/EOff_BBWAAEamli.jpg" TargetMode="External"/><Relationship Id="rId2469" Type="http://schemas.openxmlformats.org/officeDocument/2006/relationships/hyperlink" Target="https://pbs.twimg.com/media/EOY9narU0AAPRcv.jpg" TargetMode="External"/><Relationship Id="rId1139" Type="http://schemas.openxmlformats.org/officeDocument/2006/relationships/hyperlink" Target="http://www.nutritionwithbeth.com/" TargetMode="External"/><Relationship Id="rId547" Type="http://schemas.openxmlformats.org/officeDocument/2006/relationships/hyperlink" Target="https://www.foreverfinances.co.uk/" TargetMode="External"/><Relationship Id="rId546" Type="http://schemas.openxmlformats.org/officeDocument/2006/relationships/hyperlink" Target="https://pbs.twimg.com/media/EOjR6fyUwAAiuLX.jpg" TargetMode="External"/><Relationship Id="rId545" Type="http://schemas.openxmlformats.org/officeDocument/2006/relationships/hyperlink" Target="https://bit.ly/2u7oDUn" TargetMode="External"/><Relationship Id="rId544" Type="http://schemas.openxmlformats.org/officeDocument/2006/relationships/hyperlink" Target="https://www.onlinecounselling4u.com/" TargetMode="External"/><Relationship Id="rId549" Type="http://schemas.openxmlformats.org/officeDocument/2006/relationships/hyperlink" Target="https://pbs.twimg.com/media/EOjRcM-W4AE0ZjQ.jpg" TargetMode="External"/><Relationship Id="rId548" Type="http://schemas.openxmlformats.org/officeDocument/2006/relationships/hyperlink" Target="http://ed.gr/b5fzw" TargetMode="External"/><Relationship Id="rId3791" Type="http://schemas.openxmlformats.org/officeDocument/2006/relationships/hyperlink" Target="http://www.erie.gov/health" TargetMode="External"/><Relationship Id="rId2460" Type="http://schemas.openxmlformats.org/officeDocument/2006/relationships/hyperlink" Target="https://doug-sandler-3bnl.squarespace.com/news/anxietyattack" TargetMode="External"/><Relationship Id="rId3790" Type="http://schemas.openxmlformats.org/officeDocument/2006/relationships/hyperlink" Target="https://www.cdc.gov/injury/features/dealing-with-stress/index.html" TargetMode="External"/><Relationship Id="rId1130" Type="http://schemas.openxmlformats.org/officeDocument/2006/relationships/hyperlink" Target="https://pbs.twimg.com/media/END5GKYX0AYJKU7.jpg" TargetMode="External"/><Relationship Id="rId2461" Type="http://schemas.openxmlformats.org/officeDocument/2006/relationships/hyperlink" Target="https://pbs.twimg.com/media/EOY_PW9XkAAfiZA.jpg" TargetMode="External"/><Relationship Id="rId3793" Type="http://schemas.openxmlformats.org/officeDocument/2006/relationships/hyperlink" Target="https://pbs.twimg.com/media/EORHEaNUcAEAzPJ.png" TargetMode="External"/><Relationship Id="rId1131" Type="http://schemas.openxmlformats.org/officeDocument/2006/relationships/hyperlink" Target="http://www.hawkshield.co.uk" TargetMode="External"/><Relationship Id="rId2462" Type="http://schemas.openxmlformats.org/officeDocument/2006/relationships/hyperlink" Target="https://awesomelifestylebusiness.com" TargetMode="External"/><Relationship Id="rId3792" Type="http://schemas.openxmlformats.org/officeDocument/2006/relationships/hyperlink" Target="https://gleeyoga.com/index.php" TargetMode="External"/><Relationship Id="rId543" Type="http://schemas.openxmlformats.org/officeDocument/2006/relationships/hyperlink" Target="https://pbs.twimg.com/media/EOjW70hVAAADJen.jpg" TargetMode="External"/><Relationship Id="rId1132" Type="http://schemas.openxmlformats.org/officeDocument/2006/relationships/hyperlink" Target="https://pbs.twimg.com/media/EOfiAcBX4AIRM7r.jpg" TargetMode="External"/><Relationship Id="rId2463" Type="http://schemas.openxmlformats.org/officeDocument/2006/relationships/hyperlink" Target="http://dld.bz/dhGap" TargetMode="External"/><Relationship Id="rId3795" Type="http://schemas.openxmlformats.org/officeDocument/2006/relationships/hyperlink" Target="https://bit.ly/3a9Ewdn" TargetMode="External"/><Relationship Id="rId542" Type="http://schemas.openxmlformats.org/officeDocument/2006/relationships/hyperlink" Target="http://www.actualizeconsulting.com/seminars.html" TargetMode="External"/><Relationship Id="rId1133" Type="http://schemas.openxmlformats.org/officeDocument/2006/relationships/hyperlink" Target="http://www.hawkshield.co.uk" TargetMode="External"/><Relationship Id="rId2464" Type="http://schemas.openxmlformats.org/officeDocument/2006/relationships/hyperlink" Target="http://www.maxkirsten.com/relax/index.asp" TargetMode="External"/><Relationship Id="rId3794" Type="http://schemas.openxmlformats.org/officeDocument/2006/relationships/hyperlink" Target="https://gleeyoga.com" TargetMode="External"/><Relationship Id="rId541" Type="http://schemas.openxmlformats.org/officeDocument/2006/relationships/hyperlink" Target="https://pbs.twimg.com/media/EOjYl38XsAAGoT_.png" TargetMode="External"/><Relationship Id="rId1134" Type="http://schemas.openxmlformats.org/officeDocument/2006/relationships/hyperlink" Target="https://pbs.twimg.com/media/EOfhw60X0AkZZPi.jpg" TargetMode="External"/><Relationship Id="rId2465" Type="http://schemas.openxmlformats.org/officeDocument/2006/relationships/hyperlink" Target="https://www.maxkirsten.com" TargetMode="External"/><Relationship Id="rId3797" Type="http://schemas.openxmlformats.org/officeDocument/2006/relationships/hyperlink" Target="https://bit.ly/3a9Ewdn" TargetMode="External"/><Relationship Id="rId540" Type="http://schemas.openxmlformats.org/officeDocument/2006/relationships/hyperlink" Target="http://www.amazon.in/dp/B0791JZ166" TargetMode="External"/><Relationship Id="rId1135" Type="http://schemas.openxmlformats.org/officeDocument/2006/relationships/hyperlink" Target="http://squishsupport.com" TargetMode="External"/><Relationship Id="rId2466" Type="http://schemas.openxmlformats.org/officeDocument/2006/relationships/hyperlink" Target="http://www.therawrainbow.com" TargetMode="External"/><Relationship Id="rId3796" Type="http://schemas.openxmlformats.org/officeDocument/2006/relationships/hyperlink" Target="http://www.medpagetoday.com/" TargetMode="External"/><Relationship Id="rId1125" Type="http://schemas.openxmlformats.org/officeDocument/2006/relationships/hyperlink" Target="https://twitter.com/lisaslisson/status/1218145976218738689" TargetMode="External"/><Relationship Id="rId2456" Type="http://schemas.openxmlformats.org/officeDocument/2006/relationships/hyperlink" Target="http://bit.ly/2NoTuT8" TargetMode="External"/><Relationship Id="rId3788" Type="http://schemas.openxmlformats.org/officeDocument/2006/relationships/hyperlink" Target="https://pbs.twimg.com/media/EE609HjWwAIt4id.jpg" TargetMode="External"/><Relationship Id="rId1126" Type="http://schemas.openxmlformats.org/officeDocument/2006/relationships/hyperlink" Target="http://thegirlinline.com" TargetMode="External"/><Relationship Id="rId2457" Type="http://schemas.openxmlformats.org/officeDocument/2006/relationships/hyperlink" Target="http://www.streamlionconsulting.com" TargetMode="External"/><Relationship Id="rId3787" Type="http://schemas.openxmlformats.org/officeDocument/2006/relationships/hyperlink" Target="https://www.greenshield.ca/en-ca/news/stories/the-inside-story-more-health-care-doesn-t-necessarily-mean-better-health" TargetMode="External"/><Relationship Id="rId1127" Type="http://schemas.openxmlformats.org/officeDocument/2006/relationships/hyperlink" Target="https://link.medium.com/lwjF0gS562" TargetMode="External"/><Relationship Id="rId2458" Type="http://schemas.openxmlformats.org/officeDocument/2006/relationships/hyperlink" Target="https://www.thepinkvelvetblog.com/2020/01/essential-oils-for-depression.html" TargetMode="External"/><Relationship Id="rId1128" Type="http://schemas.openxmlformats.org/officeDocument/2006/relationships/hyperlink" Target="https://medium.com/@djemal.ua" TargetMode="External"/><Relationship Id="rId2459" Type="http://schemas.openxmlformats.org/officeDocument/2006/relationships/hyperlink" Target="https://www.thepinkvelvetblog.com" TargetMode="External"/><Relationship Id="rId3789" Type="http://schemas.openxmlformats.org/officeDocument/2006/relationships/hyperlink" Target="http://www.greenshield.ca" TargetMode="External"/><Relationship Id="rId1129" Type="http://schemas.openxmlformats.org/officeDocument/2006/relationships/hyperlink" Target="https://twitter.com/ASPRuralCrime/status/1211742192722743299" TargetMode="External"/><Relationship Id="rId536" Type="http://schemas.openxmlformats.org/officeDocument/2006/relationships/hyperlink" Target="http://www.amazon.in/dp/B0791JZ166" TargetMode="External"/><Relationship Id="rId535" Type="http://schemas.openxmlformats.org/officeDocument/2006/relationships/hyperlink" Target="https://pbs.twimg.com/media/EOjar2jVAAIPoTl.jpg" TargetMode="External"/><Relationship Id="rId534" Type="http://schemas.openxmlformats.org/officeDocument/2006/relationships/hyperlink" Target="http://www.skinonline.co.za" TargetMode="External"/><Relationship Id="rId533" Type="http://schemas.openxmlformats.org/officeDocument/2006/relationships/hyperlink" Target="https://pbs.twimg.com/media/EOjcAjSWAAAWHsr.jpg" TargetMode="External"/><Relationship Id="rId539" Type="http://schemas.openxmlformats.org/officeDocument/2006/relationships/hyperlink" Target="https://pbs.twimg.com/media/EOjZmR5UwAAH_1f.jpg" TargetMode="External"/><Relationship Id="rId538" Type="http://schemas.openxmlformats.org/officeDocument/2006/relationships/hyperlink" Target="http://www.amazon.in/dp/B0791JZ166" TargetMode="External"/><Relationship Id="rId537" Type="http://schemas.openxmlformats.org/officeDocument/2006/relationships/hyperlink" Target="https://pbs.twimg.com/media/EOjaQraUUAA7HeF.jpg" TargetMode="External"/><Relationship Id="rId3780" Type="http://schemas.openxmlformats.org/officeDocument/2006/relationships/hyperlink" Target="https://pbs.twimg.com/media/EORK9h0WkAEHnsV.jpg" TargetMode="External"/><Relationship Id="rId2450" Type="http://schemas.openxmlformats.org/officeDocument/2006/relationships/hyperlink" Target="http://afiniki.co.uk" TargetMode="External"/><Relationship Id="rId3782" Type="http://schemas.openxmlformats.org/officeDocument/2006/relationships/hyperlink" Target="https://pbs.twimg.com/media/EORKhFJX0AYlKMZ.jpg" TargetMode="External"/><Relationship Id="rId1120" Type="http://schemas.openxmlformats.org/officeDocument/2006/relationships/hyperlink" Target="http://denward.de" TargetMode="External"/><Relationship Id="rId2451" Type="http://schemas.openxmlformats.org/officeDocument/2006/relationships/hyperlink" Target="https://pbs.twimg.com/media/EOZCcthWAAASRrO.jpg" TargetMode="External"/><Relationship Id="rId3781" Type="http://schemas.openxmlformats.org/officeDocument/2006/relationships/hyperlink" Target="http://livproducts.com" TargetMode="External"/><Relationship Id="rId532" Type="http://schemas.openxmlformats.org/officeDocument/2006/relationships/hyperlink" Target="http://ow.ly/wA3z30eQQUk" TargetMode="External"/><Relationship Id="rId1121" Type="http://schemas.openxmlformats.org/officeDocument/2006/relationships/hyperlink" Target="http://bit.ly/1N3JBAQ" TargetMode="External"/><Relationship Id="rId2452" Type="http://schemas.openxmlformats.org/officeDocument/2006/relationships/hyperlink" Target="http://www.afiniki.co.uk" TargetMode="External"/><Relationship Id="rId3784" Type="http://schemas.openxmlformats.org/officeDocument/2006/relationships/hyperlink" Target="https://bit.ly/34UIfs2" TargetMode="External"/><Relationship Id="rId531" Type="http://schemas.openxmlformats.org/officeDocument/2006/relationships/hyperlink" Target="http://www.rikidavies.co.uk" TargetMode="External"/><Relationship Id="rId1122" Type="http://schemas.openxmlformats.org/officeDocument/2006/relationships/hyperlink" Target="http://www.durham-autism.org/" TargetMode="External"/><Relationship Id="rId2453" Type="http://schemas.openxmlformats.org/officeDocument/2006/relationships/hyperlink" Target="https://pbs.twimg.com/media/EOZB-ThWsAAA3kX.png" TargetMode="External"/><Relationship Id="rId3783" Type="http://schemas.openxmlformats.org/officeDocument/2006/relationships/hyperlink" Target="http://livproducts.com" TargetMode="External"/><Relationship Id="rId530" Type="http://schemas.openxmlformats.org/officeDocument/2006/relationships/hyperlink" Target="https://pbs.twimg.com/media/EOjcAlBWkAcFblv.jpg" TargetMode="External"/><Relationship Id="rId1123" Type="http://schemas.openxmlformats.org/officeDocument/2006/relationships/hyperlink" Target="https://pbs.twimg.com/media/EOfk8BNXUAAY2nh.png" TargetMode="External"/><Relationship Id="rId2454" Type="http://schemas.openxmlformats.org/officeDocument/2006/relationships/hyperlink" Target="http://www.keysoundsuk.com" TargetMode="External"/><Relationship Id="rId3786" Type="http://schemas.openxmlformats.org/officeDocument/2006/relationships/hyperlink" Target="https://getdisc.com" TargetMode="External"/><Relationship Id="rId1124" Type="http://schemas.openxmlformats.org/officeDocument/2006/relationships/hyperlink" Target="http://www.buckeyefunding.com" TargetMode="External"/><Relationship Id="rId2455" Type="http://schemas.openxmlformats.org/officeDocument/2006/relationships/hyperlink" Target="https://pbs.twimg.com/media/EOZAugwVUAAYbnr.jpg" TargetMode="External"/><Relationship Id="rId3785" Type="http://schemas.openxmlformats.org/officeDocument/2006/relationships/hyperlink" Target="https://pbs.twimg.com/media/EORJAofWAAA744-.jpg" TargetMode="External"/><Relationship Id="rId1158" Type="http://schemas.openxmlformats.org/officeDocument/2006/relationships/hyperlink" Target="https://themovehappy.com" TargetMode="External"/><Relationship Id="rId2489" Type="http://schemas.openxmlformats.org/officeDocument/2006/relationships/hyperlink" Target="https://www.podbean.com/eau/pb-esv4x-cc5812" TargetMode="External"/><Relationship Id="rId1159" Type="http://schemas.openxmlformats.org/officeDocument/2006/relationships/hyperlink" Target="https://theconversation.com/why-bosses-should-let-employees-surf-the-web-at-work-128444?utm_source=linkedin&amp;utm_medium=linkedinbutton" TargetMode="External"/><Relationship Id="rId569" Type="http://schemas.openxmlformats.org/officeDocument/2006/relationships/hyperlink" Target="https://castbox.fm/vb/219635691" TargetMode="External"/><Relationship Id="rId568" Type="http://schemas.openxmlformats.org/officeDocument/2006/relationships/hyperlink" Target="https://pbs.twimg.com/media/EOjAcmyWsAEWhq2.jpg" TargetMode="External"/><Relationship Id="rId567" Type="http://schemas.openxmlformats.org/officeDocument/2006/relationships/hyperlink" Target="https://qwikad.com" TargetMode="External"/><Relationship Id="rId566" Type="http://schemas.openxmlformats.org/officeDocument/2006/relationships/hyperlink" Target="https://qwikad.com/697/posts/20-Income-Opps/290-Affiliate-Marketing/853282-NO-RISK-NO-STRESS.html" TargetMode="External"/><Relationship Id="rId2480" Type="http://schemas.openxmlformats.org/officeDocument/2006/relationships/hyperlink" Target="http://mikemurdockbooks.com" TargetMode="External"/><Relationship Id="rId561" Type="http://schemas.openxmlformats.org/officeDocument/2006/relationships/hyperlink" Target="http://monisdigitalworld.blogspot.com" TargetMode="External"/><Relationship Id="rId1150" Type="http://schemas.openxmlformats.org/officeDocument/2006/relationships/hyperlink" Target="http://www.deannamariemason.com" TargetMode="External"/><Relationship Id="rId2481" Type="http://schemas.openxmlformats.org/officeDocument/2006/relationships/hyperlink" Target="http://bit.ly/2VXPAU7" TargetMode="External"/><Relationship Id="rId560" Type="http://schemas.openxmlformats.org/officeDocument/2006/relationships/hyperlink" Target="https://pbs.twimg.com/media/EOjGc4VUcAA2Pu_.jpg" TargetMode="External"/><Relationship Id="rId1151" Type="http://schemas.openxmlformats.org/officeDocument/2006/relationships/hyperlink" Target="https://bit.ly/2FBeKRn" TargetMode="External"/><Relationship Id="rId2482" Type="http://schemas.openxmlformats.org/officeDocument/2006/relationships/hyperlink" Target="https://pbs.twimg.com/media/EOY0Yc5WoAAOLLd.jpg" TargetMode="External"/><Relationship Id="rId1152" Type="http://schemas.openxmlformats.org/officeDocument/2006/relationships/hyperlink" Target="https://pbs.twimg.com/media/EN8h-0TWsAA6gd0.jpg" TargetMode="External"/><Relationship Id="rId2483" Type="http://schemas.openxmlformats.org/officeDocument/2006/relationships/hyperlink" Target="http://www.civilservicecollege.org.uk/" TargetMode="External"/><Relationship Id="rId1153" Type="http://schemas.openxmlformats.org/officeDocument/2006/relationships/hyperlink" Target="http://womenshealthmatters.ca" TargetMode="External"/><Relationship Id="rId2484" Type="http://schemas.openxmlformats.org/officeDocument/2006/relationships/hyperlink" Target="https://buff.ly/2F3kQJh" TargetMode="External"/><Relationship Id="rId565" Type="http://schemas.openxmlformats.org/officeDocument/2006/relationships/hyperlink" Target="http://greenearthfamily.com/" TargetMode="External"/><Relationship Id="rId1154" Type="http://schemas.openxmlformats.org/officeDocument/2006/relationships/hyperlink" Target="https://lttr.ai/MQkS" TargetMode="External"/><Relationship Id="rId2485" Type="http://schemas.openxmlformats.org/officeDocument/2006/relationships/hyperlink" Target="https://pbs.twimg.com/media/EOY0OoFWoAAJxxL.jpg" TargetMode="External"/><Relationship Id="rId564" Type="http://schemas.openxmlformats.org/officeDocument/2006/relationships/hyperlink" Target="https://buff.ly/2CjSOs3" TargetMode="External"/><Relationship Id="rId1155" Type="http://schemas.openxmlformats.org/officeDocument/2006/relationships/hyperlink" Target="https://pbs.twimg.com/media/EOfdyQpXsAUrgix.png" TargetMode="External"/><Relationship Id="rId2486" Type="http://schemas.openxmlformats.org/officeDocument/2006/relationships/hyperlink" Target="http://www.nccedu.com" TargetMode="External"/><Relationship Id="rId563" Type="http://schemas.openxmlformats.org/officeDocument/2006/relationships/hyperlink" Target="http://www.kenokel.com" TargetMode="External"/><Relationship Id="rId1156" Type="http://schemas.openxmlformats.org/officeDocument/2006/relationships/hyperlink" Target="http://www.bwrt.org" TargetMode="External"/><Relationship Id="rId2487" Type="http://schemas.openxmlformats.org/officeDocument/2006/relationships/hyperlink" Target="https://pbs.twimg.com/media/EOYy1ABWAAIeIOX.jpg" TargetMode="External"/><Relationship Id="rId562" Type="http://schemas.openxmlformats.org/officeDocument/2006/relationships/hyperlink" Target="http://www.kenokel.com/effective-leaders-handle-deadline-distractions/" TargetMode="External"/><Relationship Id="rId1157" Type="http://schemas.openxmlformats.org/officeDocument/2006/relationships/hyperlink" Target="http://pic.twitter.com/DSIuTgluhz" TargetMode="External"/><Relationship Id="rId2488" Type="http://schemas.openxmlformats.org/officeDocument/2006/relationships/hyperlink" Target="http://annawoodwardreflexology.com" TargetMode="External"/><Relationship Id="rId1147" Type="http://schemas.openxmlformats.org/officeDocument/2006/relationships/hyperlink" Target="https://pbs.twimg.com/media/EOfeJbmWkAAypW0.png" TargetMode="External"/><Relationship Id="rId2478" Type="http://schemas.openxmlformats.org/officeDocument/2006/relationships/hyperlink" Target="https://pbs.twimg.com/media/EOY1x5IUYAAgQSF.jpg" TargetMode="External"/><Relationship Id="rId1148" Type="http://schemas.openxmlformats.org/officeDocument/2006/relationships/hyperlink" Target="https://bit.ly/35YTCPv" TargetMode="External"/><Relationship Id="rId2479" Type="http://schemas.openxmlformats.org/officeDocument/2006/relationships/hyperlink" Target="https://the-phd-parent.mn.co" TargetMode="External"/><Relationship Id="rId1149" Type="http://schemas.openxmlformats.org/officeDocument/2006/relationships/hyperlink" Target="https://pbs.twimg.com/media/EOfDKk0WsAUHHv6.jpg" TargetMode="External"/><Relationship Id="rId558" Type="http://schemas.openxmlformats.org/officeDocument/2006/relationships/hyperlink" Target="https://pbs.twimg.com/media/EOjJG8IXsAIna4d.jpg" TargetMode="External"/><Relationship Id="rId557" Type="http://schemas.openxmlformats.org/officeDocument/2006/relationships/hyperlink" Target="http://joshuadowidat.com" TargetMode="External"/><Relationship Id="rId556" Type="http://schemas.openxmlformats.org/officeDocument/2006/relationships/hyperlink" Target="https://pbs.twimg.com/media/EOjJ8KpX0AAl4eI.jpg" TargetMode="External"/><Relationship Id="rId555" Type="http://schemas.openxmlformats.org/officeDocument/2006/relationships/hyperlink" Target="https://doug-sandler-3bnl.squarespace.com/news/anxietyattack" TargetMode="External"/><Relationship Id="rId559" Type="http://schemas.openxmlformats.org/officeDocument/2006/relationships/hyperlink" Target="http://www.linkedin.com/in/monicamanivannan/" TargetMode="External"/><Relationship Id="rId550" Type="http://schemas.openxmlformats.org/officeDocument/2006/relationships/hyperlink" Target="http://www.thecounsellorscafe.co.uk" TargetMode="External"/><Relationship Id="rId2470" Type="http://schemas.openxmlformats.org/officeDocument/2006/relationships/hyperlink" Target="http://bit.ly/TLLLLectureSeries" TargetMode="External"/><Relationship Id="rId1140" Type="http://schemas.openxmlformats.org/officeDocument/2006/relationships/hyperlink" Target="https://rplg.co/57bbd220" TargetMode="External"/><Relationship Id="rId2471" Type="http://schemas.openxmlformats.org/officeDocument/2006/relationships/hyperlink" Target="https://www.instagram.com/p/B7X8qRKJPFM/?igshid=v86p130xt291" TargetMode="External"/><Relationship Id="rId1141" Type="http://schemas.openxmlformats.org/officeDocument/2006/relationships/hyperlink" Target="https://pbs.twimg.com/media/EOff1w6XsAMietb.jpg" TargetMode="External"/><Relationship Id="rId2472" Type="http://schemas.openxmlformats.org/officeDocument/2006/relationships/hyperlink" Target="http://rikidavies.co.uk" TargetMode="External"/><Relationship Id="rId1142" Type="http://schemas.openxmlformats.org/officeDocument/2006/relationships/hyperlink" Target="https://www.gosetmind.com/" TargetMode="External"/><Relationship Id="rId2473" Type="http://schemas.openxmlformats.org/officeDocument/2006/relationships/hyperlink" Target="https://pbs.twimg.com/media/EOY9j-lXkAE1h0X.jpg" TargetMode="External"/><Relationship Id="rId554" Type="http://schemas.openxmlformats.org/officeDocument/2006/relationships/hyperlink" Target="http://www.anxietyuk.org.uk" TargetMode="External"/><Relationship Id="rId1143" Type="http://schemas.openxmlformats.org/officeDocument/2006/relationships/hyperlink" Target="https://pbs.twimg.com/media/EOffExoWoAA8JdJ.jpg" TargetMode="External"/><Relationship Id="rId2474" Type="http://schemas.openxmlformats.org/officeDocument/2006/relationships/hyperlink" Target="http://www.rikidavies.co.uk" TargetMode="External"/><Relationship Id="rId553" Type="http://schemas.openxmlformats.org/officeDocument/2006/relationships/hyperlink" Target="http://ow.ly/trVk50wHlyk" TargetMode="External"/><Relationship Id="rId1144" Type="http://schemas.openxmlformats.org/officeDocument/2006/relationships/hyperlink" Target="http://www.greyholmedental.com/" TargetMode="External"/><Relationship Id="rId2475" Type="http://schemas.openxmlformats.org/officeDocument/2006/relationships/hyperlink" Target="https://pbs.twimg.com/media/EOY6eGXXUAAHG6n.jpg" TargetMode="External"/><Relationship Id="rId552" Type="http://schemas.openxmlformats.org/officeDocument/2006/relationships/hyperlink" Target="http://www.andrewjohnson.co.uk" TargetMode="External"/><Relationship Id="rId1145" Type="http://schemas.openxmlformats.org/officeDocument/2006/relationships/hyperlink" Target="https://medium.com/mind-cafe/5-practical-steps-to-beat-insomnia-8f136491f8ca" TargetMode="External"/><Relationship Id="rId2476" Type="http://schemas.openxmlformats.org/officeDocument/2006/relationships/hyperlink" Target="http://chirocrosby.com" TargetMode="External"/><Relationship Id="rId551" Type="http://schemas.openxmlformats.org/officeDocument/2006/relationships/hyperlink" Target="https://pbs.twimg.com/media/EOjPdJsXsAAmPib.jpg" TargetMode="External"/><Relationship Id="rId1146" Type="http://schemas.openxmlformats.org/officeDocument/2006/relationships/hyperlink" Target="https://tonyburkinshaw.co.uk/contact" TargetMode="External"/><Relationship Id="rId2477" Type="http://schemas.openxmlformats.org/officeDocument/2006/relationships/hyperlink" Target="http://www.mimieng.com" TargetMode="External"/><Relationship Id="rId4280" Type="http://schemas.openxmlformats.org/officeDocument/2006/relationships/hyperlink" Target="https://about.me/mummymatters" TargetMode="External"/><Relationship Id="rId4282" Type="http://schemas.openxmlformats.org/officeDocument/2006/relationships/hyperlink" Target="https://bit.ly/2qAu10v" TargetMode="External"/><Relationship Id="rId4281" Type="http://schemas.openxmlformats.org/officeDocument/2006/relationships/hyperlink" Target="https://pbs.twimg.com/media/EOPcLs4WAAAlt8G.png" TargetMode="External"/><Relationship Id="rId4284" Type="http://schemas.openxmlformats.org/officeDocument/2006/relationships/hyperlink" Target="https://www.mind.org.uk/information-support/tips-for-everyday-living/relaxation/relaxation-exercises/?fbclid=IwAR1gjJTs0CrL8n25WwEPaipJ8cNbOWSxkvE1aKiRB_omzsXpUXe8rAL4ZSo" TargetMode="External"/><Relationship Id="rId4283" Type="http://schemas.openxmlformats.org/officeDocument/2006/relationships/hyperlink" Target="http://www.familyflavours.com" TargetMode="External"/><Relationship Id="rId4286" Type="http://schemas.openxmlformats.org/officeDocument/2006/relationships/hyperlink" Target="http://www.mindinbexley.org.uk/" TargetMode="External"/><Relationship Id="rId4285" Type="http://schemas.openxmlformats.org/officeDocument/2006/relationships/hyperlink" Target="https://pbs.twimg.com/media/EOLC1DYXkAQUm0_.jpg" TargetMode="External"/><Relationship Id="rId4288" Type="http://schemas.openxmlformats.org/officeDocument/2006/relationships/hyperlink" Target="http://www.drrashmishetty.com" TargetMode="External"/><Relationship Id="rId4287" Type="http://schemas.openxmlformats.org/officeDocument/2006/relationships/hyperlink" Target="https://pbs.twimg.com/media/EOPZvsfVUAAUnUa.jpg" TargetMode="External"/><Relationship Id="rId4289" Type="http://schemas.openxmlformats.org/officeDocument/2006/relationships/hyperlink" Target="http://bit.ly/2Rdop5R" TargetMode="External"/><Relationship Id="rId4271" Type="http://schemas.openxmlformats.org/officeDocument/2006/relationships/hyperlink" Target="https://pbs.twimg.com/media/EOPgGSlXsAAErPJ.jpg" TargetMode="External"/><Relationship Id="rId4270" Type="http://schemas.openxmlformats.org/officeDocument/2006/relationships/hyperlink" Target="http://zpr.io/guka2" TargetMode="External"/><Relationship Id="rId4273" Type="http://schemas.openxmlformats.org/officeDocument/2006/relationships/hyperlink" Target="https://pbs.twimg.com/media/ENly5u8WsAI99rh.jpg" TargetMode="External"/><Relationship Id="rId4272" Type="http://schemas.openxmlformats.org/officeDocument/2006/relationships/hyperlink" Target="http://www.trafficjam.mobi/" TargetMode="External"/><Relationship Id="rId4275" Type="http://schemas.openxmlformats.org/officeDocument/2006/relationships/hyperlink" Target="https://www.awin1.com/cread.php?s=2369745&amp;v=12421&amp;q=361437&amp;r=86109" TargetMode="External"/><Relationship Id="rId4274" Type="http://schemas.openxmlformats.org/officeDocument/2006/relationships/hyperlink" Target="https://research.abdn.ac.uk/nts-farming/" TargetMode="External"/><Relationship Id="rId4277" Type="http://schemas.openxmlformats.org/officeDocument/2006/relationships/hyperlink" Target="https://natuhealthblog.blogspot.com/" TargetMode="External"/><Relationship Id="rId4276" Type="http://schemas.openxmlformats.org/officeDocument/2006/relationships/hyperlink" Target="https://pbs.twimg.com/media/EOPfUQ5XUAALttE.png" TargetMode="External"/><Relationship Id="rId4279" Type="http://schemas.openxmlformats.org/officeDocument/2006/relationships/hyperlink" Target="https://pbs.twimg.com/media/EOPdmnKXsAInZj3.png" TargetMode="External"/><Relationship Id="rId4278" Type="http://schemas.openxmlformats.org/officeDocument/2006/relationships/hyperlink" Target="https://lttr.ai/MJdI" TargetMode="External"/><Relationship Id="rId4291" Type="http://schemas.openxmlformats.org/officeDocument/2006/relationships/hyperlink" Target="http://www.bigc-consulting.com" TargetMode="External"/><Relationship Id="rId4290" Type="http://schemas.openxmlformats.org/officeDocument/2006/relationships/hyperlink" Target="https://pbs.twimg.com/media/EOPYLluW4AQlXea.jpg" TargetMode="External"/><Relationship Id="rId4293" Type="http://schemas.openxmlformats.org/officeDocument/2006/relationships/hyperlink" Target="https://pbs.twimg.com/media/EOPYGP9WkAA7-cY.jpg" TargetMode="External"/><Relationship Id="rId4292" Type="http://schemas.openxmlformats.org/officeDocument/2006/relationships/hyperlink" Target="http://neuvanalife.com" TargetMode="External"/><Relationship Id="rId4295" Type="http://schemas.openxmlformats.org/officeDocument/2006/relationships/hyperlink" Target="http://spabreaks.com" TargetMode="External"/><Relationship Id="rId4294" Type="http://schemas.openxmlformats.org/officeDocument/2006/relationships/hyperlink" Target="https://neuvanalife.com/" TargetMode="External"/><Relationship Id="rId4297" Type="http://schemas.openxmlformats.org/officeDocument/2006/relationships/hyperlink" Target="https://travelingthroughlifedaybyday.com/kick-stress-to-the-curb-free-mini-course/?utm_source=ReviveOldPost&amp;utm_medium=social&amp;utm_campaign=ReviveOldPost" TargetMode="External"/><Relationship Id="rId4296" Type="http://schemas.openxmlformats.org/officeDocument/2006/relationships/hyperlink" Target="http://www.spabreaks.com" TargetMode="External"/><Relationship Id="rId4299" Type="http://schemas.openxmlformats.org/officeDocument/2006/relationships/hyperlink" Target="https://pbs.twimg.com/media/EOPWvF-WAAA61r0.jpg" TargetMode="External"/><Relationship Id="rId4298" Type="http://schemas.openxmlformats.org/officeDocument/2006/relationships/hyperlink" Target="https://travelingthroughlifedaybyday.com" TargetMode="External"/><Relationship Id="rId4249" Type="http://schemas.openxmlformats.org/officeDocument/2006/relationships/hyperlink" Target="https://pbs.twimg.com/media/EOPlsnjX4AEotmf.jpg" TargetMode="External"/><Relationship Id="rId4240" Type="http://schemas.openxmlformats.org/officeDocument/2006/relationships/hyperlink" Target="https://www.facebook.com/100000616129931/posts/2916441085053067/?d=n" TargetMode="External"/><Relationship Id="rId4242" Type="http://schemas.openxmlformats.org/officeDocument/2006/relationships/hyperlink" Target="http://snip.ly/1sj5a" TargetMode="External"/><Relationship Id="rId4241" Type="http://schemas.openxmlformats.org/officeDocument/2006/relationships/hyperlink" Target="https://pbs.twimg.com/media/EOPm3iXXkAEVda6.jpg" TargetMode="External"/><Relationship Id="rId4244" Type="http://schemas.openxmlformats.org/officeDocument/2006/relationships/hyperlink" Target="http://anthonyclarkmusic.com" TargetMode="External"/><Relationship Id="rId4243" Type="http://schemas.openxmlformats.org/officeDocument/2006/relationships/hyperlink" Target="https://pbs.twimg.com/media/EOPm6ipXUAEkfg_.jpg" TargetMode="External"/><Relationship Id="rId4246" Type="http://schemas.openxmlformats.org/officeDocument/2006/relationships/hyperlink" Target="https://pbs.twimg.com/media/EOPm1heWAAEt2s_.jpg" TargetMode="External"/><Relationship Id="rId4245" Type="http://schemas.openxmlformats.org/officeDocument/2006/relationships/hyperlink" Target="http://bit.ly/32jEWso" TargetMode="External"/><Relationship Id="rId4248" Type="http://schemas.openxmlformats.org/officeDocument/2006/relationships/hyperlink" Target="https://buff.ly/2TeJsaW" TargetMode="External"/><Relationship Id="rId4247" Type="http://schemas.openxmlformats.org/officeDocument/2006/relationships/hyperlink" Target="https://www.linkedin.com/in/curt-robbins-37a13312/" TargetMode="External"/><Relationship Id="rId4239" Type="http://schemas.openxmlformats.org/officeDocument/2006/relationships/hyperlink" Target="http://bit.ly/2LC601s" TargetMode="External"/><Relationship Id="rId4238" Type="http://schemas.openxmlformats.org/officeDocument/2006/relationships/hyperlink" Target="https://pbs.twimg.com/media/EOPn_TfX4AEYwBq.jpg" TargetMode="External"/><Relationship Id="rId495" Type="http://schemas.openxmlformats.org/officeDocument/2006/relationships/hyperlink" Target="https://www.pinterest.com/bestmetabooster/" TargetMode="External"/><Relationship Id="rId4231" Type="http://schemas.openxmlformats.org/officeDocument/2006/relationships/hyperlink" Target="http://www.katrinalovesenn.com" TargetMode="External"/><Relationship Id="rId494" Type="http://schemas.openxmlformats.org/officeDocument/2006/relationships/hyperlink" Target="https://pbs.twimg.com/media/EOjrNcJWsAAlhVK.jpg" TargetMode="External"/><Relationship Id="rId4230" Type="http://schemas.openxmlformats.org/officeDocument/2006/relationships/hyperlink" Target="http://www.katrinalovesenn.com/index.php/articles/transformation/360-healing-meditations-podcast" TargetMode="External"/><Relationship Id="rId493" Type="http://schemas.openxmlformats.org/officeDocument/2006/relationships/hyperlink" Target="http://pachaworld.org/mentalhealth-stress-depression-anxiety-be-a-warrior-not-a-worrier-how-to-de-stress-and-cope-with-anxiety-naturally-reviews" TargetMode="External"/><Relationship Id="rId4233" Type="http://schemas.openxmlformats.org/officeDocument/2006/relationships/hyperlink" Target="http://nutritionmission.org" TargetMode="External"/><Relationship Id="rId492" Type="http://schemas.openxmlformats.org/officeDocument/2006/relationships/hyperlink" Target="https://www.thepathofme.com/" TargetMode="External"/><Relationship Id="rId4232" Type="http://schemas.openxmlformats.org/officeDocument/2006/relationships/hyperlink" Target="https://www.inverse.com/article/62256-reason-why-anxious-people-smoke-marijuana" TargetMode="External"/><Relationship Id="rId499" Type="http://schemas.openxmlformats.org/officeDocument/2006/relationships/hyperlink" Target="https://www.thepinkvelvetblog.com" TargetMode="External"/><Relationship Id="rId4235" Type="http://schemas.openxmlformats.org/officeDocument/2006/relationships/hyperlink" Target="https://pbs.twimg.com/media/EOPoCFSWoAAErR9.jpg" TargetMode="External"/><Relationship Id="rId498" Type="http://schemas.openxmlformats.org/officeDocument/2006/relationships/hyperlink" Target="https://buff.ly/2tdCGrp" TargetMode="External"/><Relationship Id="rId4234" Type="http://schemas.openxmlformats.org/officeDocument/2006/relationships/hyperlink" Target="https://amzn.to/2tkdLlV" TargetMode="External"/><Relationship Id="rId497" Type="http://schemas.openxmlformats.org/officeDocument/2006/relationships/hyperlink" Target="https://www.icliniq.com/" TargetMode="External"/><Relationship Id="rId4237" Type="http://schemas.openxmlformats.org/officeDocument/2006/relationships/hyperlink" Target="http://ow.ly/IpsA50xUSsk" TargetMode="External"/><Relationship Id="rId496" Type="http://schemas.openxmlformats.org/officeDocument/2006/relationships/hyperlink" Target="http://bit.ly/30kX3iw" TargetMode="External"/><Relationship Id="rId4236" Type="http://schemas.openxmlformats.org/officeDocument/2006/relationships/hyperlink" Target="https://amzn.to/2n9ZnJG" TargetMode="External"/><Relationship Id="rId4260" Type="http://schemas.openxmlformats.org/officeDocument/2006/relationships/hyperlink" Target="https://play.google.com/store/apps/details?id=com.coderays.mudras&amp;hl=en_IN" TargetMode="External"/><Relationship Id="rId4262" Type="http://schemas.openxmlformats.org/officeDocument/2006/relationships/hyperlink" Target="https://www.the-compensation-experts.co.uk/the-rise-of-occupational-stress-what-your-employer-needs-to-do-to-reduce-a-public-health-emergency/" TargetMode="External"/><Relationship Id="rId4261" Type="http://schemas.openxmlformats.org/officeDocument/2006/relationships/hyperlink" Target="https://pbs.twimg.com/media/EOPhTMFU4AAWC2r.jpg" TargetMode="External"/><Relationship Id="rId4264" Type="http://schemas.openxmlformats.org/officeDocument/2006/relationships/hyperlink" Target="http://ow.ly/US8D50xTJrP" TargetMode="External"/><Relationship Id="rId4263" Type="http://schemas.openxmlformats.org/officeDocument/2006/relationships/hyperlink" Target="http://www.the-compensation-experts.co.uk/" TargetMode="External"/><Relationship Id="rId4266" Type="http://schemas.openxmlformats.org/officeDocument/2006/relationships/hyperlink" Target="http://www.griffinsafetytraining.co.uk" TargetMode="External"/><Relationship Id="rId4265" Type="http://schemas.openxmlformats.org/officeDocument/2006/relationships/hyperlink" Target="https://pbs.twimg.com/media/EOPhHfOWkAgWGuM.jpg" TargetMode="External"/><Relationship Id="rId4268" Type="http://schemas.openxmlformats.org/officeDocument/2006/relationships/hyperlink" Target="https://pbs.twimg.com/media/EOPgIroWsAE7j7c.jpg" TargetMode="External"/><Relationship Id="rId4267" Type="http://schemas.openxmlformats.org/officeDocument/2006/relationships/hyperlink" Target="https://pbs.twimg.com/media/EOPhAjBXsAEHaC5.jpg" TargetMode="External"/><Relationship Id="rId4269" Type="http://schemas.openxmlformats.org/officeDocument/2006/relationships/hyperlink" Target="http://www.clearviewminds.com" TargetMode="External"/><Relationship Id="rId4251" Type="http://schemas.openxmlformats.org/officeDocument/2006/relationships/hyperlink" Target="https://pbs.twimg.com/media/EOPkwbGWoAEGO5g.jpg" TargetMode="External"/><Relationship Id="rId4250" Type="http://schemas.openxmlformats.org/officeDocument/2006/relationships/hyperlink" Target="http://j.mp/RWC-Stress" TargetMode="External"/><Relationship Id="rId4253" Type="http://schemas.openxmlformats.org/officeDocument/2006/relationships/hyperlink" Target="https://pbs.twimg.com/media/EOPkmJeX0AEgJUX.jpg" TargetMode="External"/><Relationship Id="rId4252" Type="http://schemas.openxmlformats.org/officeDocument/2006/relationships/hyperlink" Target="https://www.realwarriors.net/" TargetMode="External"/><Relationship Id="rId4255" Type="http://schemas.openxmlformats.org/officeDocument/2006/relationships/hyperlink" Target="https://buff.ly/3abvsVa" TargetMode="External"/><Relationship Id="rId4254" Type="http://schemas.openxmlformats.org/officeDocument/2006/relationships/hyperlink" Target="http://davesworldgroup.wordpress.com" TargetMode="External"/><Relationship Id="rId4257" Type="http://schemas.openxmlformats.org/officeDocument/2006/relationships/hyperlink" Target="https://www.linkedin.com/in/MichaelToebe" TargetMode="External"/><Relationship Id="rId4256" Type="http://schemas.openxmlformats.org/officeDocument/2006/relationships/hyperlink" Target="https://thehealthygourmet.co.uk" TargetMode="External"/><Relationship Id="rId4259" Type="http://schemas.openxmlformats.org/officeDocument/2006/relationships/hyperlink" Target="https://pbs.twimg.com/media/EOPhvu4VAAAKhaJ.jpg" TargetMode="External"/><Relationship Id="rId4258" Type="http://schemas.openxmlformats.org/officeDocument/2006/relationships/hyperlink" Target="http://www.hermagic.com/7-relaxing-ways-to-overcome-stress/" TargetMode="External"/><Relationship Id="rId3810" Type="http://schemas.openxmlformats.org/officeDocument/2006/relationships/hyperlink" Target="http://ow.ly/NMzg50xVrIj" TargetMode="External"/><Relationship Id="rId3812" Type="http://schemas.openxmlformats.org/officeDocument/2006/relationships/hyperlink" Target="http://primeedgetech.com/" TargetMode="External"/><Relationship Id="rId3811" Type="http://schemas.openxmlformats.org/officeDocument/2006/relationships/hyperlink" Target="https://pbs.twimg.com/media/EOREdNIWsAMfxMg.jpg" TargetMode="External"/><Relationship Id="rId3814" Type="http://schemas.openxmlformats.org/officeDocument/2006/relationships/hyperlink" Target="https://www.puregreenexpress.ca" TargetMode="External"/><Relationship Id="rId3813" Type="http://schemas.openxmlformats.org/officeDocument/2006/relationships/hyperlink" Target="https://www.puregreenexpress.ca/twilight-hard-candy-pineapple-punch-450mg-cbd.html" TargetMode="External"/><Relationship Id="rId3816" Type="http://schemas.openxmlformats.org/officeDocument/2006/relationships/hyperlink" Target="https://brianthomas.me" TargetMode="External"/><Relationship Id="rId3815" Type="http://schemas.openxmlformats.org/officeDocument/2006/relationships/hyperlink" Target="https://buff.ly/2Ox4DlW" TargetMode="External"/><Relationship Id="rId3818" Type="http://schemas.openxmlformats.org/officeDocument/2006/relationships/hyperlink" Target="https://www.oberondiagnostic.com/" TargetMode="External"/><Relationship Id="rId3817" Type="http://schemas.openxmlformats.org/officeDocument/2006/relationships/hyperlink" Target="http://oberondiagnostic.com" TargetMode="External"/><Relationship Id="rId3819" Type="http://schemas.openxmlformats.org/officeDocument/2006/relationships/hyperlink" Target="https://pbs.twimg.com/media/EORC1zyU8AA28VO.png" TargetMode="External"/><Relationship Id="rId3801" Type="http://schemas.openxmlformats.org/officeDocument/2006/relationships/hyperlink" Target="https://buff.ly/30kLO9v" TargetMode="External"/><Relationship Id="rId3800" Type="http://schemas.openxmlformats.org/officeDocument/2006/relationships/hyperlink" Target="http://www.makeeverythingfun.com" TargetMode="External"/><Relationship Id="rId3803" Type="http://schemas.openxmlformats.org/officeDocument/2006/relationships/hyperlink" Target="https://pbs.twimg.com/media/EORGAkQWAAI-r21.jpg" TargetMode="External"/><Relationship Id="rId3802" Type="http://schemas.openxmlformats.org/officeDocument/2006/relationships/hyperlink" Target="http://linkedin.com/in/andrewstenhouse" TargetMode="External"/><Relationship Id="rId3805" Type="http://schemas.openxmlformats.org/officeDocument/2006/relationships/hyperlink" Target="https://lnkd.in/ejeZrD3" TargetMode="External"/><Relationship Id="rId3804" Type="http://schemas.openxmlformats.org/officeDocument/2006/relationships/hyperlink" Target="https://www.jamiespannhake.com/" TargetMode="External"/><Relationship Id="rId3807" Type="http://schemas.openxmlformats.org/officeDocument/2006/relationships/hyperlink" Target="http://ow.ly/FQ0Z50l9uBf" TargetMode="External"/><Relationship Id="rId3806" Type="http://schemas.openxmlformats.org/officeDocument/2006/relationships/hyperlink" Target="http://www.dnb.com/perspectives/authors/amber-colley-bio.html" TargetMode="External"/><Relationship Id="rId3809" Type="http://schemas.openxmlformats.org/officeDocument/2006/relationships/hyperlink" Target="http://www.bccancer.bc.ca/" TargetMode="External"/><Relationship Id="rId3808" Type="http://schemas.openxmlformats.org/officeDocument/2006/relationships/hyperlink" Target="https://pbs.twimg.com/media/EOREs1zXUAAwL6_.png" TargetMode="External"/><Relationship Id="rId1213" Type="http://schemas.openxmlformats.org/officeDocument/2006/relationships/hyperlink" Target="http://dennissantaniello.com" TargetMode="External"/><Relationship Id="rId2544" Type="http://schemas.openxmlformats.org/officeDocument/2006/relationships/hyperlink" Target="https://www.thepinkvelvetblog.com" TargetMode="External"/><Relationship Id="rId3876" Type="http://schemas.openxmlformats.org/officeDocument/2006/relationships/hyperlink" Target="https://pbs.twimg.com/media/EOQvt1kXsAATP0M.jpg" TargetMode="External"/><Relationship Id="rId1214" Type="http://schemas.openxmlformats.org/officeDocument/2006/relationships/hyperlink" Target="http://www.bwrt.org" TargetMode="External"/><Relationship Id="rId2545" Type="http://schemas.openxmlformats.org/officeDocument/2006/relationships/hyperlink" Target="https://isrg.me/0ifDTc" TargetMode="External"/><Relationship Id="rId3875" Type="http://schemas.openxmlformats.org/officeDocument/2006/relationships/hyperlink" Target="http://cpix.me/a/89874147" TargetMode="External"/><Relationship Id="rId1215" Type="http://schemas.openxmlformats.org/officeDocument/2006/relationships/hyperlink" Target="https://www.psychologytoday.com/us/blog/click-here-happiness/202001/how-relieve-manage-and-overcome-stress" TargetMode="External"/><Relationship Id="rId2546" Type="http://schemas.openxmlformats.org/officeDocument/2006/relationships/hyperlink" Target="https://pbs.twimg.com/media/EOYEGvXUwAEHDlw.jpg" TargetMode="External"/><Relationship Id="rId3878" Type="http://schemas.openxmlformats.org/officeDocument/2006/relationships/hyperlink" Target="http://pic.twitter.com/mDdsd0FEof" TargetMode="External"/><Relationship Id="rId1216" Type="http://schemas.openxmlformats.org/officeDocument/2006/relationships/hyperlink" Target="https://mdsc.ca/" TargetMode="External"/><Relationship Id="rId2547" Type="http://schemas.openxmlformats.org/officeDocument/2006/relationships/hyperlink" Target="http://isrg.me" TargetMode="External"/><Relationship Id="rId3877" Type="http://schemas.openxmlformats.org/officeDocument/2006/relationships/hyperlink" Target="http://www.homeswitherg.com" TargetMode="External"/><Relationship Id="rId1217" Type="http://schemas.openxmlformats.org/officeDocument/2006/relationships/hyperlink" Target="https://lttr.ai/MQbS" TargetMode="External"/><Relationship Id="rId2548" Type="http://schemas.openxmlformats.org/officeDocument/2006/relationships/hyperlink" Target="http://bit.ly/2c4JOdR" TargetMode="External"/><Relationship Id="rId1218" Type="http://schemas.openxmlformats.org/officeDocument/2006/relationships/hyperlink" Target="https://pbs.twimg.com/media/EOfOhdOXUAAvvHN.png" TargetMode="External"/><Relationship Id="rId2549" Type="http://schemas.openxmlformats.org/officeDocument/2006/relationships/hyperlink" Target="https://www.drchriscarreira.com" TargetMode="External"/><Relationship Id="rId3879" Type="http://schemas.openxmlformats.org/officeDocument/2006/relationships/hyperlink" Target="https://pbs.twimg.com/media/EOQhaLIW4AAdtEx.png" TargetMode="External"/><Relationship Id="rId1219" Type="http://schemas.openxmlformats.org/officeDocument/2006/relationships/hyperlink" Target="http://www.bestgardeninfo.com" TargetMode="External"/><Relationship Id="rId3870" Type="http://schemas.openxmlformats.org/officeDocument/2006/relationships/hyperlink" Target="https://pbs.twimg.com/media/EOQwGbYXkAQhS6z.jpg" TargetMode="External"/><Relationship Id="rId2540" Type="http://schemas.openxmlformats.org/officeDocument/2006/relationships/hyperlink" Target="https://financialsocialwork.com/downloads/financial-social-work-certification" TargetMode="External"/><Relationship Id="rId3872" Type="http://schemas.openxmlformats.org/officeDocument/2006/relationships/hyperlink" Target="http://bit.ly/GM-bp" TargetMode="External"/><Relationship Id="rId1210" Type="http://schemas.openxmlformats.org/officeDocument/2006/relationships/hyperlink" Target="http://www.stayyoungamerica.com" TargetMode="External"/><Relationship Id="rId2541" Type="http://schemas.openxmlformats.org/officeDocument/2006/relationships/hyperlink" Target="https://sarhny.com/Mo_Oth1" TargetMode="External"/><Relationship Id="rId3871" Type="http://schemas.openxmlformats.org/officeDocument/2006/relationships/hyperlink" Target="https://www.pureessencelabs.com" TargetMode="External"/><Relationship Id="rId1211" Type="http://schemas.openxmlformats.org/officeDocument/2006/relationships/hyperlink" Target="http://www.leetchi.com/c/devenir-developpeur" TargetMode="External"/><Relationship Id="rId2542" Type="http://schemas.openxmlformats.org/officeDocument/2006/relationships/hyperlink" Target="https://www.instagram.com/p/B7XgcODFwXu/?igshid=5m21im7857di" TargetMode="External"/><Relationship Id="rId3874" Type="http://schemas.openxmlformats.org/officeDocument/2006/relationships/hyperlink" Target="http://gracemed.org" TargetMode="External"/><Relationship Id="rId1212" Type="http://schemas.openxmlformats.org/officeDocument/2006/relationships/hyperlink" Target="https://pbs.twimg.com/media/EOfOvSdXUAAwyyK.jpg" TargetMode="External"/><Relationship Id="rId2543" Type="http://schemas.openxmlformats.org/officeDocument/2006/relationships/hyperlink" Target="https://buff.ly/2u6ExOv" TargetMode="External"/><Relationship Id="rId3873" Type="http://schemas.openxmlformats.org/officeDocument/2006/relationships/hyperlink" Target="https://pbs.twimg.com/media/EOQwEjfXUAIJe-Z.jpg" TargetMode="External"/><Relationship Id="rId1202" Type="http://schemas.openxmlformats.org/officeDocument/2006/relationships/hyperlink" Target="https://pbs.twimg.com/media/EOfS-erWkAI72cV.jpg" TargetMode="External"/><Relationship Id="rId2533" Type="http://schemas.openxmlformats.org/officeDocument/2006/relationships/hyperlink" Target="http://cbdoilcast.com" TargetMode="External"/><Relationship Id="rId3865" Type="http://schemas.openxmlformats.org/officeDocument/2006/relationships/hyperlink" Target="https://pbs.twimg.com/media/EOQyLZzU4AAT0U2.jpg" TargetMode="External"/><Relationship Id="rId1203" Type="http://schemas.openxmlformats.org/officeDocument/2006/relationships/hyperlink" Target="http://myretirementbusiness.com/blog" TargetMode="External"/><Relationship Id="rId2534" Type="http://schemas.openxmlformats.org/officeDocument/2006/relationships/hyperlink" Target="https://pbs.twimg.com/media/EOYULrpX4AAti0q.jpg" TargetMode="External"/><Relationship Id="rId3864" Type="http://schemas.openxmlformats.org/officeDocument/2006/relationships/hyperlink" Target="https://happycbdstore.com/product/active-cbd-oil-tincture-water-soluble-cbn-150mg/" TargetMode="External"/><Relationship Id="rId1204" Type="http://schemas.openxmlformats.org/officeDocument/2006/relationships/hyperlink" Target="https://www.instagram.com/p/B7bHT9tARH6/?igshid=mq2f3je4brp6" TargetMode="External"/><Relationship Id="rId2535" Type="http://schemas.openxmlformats.org/officeDocument/2006/relationships/hyperlink" Target="https://pbs.twimg.com/media/EOYTgLvUEAAv4Hh.jpg" TargetMode="External"/><Relationship Id="rId3867" Type="http://schemas.openxmlformats.org/officeDocument/2006/relationships/hyperlink" Target="https://pbs.twimg.com/media/EOQxhyBXsAEGJDC.jpg" TargetMode="External"/><Relationship Id="rId1205" Type="http://schemas.openxmlformats.org/officeDocument/2006/relationships/hyperlink" Target="http://www.alycewellons.com" TargetMode="External"/><Relationship Id="rId2536" Type="http://schemas.openxmlformats.org/officeDocument/2006/relationships/hyperlink" Target="https://sitapureyehospital.org/latest_causes" TargetMode="External"/><Relationship Id="rId3866" Type="http://schemas.openxmlformats.org/officeDocument/2006/relationships/hyperlink" Target="https://happycbdstore.com" TargetMode="External"/><Relationship Id="rId1206" Type="http://schemas.openxmlformats.org/officeDocument/2006/relationships/hyperlink" Target="https://bit.ly/2QC0i1s" TargetMode="External"/><Relationship Id="rId2537" Type="http://schemas.openxmlformats.org/officeDocument/2006/relationships/hyperlink" Target="https://www.twitch.tv/emilylisle" TargetMode="External"/><Relationship Id="rId3869" Type="http://schemas.openxmlformats.org/officeDocument/2006/relationships/hyperlink" Target="https://pbs.twimg.com/media/EOQwk77W4AEOq98.jpg" TargetMode="External"/><Relationship Id="rId1207" Type="http://schemas.openxmlformats.org/officeDocument/2006/relationships/hyperlink" Target="http://www.horsesmouth.com" TargetMode="External"/><Relationship Id="rId2538" Type="http://schemas.openxmlformats.org/officeDocument/2006/relationships/hyperlink" Target="https://bit.ly/3agOARF" TargetMode="External"/><Relationship Id="rId3868" Type="http://schemas.openxmlformats.org/officeDocument/2006/relationships/hyperlink" Target="http://www.charleshannahigher.com" TargetMode="External"/><Relationship Id="rId1208" Type="http://schemas.openxmlformats.org/officeDocument/2006/relationships/hyperlink" Target="http://braining4success.com" TargetMode="External"/><Relationship Id="rId2539" Type="http://schemas.openxmlformats.org/officeDocument/2006/relationships/hyperlink" Target="https://pbs.twimg.com/media/EOYLc5mWoAA46OY.jpg" TargetMode="External"/><Relationship Id="rId1209" Type="http://schemas.openxmlformats.org/officeDocument/2006/relationships/hyperlink" Target="http://traffic.libsyn.com/stayingyoung2/medicalminute011819.mp3" TargetMode="External"/><Relationship Id="rId3861" Type="http://schemas.openxmlformats.org/officeDocument/2006/relationships/hyperlink" Target="http://twitch.tv/sandsable" TargetMode="External"/><Relationship Id="rId2530" Type="http://schemas.openxmlformats.org/officeDocument/2006/relationships/hyperlink" Target="https://pbs.twimg.com/media/EOYWuYHVAAEQBTF.jpg" TargetMode="External"/><Relationship Id="rId3860" Type="http://schemas.openxmlformats.org/officeDocument/2006/relationships/hyperlink" Target="https://wanabrands.com/" TargetMode="External"/><Relationship Id="rId1200" Type="http://schemas.openxmlformats.org/officeDocument/2006/relationships/hyperlink" Target="http://bit.ly/2stzBmu" TargetMode="External"/><Relationship Id="rId2531" Type="http://schemas.openxmlformats.org/officeDocument/2006/relationships/hyperlink" Target="http://orchidsquare.in/" TargetMode="External"/><Relationship Id="rId3863" Type="http://schemas.openxmlformats.org/officeDocument/2006/relationships/hyperlink" Target="http://cupoftea4u.com" TargetMode="External"/><Relationship Id="rId1201" Type="http://schemas.openxmlformats.org/officeDocument/2006/relationships/hyperlink" Target="https://pbs.twimg.com/media/EOfTn2zWAAUNDoF.jpg" TargetMode="External"/><Relationship Id="rId2532" Type="http://schemas.openxmlformats.org/officeDocument/2006/relationships/hyperlink" Target="https://www.instagram.com/p/B7XolcrA-tN/?igshid=1luhppv084hgx" TargetMode="External"/><Relationship Id="rId3862" Type="http://schemas.openxmlformats.org/officeDocument/2006/relationships/hyperlink" Target="https://pbs.twimg.com/media/EOQzQKXWsAkf94D.jpg" TargetMode="External"/><Relationship Id="rId1235" Type="http://schemas.openxmlformats.org/officeDocument/2006/relationships/hyperlink" Target="https://pbs.twimg.com/media/EOfKo1IWsAEccwd.jpg" TargetMode="External"/><Relationship Id="rId2566" Type="http://schemas.openxmlformats.org/officeDocument/2006/relationships/hyperlink" Target="http://www.dougsandler.com" TargetMode="External"/><Relationship Id="rId3898" Type="http://schemas.openxmlformats.org/officeDocument/2006/relationships/hyperlink" Target="https://1l.ink/ZL24TDS" TargetMode="External"/><Relationship Id="rId1236" Type="http://schemas.openxmlformats.org/officeDocument/2006/relationships/hyperlink" Target="http://www.mindfulnessinschools.org" TargetMode="External"/><Relationship Id="rId2567" Type="http://schemas.openxmlformats.org/officeDocument/2006/relationships/hyperlink" Target="https://pbs.twimg.com/media/EOXweP2VAAEO6qd.jpg" TargetMode="External"/><Relationship Id="rId3897" Type="http://schemas.openxmlformats.org/officeDocument/2006/relationships/hyperlink" Target="http://www.bettelou.me" TargetMode="External"/><Relationship Id="rId1237" Type="http://schemas.openxmlformats.org/officeDocument/2006/relationships/hyperlink" Target="https://twitter.com/mind_mosaic_16/status/1217808850839113728" TargetMode="External"/><Relationship Id="rId2568" Type="http://schemas.openxmlformats.org/officeDocument/2006/relationships/hyperlink" Target="http://www.wjso.com" TargetMode="External"/><Relationship Id="rId1238" Type="http://schemas.openxmlformats.org/officeDocument/2006/relationships/hyperlink" Target="https://pbs.twimg.com/media/EOaGsgPXUAYVwsJ.jpg" TargetMode="External"/><Relationship Id="rId2569" Type="http://schemas.openxmlformats.org/officeDocument/2006/relationships/hyperlink" Target="http://bit.ly/moodbook" TargetMode="External"/><Relationship Id="rId3899" Type="http://schemas.openxmlformats.org/officeDocument/2006/relationships/hyperlink" Target="https://pbs.twimg.com/media/EOQqv8JX0AAIAPd.jpg" TargetMode="External"/><Relationship Id="rId1239" Type="http://schemas.openxmlformats.org/officeDocument/2006/relationships/hyperlink" Target="http://www.clearviewminds.com" TargetMode="External"/><Relationship Id="rId409" Type="http://schemas.openxmlformats.org/officeDocument/2006/relationships/hyperlink" Target="https://bit.ly/35yFoVr" TargetMode="External"/><Relationship Id="rId404" Type="http://schemas.openxmlformats.org/officeDocument/2006/relationships/hyperlink" Target="http://ow.ly/Mjpv30pg4x6" TargetMode="External"/><Relationship Id="rId403" Type="http://schemas.openxmlformats.org/officeDocument/2006/relationships/hyperlink" Target="http://www.j3msconsulting.co.uk" TargetMode="External"/><Relationship Id="rId402" Type="http://schemas.openxmlformats.org/officeDocument/2006/relationships/hyperlink" Target="https://pbs.twimg.com/media/EOkUcxBXUAMMX2j.jpg" TargetMode="External"/><Relationship Id="rId401" Type="http://schemas.openxmlformats.org/officeDocument/2006/relationships/hyperlink" Target="https://www.instagram.com/soulflowart/?hl=en" TargetMode="External"/><Relationship Id="rId408" Type="http://schemas.openxmlformats.org/officeDocument/2006/relationships/hyperlink" Target="http://www.7dotsmedia.com" TargetMode="External"/><Relationship Id="rId407" Type="http://schemas.openxmlformats.org/officeDocument/2006/relationships/hyperlink" Target="https://bit.ly/2TxWh08" TargetMode="External"/><Relationship Id="rId406" Type="http://schemas.openxmlformats.org/officeDocument/2006/relationships/hyperlink" Target="http://www.skinonline.co.za" TargetMode="External"/><Relationship Id="rId405" Type="http://schemas.openxmlformats.org/officeDocument/2006/relationships/hyperlink" Target="https://pbs.twimg.com/media/EOkS9aQX4AAFLeI.jpg" TargetMode="External"/><Relationship Id="rId3890" Type="http://schemas.openxmlformats.org/officeDocument/2006/relationships/hyperlink" Target="https://pbs.twimg.com/media/EOQr8TrWAAERD-s.jpg" TargetMode="External"/><Relationship Id="rId2560" Type="http://schemas.openxmlformats.org/officeDocument/2006/relationships/hyperlink" Target="https://pbs.twimg.com/media/EOX4FGUXUAAyUjL.jpg" TargetMode="External"/><Relationship Id="rId3892" Type="http://schemas.openxmlformats.org/officeDocument/2006/relationships/hyperlink" Target="https://hubs.ly/H0mxZR80" TargetMode="External"/><Relationship Id="rId1230" Type="http://schemas.openxmlformats.org/officeDocument/2006/relationships/hyperlink" Target="https://www.catherinecarrigan.com" TargetMode="External"/><Relationship Id="rId2561" Type="http://schemas.openxmlformats.org/officeDocument/2006/relationships/hyperlink" Target="https://pbs.twimg.com/media/EOX31PUVAAA9Oen.jpg" TargetMode="External"/><Relationship Id="rId3891" Type="http://schemas.openxmlformats.org/officeDocument/2006/relationships/hyperlink" Target="http://www.queenbeecrystals.com" TargetMode="External"/><Relationship Id="rId400" Type="http://schemas.openxmlformats.org/officeDocument/2006/relationships/hyperlink" Target="https://pbs.twimg.com/media/EOkWMiwVAAAS5Ql.jpg" TargetMode="External"/><Relationship Id="rId1231" Type="http://schemas.openxmlformats.org/officeDocument/2006/relationships/hyperlink" Target="https://www.cnbc.com/2020/01/16/happiness-hits-rock-bottom-at-age-47-2-according-to-new-research.html" TargetMode="External"/><Relationship Id="rId2562" Type="http://schemas.openxmlformats.org/officeDocument/2006/relationships/hyperlink" Target="http://myartsubmit.com" TargetMode="External"/><Relationship Id="rId3894" Type="http://schemas.openxmlformats.org/officeDocument/2006/relationships/hyperlink" Target="http://ow.ly/zx7F50xTSJW" TargetMode="External"/><Relationship Id="rId1232" Type="http://schemas.openxmlformats.org/officeDocument/2006/relationships/hyperlink" Target="http://www.shrm.org/about-shrm/press-room" TargetMode="External"/><Relationship Id="rId2563" Type="http://schemas.openxmlformats.org/officeDocument/2006/relationships/hyperlink" Target="http://myartsubmit.com" TargetMode="External"/><Relationship Id="rId3893" Type="http://schemas.openxmlformats.org/officeDocument/2006/relationships/hyperlink" Target="http://www.catchingclouds.net" TargetMode="External"/><Relationship Id="rId1233" Type="http://schemas.openxmlformats.org/officeDocument/2006/relationships/hyperlink" Target="http://pic.twitter.com/lo8swJMXDe" TargetMode="External"/><Relationship Id="rId2564" Type="http://schemas.openxmlformats.org/officeDocument/2006/relationships/hyperlink" Target="https://amzn.to/2G47nTb" TargetMode="External"/><Relationship Id="rId3896" Type="http://schemas.openxmlformats.org/officeDocument/2006/relationships/hyperlink" Target="https://pbs.twimg.com/media/EOQrfJxW4AAikuU.png" TargetMode="External"/><Relationship Id="rId1234" Type="http://schemas.openxmlformats.org/officeDocument/2006/relationships/hyperlink" Target="https://mindfulnessinschools.org/wp-content/uploads/2019/12/Towergate-and-MISP-Workshop.pdf?fbclid=IwAR0SjXolhSNpTWlg3TLmUYnVWj3f-7wIaU41My-Uq9BS5XOPiO7pAO-Oseg" TargetMode="External"/><Relationship Id="rId2565" Type="http://schemas.openxmlformats.org/officeDocument/2006/relationships/hyperlink" Target="https://pbs.twimg.com/media/EOX17vsWsAAVw4v.jpg" TargetMode="External"/><Relationship Id="rId3895" Type="http://schemas.openxmlformats.org/officeDocument/2006/relationships/hyperlink" Target="https://buff.ly/2rn9VXT" TargetMode="External"/><Relationship Id="rId1224" Type="http://schemas.openxmlformats.org/officeDocument/2006/relationships/hyperlink" Target="https://www.facebook.com/pg/LifeWellPartners/about/?ref=page_internal" TargetMode="External"/><Relationship Id="rId2555" Type="http://schemas.openxmlformats.org/officeDocument/2006/relationships/hyperlink" Target="https://www.oprahmag.com/beauty/skin-makeup/a25655971/essential-oils-for-stress/" TargetMode="External"/><Relationship Id="rId3887" Type="http://schemas.openxmlformats.org/officeDocument/2006/relationships/hyperlink" Target="http://www.highlandteabox.co.uk" TargetMode="External"/><Relationship Id="rId1225" Type="http://schemas.openxmlformats.org/officeDocument/2006/relationships/hyperlink" Target="https://catherinecarrigan.com/what-your-circadian-rhythms-reveal-about-you/" TargetMode="External"/><Relationship Id="rId2556" Type="http://schemas.openxmlformats.org/officeDocument/2006/relationships/hyperlink" Target="https://www.cpr.org/2019/12/21/whats-making-teens-so-stressed-at-school-heres-what-their-teachers-think-and-how-the-students-responded/" TargetMode="External"/><Relationship Id="rId3886" Type="http://schemas.openxmlformats.org/officeDocument/2006/relationships/hyperlink" Target="https://www.instagram.com/p/B7T0zDHAbsY/?igshid=2rcmjtvsafmu" TargetMode="External"/><Relationship Id="rId1226" Type="http://schemas.openxmlformats.org/officeDocument/2006/relationships/hyperlink" Target="https://catherinecarrigan.com/natural-healing-show/" TargetMode="External"/><Relationship Id="rId2557" Type="http://schemas.openxmlformats.org/officeDocument/2006/relationships/hyperlink" Target="http://www.cpr.org" TargetMode="External"/><Relationship Id="rId3889" Type="http://schemas.openxmlformats.org/officeDocument/2006/relationships/hyperlink" Target="https://buff.ly/2tWBuZi" TargetMode="External"/><Relationship Id="rId1227" Type="http://schemas.openxmlformats.org/officeDocument/2006/relationships/hyperlink" Target="https://catherinecarrigan.com/what-your-circadian-rhythms-reveal-about-you/" TargetMode="External"/><Relationship Id="rId2558" Type="http://schemas.openxmlformats.org/officeDocument/2006/relationships/hyperlink" Target="http://bit.ly/2c4JOdR" TargetMode="External"/><Relationship Id="rId3888" Type="http://schemas.openxmlformats.org/officeDocument/2006/relationships/hyperlink" Target="https://pbs.twimg.com/media/EOQsYgQXsAAvMuj.jpg" TargetMode="External"/><Relationship Id="rId1228" Type="http://schemas.openxmlformats.org/officeDocument/2006/relationships/hyperlink" Target="http://businessofwriting.net" TargetMode="External"/><Relationship Id="rId2559" Type="http://schemas.openxmlformats.org/officeDocument/2006/relationships/hyperlink" Target="http://www.dreampositive.info" TargetMode="External"/><Relationship Id="rId1229" Type="http://schemas.openxmlformats.org/officeDocument/2006/relationships/hyperlink" Target="https://catherinecarrigan.com/what-your-circadian-rhythms-reveal-about-you/" TargetMode="External"/><Relationship Id="rId3881" Type="http://schemas.openxmlformats.org/officeDocument/2006/relationships/hyperlink" Target="https://buff.ly/35MeVUf" TargetMode="External"/><Relationship Id="rId2550" Type="http://schemas.openxmlformats.org/officeDocument/2006/relationships/hyperlink" Target="https://mindfulnessmeditationinstitute.org/2018/11/02/the-ultimate-meditation-guide-infographic/" TargetMode="External"/><Relationship Id="rId3880" Type="http://schemas.openxmlformats.org/officeDocument/2006/relationships/hyperlink" Target="https://www.drugfreesolution.com" TargetMode="External"/><Relationship Id="rId1220" Type="http://schemas.openxmlformats.org/officeDocument/2006/relationships/hyperlink" Target="https://youtu.be/YjRbkBr78hI" TargetMode="External"/><Relationship Id="rId2551" Type="http://schemas.openxmlformats.org/officeDocument/2006/relationships/hyperlink" Target="http://www.mindfulnessmeditationinstitute.org/" TargetMode="External"/><Relationship Id="rId3883" Type="http://schemas.openxmlformats.org/officeDocument/2006/relationships/hyperlink" Target="https://www.patcapel.co.uk/" TargetMode="External"/><Relationship Id="rId1221" Type="http://schemas.openxmlformats.org/officeDocument/2006/relationships/hyperlink" Target="http://pic.twitter.com/2HGySnl1Kn" TargetMode="External"/><Relationship Id="rId2552" Type="http://schemas.openxmlformats.org/officeDocument/2006/relationships/hyperlink" Target="https://theawkwardarmadillo.com/what-a-wonderful-scent-of-life-caitelle/" TargetMode="External"/><Relationship Id="rId3882" Type="http://schemas.openxmlformats.org/officeDocument/2006/relationships/hyperlink" Target="https://pbs.twimg.com/media/EOQusLGXkAAL9KA.jpg" TargetMode="External"/><Relationship Id="rId1222" Type="http://schemas.openxmlformats.org/officeDocument/2006/relationships/hyperlink" Target="https://youtu.be/YjRbkBr78hI" TargetMode="External"/><Relationship Id="rId2553" Type="http://schemas.openxmlformats.org/officeDocument/2006/relationships/hyperlink" Target="https://pbs.twimg.com/media/EOX_7-1W4AAp8ry.jpg" TargetMode="External"/><Relationship Id="rId3885" Type="http://schemas.openxmlformats.org/officeDocument/2006/relationships/hyperlink" Target="http://www.gettinunbusybook.com" TargetMode="External"/><Relationship Id="rId1223" Type="http://schemas.openxmlformats.org/officeDocument/2006/relationships/hyperlink" Target="https://pbs.twimg.com/media/EOfNArrWoAEzsrk.jpg" TargetMode="External"/><Relationship Id="rId2554" Type="http://schemas.openxmlformats.org/officeDocument/2006/relationships/hyperlink" Target="http://theawkwardarmadillo.com/" TargetMode="External"/><Relationship Id="rId3884" Type="http://schemas.openxmlformats.org/officeDocument/2006/relationships/hyperlink" Target="https://youtu.be/-blKmvE6OVw" TargetMode="External"/><Relationship Id="rId2500" Type="http://schemas.openxmlformats.org/officeDocument/2006/relationships/hyperlink" Target="https://pbs.twimg.com/media/EOYqfN-XUAYB61G.jpg" TargetMode="External"/><Relationship Id="rId3832" Type="http://schemas.openxmlformats.org/officeDocument/2006/relationships/hyperlink" Target="https://www.kqed.org/forum/2010101860917/meeting-the-challenges-of-midlife" TargetMode="External"/><Relationship Id="rId2501" Type="http://schemas.openxmlformats.org/officeDocument/2006/relationships/hyperlink" Target="https://www.integralhealth.co.za/" TargetMode="External"/><Relationship Id="rId3831" Type="http://schemas.openxmlformats.org/officeDocument/2006/relationships/hyperlink" Target="http://www.hopeinstilled.org" TargetMode="External"/><Relationship Id="rId2502" Type="http://schemas.openxmlformats.org/officeDocument/2006/relationships/hyperlink" Target="https://man-health-magazine-online.com/stress-management/anxiety-depression/faces-of-attempted-suicide-mens-health-uk-2/" TargetMode="External"/><Relationship Id="rId3834" Type="http://schemas.openxmlformats.org/officeDocument/2006/relationships/hyperlink" Target="https://www.technologynetworks.com/neuroscience/news/cannabis-receptor-linked-to-stress-reduction-in-mice-329312" TargetMode="External"/><Relationship Id="rId2503" Type="http://schemas.openxmlformats.org/officeDocument/2006/relationships/hyperlink" Target="https://man-health-magazine-online.com" TargetMode="External"/><Relationship Id="rId3833" Type="http://schemas.openxmlformats.org/officeDocument/2006/relationships/hyperlink" Target="http://www.resiliencedoughnutuk.com" TargetMode="External"/><Relationship Id="rId2504" Type="http://schemas.openxmlformats.org/officeDocument/2006/relationships/hyperlink" Target="https://buff.ly/2WJHnBZ" TargetMode="External"/><Relationship Id="rId3836" Type="http://schemas.openxmlformats.org/officeDocument/2006/relationships/hyperlink" Target="https://buff.ly/2RSv7Aa" TargetMode="External"/><Relationship Id="rId2505" Type="http://schemas.openxmlformats.org/officeDocument/2006/relationships/hyperlink" Target="https://pbs.twimg.com/media/EOYp5GhXUAAFZ3-.png" TargetMode="External"/><Relationship Id="rId3835" Type="http://schemas.openxmlformats.org/officeDocument/2006/relationships/hyperlink" Target="https://linktr.ee/simplypuremj" TargetMode="External"/><Relationship Id="rId2506" Type="http://schemas.openxmlformats.org/officeDocument/2006/relationships/hyperlink" Target="http://www.habitsforwellbeing.com/" TargetMode="External"/><Relationship Id="rId3838" Type="http://schemas.openxmlformats.org/officeDocument/2006/relationships/hyperlink" Target="https://www.ctvnews.ca/canada/for-young-canadians-2020-may-be-the-year-of-unfettered-anxiety-1.4765420" TargetMode="External"/><Relationship Id="rId2507" Type="http://schemas.openxmlformats.org/officeDocument/2006/relationships/hyperlink" Target="https://pbs.twimg.com/media/EOYoJE7WAAA1VD4.jpg" TargetMode="External"/><Relationship Id="rId3837" Type="http://schemas.openxmlformats.org/officeDocument/2006/relationships/hyperlink" Target="https://brianthomas.me" TargetMode="External"/><Relationship Id="rId2508" Type="http://schemas.openxmlformats.org/officeDocument/2006/relationships/hyperlink" Target="http://paulameir.com" TargetMode="External"/><Relationship Id="rId2509" Type="http://schemas.openxmlformats.org/officeDocument/2006/relationships/hyperlink" Target="https://www.nature.com/articles/d41586-020-00101-9" TargetMode="External"/><Relationship Id="rId3839" Type="http://schemas.openxmlformats.org/officeDocument/2006/relationships/hyperlink" Target="http://www.mindfulnessstudies.com" TargetMode="External"/><Relationship Id="rId3830" Type="http://schemas.openxmlformats.org/officeDocument/2006/relationships/hyperlink" Target="https://pbs.twimg.com/media/EOQ7hk5WsAEtFUe.jpg" TargetMode="External"/><Relationship Id="rId3821" Type="http://schemas.openxmlformats.org/officeDocument/2006/relationships/hyperlink" Target="https://robinlines.com/blog/advantages-flexible-working" TargetMode="External"/><Relationship Id="rId3820" Type="http://schemas.openxmlformats.org/officeDocument/2006/relationships/hyperlink" Target="https://www.oberondiagnostic.com" TargetMode="External"/><Relationship Id="rId3823" Type="http://schemas.openxmlformats.org/officeDocument/2006/relationships/hyperlink" Target="http://askdrganz.com" TargetMode="External"/><Relationship Id="rId3822" Type="http://schemas.openxmlformats.org/officeDocument/2006/relationships/hyperlink" Target="http://robinlines.com" TargetMode="External"/><Relationship Id="rId3825" Type="http://schemas.openxmlformats.org/officeDocument/2006/relationships/hyperlink" Target="https://askdrganz.com" TargetMode="External"/><Relationship Id="rId3824" Type="http://schemas.openxmlformats.org/officeDocument/2006/relationships/hyperlink" Target="https://www.smartbrief.com/s/2020/01/how-change-your-mindset-stress" TargetMode="External"/><Relationship Id="rId3827" Type="http://schemas.openxmlformats.org/officeDocument/2006/relationships/hyperlink" Target="https://pbs.twimg.com/media/EOQr5fFX0AEGqRJ.jpg" TargetMode="External"/><Relationship Id="rId3826" Type="http://schemas.openxmlformats.org/officeDocument/2006/relationships/hyperlink" Target="https://twitter.com/rob_cowgill/status/1217146086990794753" TargetMode="External"/><Relationship Id="rId3829" Type="http://schemas.openxmlformats.org/officeDocument/2006/relationships/hyperlink" Target="http://ow.ly/QicA30q8qRs" TargetMode="External"/><Relationship Id="rId3828" Type="http://schemas.openxmlformats.org/officeDocument/2006/relationships/hyperlink" Target="https://www.facebook.com/Ceiriog-Walk-and-Talk-102170637920068/" TargetMode="External"/><Relationship Id="rId2522" Type="http://schemas.openxmlformats.org/officeDocument/2006/relationships/hyperlink" Target="http://www.talkingtherapies.berkshire.nhs.uk" TargetMode="External"/><Relationship Id="rId3854" Type="http://schemas.openxmlformats.org/officeDocument/2006/relationships/hyperlink" Target="http://dld.bz/fRSnH" TargetMode="External"/><Relationship Id="rId2523" Type="http://schemas.openxmlformats.org/officeDocument/2006/relationships/hyperlink" Target="https://isrg.me/Vbda0B" TargetMode="External"/><Relationship Id="rId3853" Type="http://schemas.openxmlformats.org/officeDocument/2006/relationships/hyperlink" Target="http://www.helpingreachpotential.co.uk" TargetMode="External"/><Relationship Id="rId2524" Type="http://schemas.openxmlformats.org/officeDocument/2006/relationships/hyperlink" Target="https://pbs.twimg.com/media/EOYYss_UEAAqmDt.jpg" TargetMode="External"/><Relationship Id="rId3856" Type="http://schemas.openxmlformats.org/officeDocument/2006/relationships/hyperlink" Target="https://scentfill.com/" TargetMode="External"/><Relationship Id="rId2525" Type="http://schemas.openxmlformats.org/officeDocument/2006/relationships/hyperlink" Target="http://isrg.me" TargetMode="External"/><Relationship Id="rId3855" Type="http://schemas.openxmlformats.org/officeDocument/2006/relationships/hyperlink" Target="https://pbs.twimg.com/media/EOQ1aE0W4AAgRs7.jpg" TargetMode="External"/><Relationship Id="rId2526" Type="http://schemas.openxmlformats.org/officeDocument/2006/relationships/hyperlink" Target="http://bit.ly/2FQqZJI" TargetMode="External"/><Relationship Id="rId3858" Type="http://schemas.openxmlformats.org/officeDocument/2006/relationships/hyperlink" Target="http://cbnnews.com" TargetMode="External"/><Relationship Id="rId2527" Type="http://schemas.openxmlformats.org/officeDocument/2006/relationships/hyperlink" Target="https://pbs.twimg.com/media/EOYYpV3UcAAtQWZ.jpg" TargetMode="External"/><Relationship Id="rId3857" Type="http://schemas.openxmlformats.org/officeDocument/2006/relationships/hyperlink" Target="https://pbs.twimg.com/media/EOQ1J9WX4AA3jUz.jpg" TargetMode="External"/><Relationship Id="rId2528" Type="http://schemas.openxmlformats.org/officeDocument/2006/relationships/hyperlink" Target="http://socialapphub.com" TargetMode="External"/><Relationship Id="rId2529" Type="http://schemas.openxmlformats.org/officeDocument/2006/relationships/hyperlink" Target="http://www.orchidsquare.in" TargetMode="External"/><Relationship Id="rId3859" Type="http://schemas.openxmlformats.org/officeDocument/2006/relationships/hyperlink" Target="https://pbs.twimg.com/media/EOQ0saSWoAAH9bS.jpg" TargetMode="External"/><Relationship Id="rId3850" Type="http://schemas.openxmlformats.org/officeDocument/2006/relationships/hyperlink" Target="http://cpix.me/a/89858465" TargetMode="External"/><Relationship Id="rId2520" Type="http://schemas.openxmlformats.org/officeDocument/2006/relationships/hyperlink" Target="http://www.puffpuffpassit.com" TargetMode="External"/><Relationship Id="rId3852" Type="http://schemas.openxmlformats.org/officeDocument/2006/relationships/hyperlink" Target="https://www.instagram.com/p/B7T4uCih5EW/?igshid=ru80p407vmki" TargetMode="External"/><Relationship Id="rId2521" Type="http://schemas.openxmlformats.org/officeDocument/2006/relationships/hyperlink" Target="https://pbs.twimg.com/media/EOYYvxVWoAEFF7E.png" TargetMode="External"/><Relationship Id="rId3851" Type="http://schemas.openxmlformats.org/officeDocument/2006/relationships/hyperlink" Target="https://pbs.twimg.com/media/EOQ3d8MWkAMG1VF.jpg" TargetMode="External"/><Relationship Id="rId2511" Type="http://schemas.openxmlformats.org/officeDocument/2006/relationships/hyperlink" Target="http://cheryl-chapman.com" TargetMode="External"/><Relationship Id="rId3843" Type="http://schemas.openxmlformats.org/officeDocument/2006/relationships/hyperlink" Target="https://pbs.twimg.com/media/EOQ5QiqWAAESC6w.jpg" TargetMode="External"/><Relationship Id="rId2512" Type="http://schemas.openxmlformats.org/officeDocument/2006/relationships/hyperlink" Target="http://ow.ly/HHAz30q75eZ" TargetMode="External"/><Relationship Id="rId3842" Type="http://schemas.openxmlformats.org/officeDocument/2006/relationships/hyperlink" Target="http://ow.ly/GcEw30q8I9C" TargetMode="External"/><Relationship Id="rId2513" Type="http://schemas.openxmlformats.org/officeDocument/2006/relationships/hyperlink" Target="http://www.quick-good-fortune.com" TargetMode="External"/><Relationship Id="rId3845" Type="http://schemas.openxmlformats.org/officeDocument/2006/relationships/hyperlink" Target="http://ow.ly/PLUI30q83SD" TargetMode="External"/><Relationship Id="rId2514" Type="http://schemas.openxmlformats.org/officeDocument/2006/relationships/hyperlink" Target="https://pbs.twimg.com/media/EOYgjuWXkAQ-bnF.jpg" TargetMode="External"/><Relationship Id="rId3844" Type="http://schemas.openxmlformats.org/officeDocument/2006/relationships/hyperlink" Target="http://www.austinmassageclinic.com" TargetMode="External"/><Relationship Id="rId2515" Type="http://schemas.openxmlformats.org/officeDocument/2006/relationships/hyperlink" Target="http://www.engineering-psychology.org" TargetMode="External"/><Relationship Id="rId3847" Type="http://schemas.openxmlformats.org/officeDocument/2006/relationships/hyperlink" Target="https://tonyburkinshaw.co.uk/contact" TargetMode="External"/><Relationship Id="rId2516" Type="http://schemas.openxmlformats.org/officeDocument/2006/relationships/hyperlink" Target="http://bit.ly/30rMj1S" TargetMode="External"/><Relationship Id="rId3846" Type="http://schemas.openxmlformats.org/officeDocument/2006/relationships/hyperlink" Target="https://pbs.twimg.com/media/EOQ4eg1X0AYzyLH.jpg" TargetMode="External"/><Relationship Id="rId2517" Type="http://schemas.openxmlformats.org/officeDocument/2006/relationships/hyperlink" Target="https://mindfulnessmeditationinstitute.org/2016/01/02/5-tips-for-starting-a-mindfulness-meditation-practice-and-staying-motivated/" TargetMode="External"/><Relationship Id="rId3849" Type="http://schemas.openxmlformats.org/officeDocument/2006/relationships/hyperlink" Target="http://www.soisfibromyalgiareal.com" TargetMode="External"/><Relationship Id="rId2518" Type="http://schemas.openxmlformats.org/officeDocument/2006/relationships/hyperlink" Target="http://www.mindfulnessmeditationinstitute.org/" TargetMode="External"/><Relationship Id="rId3848" Type="http://schemas.openxmlformats.org/officeDocument/2006/relationships/hyperlink" Target="https://www.soisfibromyalgiareal.com/i-have-fibromyalgiai-work-on-stressthe-fibromyalgia-and-stress-connection/" TargetMode="External"/><Relationship Id="rId2519" Type="http://schemas.openxmlformats.org/officeDocument/2006/relationships/hyperlink" Target="https://www.coachingpositiveperformance.com/reduce-stress-just-1-word/" TargetMode="External"/><Relationship Id="rId3841" Type="http://schemas.openxmlformats.org/officeDocument/2006/relationships/hyperlink" Target="http://www.neuroflowsolution.com/" TargetMode="External"/><Relationship Id="rId2510" Type="http://schemas.openxmlformats.org/officeDocument/2006/relationships/hyperlink" Target="http://bit.ly/2mAdjsL" TargetMode="External"/><Relationship Id="rId3840" Type="http://schemas.openxmlformats.org/officeDocument/2006/relationships/hyperlink" Target="https://pbs.twimg.com/media/EOQ5tHEXkAITM6a.jpg" TargetMode="External"/><Relationship Id="rId4327" Type="http://schemas.openxmlformats.org/officeDocument/2006/relationships/hyperlink" Target="https://scentfill.com/" TargetMode="External"/><Relationship Id="rId4326" Type="http://schemas.openxmlformats.org/officeDocument/2006/relationships/hyperlink" Target="https://pbs.twimg.com/media/EOPKwArXsAEFHCZ.jpg" TargetMode="External"/><Relationship Id="rId4329" Type="http://schemas.openxmlformats.org/officeDocument/2006/relationships/hyperlink" Target="http://bit.ly/39g6vYr" TargetMode="External"/><Relationship Id="rId4328" Type="http://schemas.openxmlformats.org/officeDocument/2006/relationships/hyperlink" Target="http://healthlocal.ca" TargetMode="External"/><Relationship Id="rId469" Type="http://schemas.openxmlformats.org/officeDocument/2006/relationships/hyperlink" Target="http://tinyurl.com/y39g6eqf" TargetMode="External"/><Relationship Id="rId468" Type="http://schemas.openxmlformats.org/officeDocument/2006/relationships/hyperlink" Target="http://mummyfever.co.uk" TargetMode="External"/><Relationship Id="rId467" Type="http://schemas.openxmlformats.org/officeDocument/2006/relationships/hyperlink" Target="https://pbs.twimg.com/media/EOj2_DZWkAAoQN9.jpg" TargetMode="External"/><Relationship Id="rId1290" Type="http://schemas.openxmlformats.org/officeDocument/2006/relationships/hyperlink" Target="https://www.instagram.com/p/B7a7wGCnV2P/?igshid=15jslcvtr2k39" TargetMode="External"/><Relationship Id="rId1291" Type="http://schemas.openxmlformats.org/officeDocument/2006/relationships/hyperlink" Target="https://www.amazon.com/hz/wishlist/ls/Q7FLOHEOOKPQ?ref_=wl_share" TargetMode="External"/><Relationship Id="rId1292" Type="http://schemas.openxmlformats.org/officeDocument/2006/relationships/hyperlink" Target="http://www.7prayersthatwork.com/2020/01/a-prayer-for-trust-peace-and-mindfulness.html?spref=tw" TargetMode="External"/><Relationship Id="rId462" Type="http://schemas.openxmlformats.org/officeDocument/2006/relationships/hyperlink" Target="http://ow.ly/WHNX30jptba" TargetMode="External"/><Relationship Id="rId1293" Type="http://schemas.openxmlformats.org/officeDocument/2006/relationships/hyperlink" Target="http://www.susanwalleyschlesman.com" TargetMode="External"/><Relationship Id="rId461" Type="http://schemas.openxmlformats.org/officeDocument/2006/relationships/hyperlink" Target="https://www.researchgate.net/profile/Carsten_Mueller2" TargetMode="External"/><Relationship Id="rId1294" Type="http://schemas.openxmlformats.org/officeDocument/2006/relationships/hyperlink" Target="http://mindfulyou.space" TargetMode="External"/><Relationship Id="rId460" Type="http://schemas.openxmlformats.org/officeDocument/2006/relationships/hyperlink" Target="https://pbs.twimg.com/media/EOj5pJNXsAEMh_k.png" TargetMode="External"/><Relationship Id="rId1295" Type="http://schemas.openxmlformats.org/officeDocument/2006/relationships/hyperlink" Target="http://pic.twitter.com/nqZ4TBZsoj" TargetMode="External"/><Relationship Id="rId4321" Type="http://schemas.openxmlformats.org/officeDocument/2006/relationships/hyperlink" Target="http://www.youngamomusic.com/The-red-tea-detox/" TargetMode="External"/><Relationship Id="rId1296" Type="http://schemas.openxmlformats.org/officeDocument/2006/relationships/hyperlink" Target="http://www.mindfulyou.space" TargetMode="External"/><Relationship Id="rId4320" Type="http://schemas.openxmlformats.org/officeDocument/2006/relationships/hyperlink" Target="http://www.punjabpolice.gov.pk" TargetMode="External"/><Relationship Id="rId466" Type="http://schemas.openxmlformats.org/officeDocument/2006/relationships/hyperlink" Target="https://mummyfever.co.uk/7-tips-to-take-the-stress-out-of-travelling-with-family/" TargetMode="External"/><Relationship Id="rId1297" Type="http://schemas.openxmlformats.org/officeDocument/2006/relationships/hyperlink" Target="https://articles.mercola.com/sites/articles/archive/2020/01/13/asafoetida-benefits.aspx?cid_source=dnl&amp;cid_medium=email&amp;cid_content=art1HL&amp;cid=20200113Z1&amp;et_cid=DM435967&amp;et_rid=788993173" TargetMode="External"/><Relationship Id="rId4323" Type="http://schemas.openxmlformats.org/officeDocument/2006/relationships/hyperlink" Target="http://www.reverbnation.com/youngamo" TargetMode="External"/><Relationship Id="rId465" Type="http://schemas.openxmlformats.org/officeDocument/2006/relationships/hyperlink" Target="https://www.inova.org" TargetMode="External"/><Relationship Id="rId1298" Type="http://schemas.openxmlformats.org/officeDocument/2006/relationships/hyperlink" Target="https://www.naturalhealthquincy.com" TargetMode="External"/><Relationship Id="rId4322" Type="http://schemas.openxmlformats.org/officeDocument/2006/relationships/hyperlink" Target="https://pbs.twimg.com/media/EOPLU-dWsAA9KOj.jpg" TargetMode="External"/><Relationship Id="rId464" Type="http://schemas.openxmlformats.org/officeDocument/2006/relationships/hyperlink" Target="http://bit.ly/2Rksjvf" TargetMode="External"/><Relationship Id="rId1299" Type="http://schemas.openxmlformats.org/officeDocument/2006/relationships/hyperlink" Target="https://pbs.twimg.com/media/EOe5okmXkAANY2e.jpg" TargetMode="External"/><Relationship Id="rId4325" Type="http://schemas.openxmlformats.org/officeDocument/2006/relationships/hyperlink" Target="http://dld.bz/fV33W" TargetMode="External"/><Relationship Id="rId463" Type="http://schemas.openxmlformats.org/officeDocument/2006/relationships/hyperlink" Target="http://www.gastrocure.com" TargetMode="External"/><Relationship Id="rId4324" Type="http://schemas.openxmlformats.org/officeDocument/2006/relationships/hyperlink" Target="http://www.youngamomusic.com" TargetMode="External"/><Relationship Id="rId4316" Type="http://schemas.openxmlformats.org/officeDocument/2006/relationships/hyperlink" Target="http://www.dronfieldcbt4u.com" TargetMode="External"/><Relationship Id="rId4315" Type="http://schemas.openxmlformats.org/officeDocument/2006/relationships/hyperlink" Target="https://pbs.twimg.com/media/EOPPftGWkAA56AS.jpg" TargetMode="External"/><Relationship Id="rId4318" Type="http://schemas.openxmlformats.org/officeDocument/2006/relationships/hyperlink" Target="http://www.oppuk.co.uk" TargetMode="External"/><Relationship Id="rId4317" Type="http://schemas.openxmlformats.org/officeDocument/2006/relationships/hyperlink" Target="https://pbs.twimg.com/media/EOPNCRRXsAUoU17.jpg" TargetMode="External"/><Relationship Id="rId4319" Type="http://schemas.openxmlformats.org/officeDocument/2006/relationships/hyperlink" Target="http://pic.twitter.com/ZRT822xS6B" TargetMode="External"/><Relationship Id="rId459" Type="http://schemas.openxmlformats.org/officeDocument/2006/relationships/hyperlink" Target="https://www.tandfonline.com/doi/full/10.1080/07448481.2019.1705840" TargetMode="External"/><Relationship Id="rId458" Type="http://schemas.openxmlformats.org/officeDocument/2006/relationships/hyperlink" Target="https://www.thepathofme.com/" TargetMode="External"/><Relationship Id="rId457" Type="http://schemas.openxmlformats.org/officeDocument/2006/relationships/hyperlink" Target="http://bit.ly/2QSQGQq" TargetMode="External"/><Relationship Id="rId456" Type="http://schemas.openxmlformats.org/officeDocument/2006/relationships/hyperlink" Target="http://www.suzannefalter.com" TargetMode="External"/><Relationship Id="rId1280" Type="http://schemas.openxmlformats.org/officeDocument/2006/relationships/hyperlink" Target="https://pbs.twimg.com/media/EOe_yjCUUAIDrOl.jpg" TargetMode="External"/><Relationship Id="rId1281" Type="http://schemas.openxmlformats.org/officeDocument/2006/relationships/hyperlink" Target="https://www.aosproduct.com/" TargetMode="External"/><Relationship Id="rId451" Type="http://schemas.openxmlformats.org/officeDocument/2006/relationships/hyperlink" Target="https://pbs.twimg.com/media/EOkFQbYWAAEjbIl.jpg" TargetMode="External"/><Relationship Id="rId1282" Type="http://schemas.openxmlformats.org/officeDocument/2006/relationships/hyperlink" Target="https://pbs.twimg.com/media/EOe_D-SWkAIhm0W.jpg" TargetMode="External"/><Relationship Id="rId450" Type="http://schemas.openxmlformats.org/officeDocument/2006/relationships/hyperlink" Target="https://buff.ly/2KBiK7j" TargetMode="External"/><Relationship Id="rId1283" Type="http://schemas.openxmlformats.org/officeDocument/2006/relationships/hyperlink" Target="http://www.decisivethinking.co.uk" TargetMode="External"/><Relationship Id="rId1284" Type="http://schemas.openxmlformats.org/officeDocument/2006/relationships/hyperlink" Target="http://www.pgcoaching.wordpress.com" TargetMode="External"/><Relationship Id="rId4310" Type="http://schemas.openxmlformats.org/officeDocument/2006/relationships/hyperlink" Target="https://medium.com/@djemal.ua" TargetMode="External"/><Relationship Id="rId1285" Type="http://schemas.openxmlformats.org/officeDocument/2006/relationships/hyperlink" Target="https://lttr.ai/MQRt" TargetMode="External"/><Relationship Id="rId455" Type="http://schemas.openxmlformats.org/officeDocument/2006/relationships/hyperlink" Target="http://bit.ly/2sum2QD" TargetMode="External"/><Relationship Id="rId1286" Type="http://schemas.openxmlformats.org/officeDocument/2006/relationships/hyperlink" Target="https://pbs.twimg.com/media/EOe9SlSXsAEGVez.png" TargetMode="External"/><Relationship Id="rId4312" Type="http://schemas.openxmlformats.org/officeDocument/2006/relationships/hyperlink" Target="https://mummyfever.co.uk/7-tips-to-take-the-stress-out-of-travelling-with-family/" TargetMode="External"/><Relationship Id="rId454" Type="http://schemas.openxmlformats.org/officeDocument/2006/relationships/hyperlink" Target="http://www.mindfulnessmeditationinstitute.org/" TargetMode="External"/><Relationship Id="rId1287" Type="http://schemas.openxmlformats.org/officeDocument/2006/relationships/hyperlink" Target="https://pbs.twimg.com/media/EOe8u-NWAAAX3yr.jpg" TargetMode="External"/><Relationship Id="rId4311" Type="http://schemas.openxmlformats.org/officeDocument/2006/relationships/hyperlink" Target="http://bit.ly/efttapping1" TargetMode="External"/><Relationship Id="rId453" Type="http://schemas.openxmlformats.org/officeDocument/2006/relationships/hyperlink" Target="https://mindfulnessmeditationinstitute.org/2016/01/02/5-tips-for-starting-a-mindfulness-meditation-practice-and-staying-motivated/" TargetMode="External"/><Relationship Id="rId1288" Type="http://schemas.openxmlformats.org/officeDocument/2006/relationships/hyperlink" Target="http://about.me/julian_hall" TargetMode="External"/><Relationship Id="rId4314" Type="http://schemas.openxmlformats.org/officeDocument/2006/relationships/hyperlink" Target="http://mummyfever.co.uk" TargetMode="External"/><Relationship Id="rId452" Type="http://schemas.openxmlformats.org/officeDocument/2006/relationships/hyperlink" Target="http://www.graceandhopeconsulting.com" TargetMode="External"/><Relationship Id="rId1289" Type="http://schemas.openxmlformats.org/officeDocument/2006/relationships/hyperlink" Target="https://www.instagram.com/p/B7a79I3pnFR/?igshid=e2kdsv1bem23" TargetMode="External"/><Relationship Id="rId4313" Type="http://schemas.openxmlformats.org/officeDocument/2006/relationships/hyperlink" Target="https://pbs.twimg.com/media/EOPQoGmWkAANb27.jpg" TargetMode="External"/><Relationship Id="rId3018" Type="http://schemas.openxmlformats.org/officeDocument/2006/relationships/hyperlink" Target="https://pbs.twimg.com/media/EOVfgSxWsAABq-P.png" TargetMode="External"/><Relationship Id="rId4349" Type="http://schemas.openxmlformats.org/officeDocument/2006/relationships/hyperlink" Target="https://buff.ly/30iIkog" TargetMode="External"/><Relationship Id="rId3017" Type="http://schemas.openxmlformats.org/officeDocument/2006/relationships/hyperlink" Target="http://ow.ly/gpEx50xPzRo" TargetMode="External"/><Relationship Id="rId4348" Type="http://schemas.openxmlformats.org/officeDocument/2006/relationships/hyperlink" Target="http://www.healthinsuranceandprotection.com" TargetMode="External"/><Relationship Id="rId3019" Type="http://schemas.openxmlformats.org/officeDocument/2006/relationships/hyperlink" Target="https://islandsportspt.com/" TargetMode="External"/><Relationship Id="rId491" Type="http://schemas.openxmlformats.org/officeDocument/2006/relationships/hyperlink" Target="http://bit.ly/2EYuhKD" TargetMode="External"/><Relationship Id="rId490" Type="http://schemas.openxmlformats.org/officeDocument/2006/relationships/hyperlink" Target="http://www.drlisaweeks.com" TargetMode="External"/><Relationship Id="rId489" Type="http://schemas.openxmlformats.org/officeDocument/2006/relationships/hyperlink" Target="https://pbs.twimg.com/media/EOjuTTUX4AA3bCs.jpg" TargetMode="External"/><Relationship Id="rId484" Type="http://schemas.openxmlformats.org/officeDocument/2006/relationships/hyperlink" Target="http://www.managingmadesimple.com/about-us/" TargetMode="External"/><Relationship Id="rId3010" Type="http://schemas.openxmlformats.org/officeDocument/2006/relationships/hyperlink" Target="https://pbs.twimg.com/media/EOVghrpW4AUDMyn.jpg" TargetMode="External"/><Relationship Id="rId4341" Type="http://schemas.openxmlformats.org/officeDocument/2006/relationships/hyperlink" Target="https://pbs.twimg.com/media/EOPE2GPUYAY8r-g.jpg" TargetMode="External"/><Relationship Id="rId483" Type="http://schemas.openxmlformats.org/officeDocument/2006/relationships/hyperlink" Target="http://www.talkwellbeing.co.uk" TargetMode="External"/><Relationship Id="rId4340" Type="http://schemas.openxmlformats.org/officeDocument/2006/relationships/hyperlink" Target="http://pachaworld.org/mentalhealth-stress-depression-anxiety-no-comfort-zone-notes-on-living-with-post-traumatic-stress-disorder" TargetMode="External"/><Relationship Id="rId482" Type="http://schemas.openxmlformats.org/officeDocument/2006/relationships/hyperlink" Target="http://talkwellbeing.co.uk/" TargetMode="External"/><Relationship Id="rId3012" Type="http://schemas.openxmlformats.org/officeDocument/2006/relationships/hyperlink" Target="https://www.gracebullock.com/post/mindfulness-compassion-therapies-ease-depression-anxiety-and-stress" TargetMode="External"/><Relationship Id="rId4343" Type="http://schemas.openxmlformats.org/officeDocument/2006/relationships/hyperlink" Target="https://link.medium.com/nqm8k3Snd3" TargetMode="External"/><Relationship Id="rId481" Type="http://schemas.openxmlformats.org/officeDocument/2006/relationships/hyperlink" Target="https://curepsoriasisholistically.com" TargetMode="External"/><Relationship Id="rId3011" Type="http://schemas.openxmlformats.org/officeDocument/2006/relationships/hyperlink" Target="http://www.successwow.com" TargetMode="External"/><Relationship Id="rId4342" Type="http://schemas.openxmlformats.org/officeDocument/2006/relationships/hyperlink" Target="https://www.pinterest.com/bestmetabooster/" TargetMode="External"/><Relationship Id="rId488" Type="http://schemas.openxmlformats.org/officeDocument/2006/relationships/hyperlink" Target="http://pic.twitter.com/D9MSm4BmLU" TargetMode="External"/><Relationship Id="rId3014" Type="http://schemas.openxmlformats.org/officeDocument/2006/relationships/hyperlink" Target="about:blank" TargetMode="External"/><Relationship Id="rId4345" Type="http://schemas.openxmlformats.org/officeDocument/2006/relationships/hyperlink" Target="https://pbs.twimg.com/media/EOPDWf3X4AAY3Y2.jpg" TargetMode="External"/><Relationship Id="rId487" Type="http://schemas.openxmlformats.org/officeDocument/2006/relationships/hyperlink" Target="https://twitter.com/orangemcbm/status/1218486368940089344" TargetMode="External"/><Relationship Id="rId3013" Type="http://schemas.openxmlformats.org/officeDocument/2006/relationships/hyperlink" Target="http://www.gracebullock.com" TargetMode="External"/><Relationship Id="rId4344" Type="http://schemas.openxmlformats.org/officeDocument/2006/relationships/hyperlink" Target="https://www.diabeticcyborg.com" TargetMode="External"/><Relationship Id="rId486" Type="http://schemas.openxmlformats.org/officeDocument/2006/relationships/hyperlink" Target="http://www.geobear.com" TargetMode="External"/><Relationship Id="rId3016" Type="http://schemas.openxmlformats.org/officeDocument/2006/relationships/hyperlink" Target="http://www.zenfulkidstherapy.com" TargetMode="External"/><Relationship Id="rId4347" Type="http://schemas.openxmlformats.org/officeDocument/2006/relationships/hyperlink" Target="https://www.healthinsuranceandprotection.com/wellbeing/stress-related-illnesses-costing-the-nhs-over-11bn-a-year" TargetMode="External"/><Relationship Id="rId485" Type="http://schemas.openxmlformats.org/officeDocument/2006/relationships/hyperlink" Target="http://bit.ly/2u330o8" TargetMode="External"/><Relationship Id="rId3015" Type="http://schemas.openxmlformats.org/officeDocument/2006/relationships/hyperlink" Target="https://pbs.twimg.com/media/EOVfivIX0AIBSg4.jpg" TargetMode="External"/><Relationship Id="rId4346" Type="http://schemas.openxmlformats.org/officeDocument/2006/relationships/hyperlink" Target="http://www.cigna.co.uk" TargetMode="External"/><Relationship Id="rId3007" Type="http://schemas.openxmlformats.org/officeDocument/2006/relationships/hyperlink" Target="https://facebook.com/events/s/2020-reset-renew/676060446131391/?ti=cl" TargetMode="External"/><Relationship Id="rId4338" Type="http://schemas.openxmlformats.org/officeDocument/2006/relationships/hyperlink" Target="https://pbs.twimg.com/media/EOPHMB1XsAE8-RU.jpg" TargetMode="External"/><Relationship Id="rId3006" Type="http://schemas.openxmlformats.org/officeDocument/2006/relationships/hyperlink" Target="https://healthyfit07.blogspot.com" TargetMode="External"/><Relationship Id="rId4337" Type="http://schemas.openxmlformats.org/officeDocument/2006/relationships/hyperlink" Target="https://www.facebook.com/sleepfairydee/" TargetMode="External"/><Relationship Id="rId3009" Type="http://schemas.openxmlformats.org/officeDocument/2006/relationships/hyperlink" Target="http://www.pavilion.attheparkbedford.co.uk" TargetMode="External"/><Relationship Id="rId3008" Type="http://schemas.openxmlformats.org/officeDocument/2006/relationships/hyperlink" Target="https://pbs.twimg.com/media/EOVg7asWAAEuCD5.jpg" TargetMode="External"/><Relationship Id="rId4339" Type="http://schemas.openxmlformats.org/officeDocument/2006/relationships/hyperlink" Target="http://www.sleepfairyparentrescue.co.uk" TargetMode="External"/><Relationship Id="rId480" Type="http://schemas.openxmlformats.org/officeDocument/2006/relationships/hyperlink" Target="https://pbs.twimg.com/media/EOjw1XoXkAE7ULQ.jpg" TargetMode="External"/><Relationship Id="rId479" Type="http://schemas.openxmlformats.org/officeDocument/2006/relationships/hyperlink" Target="http://dld.bz/hbtz3" TargetMode="External"/><Relationship Id="rId478" Type="http://schemas.openxmlformats.org/officeDocument/2006/relationships/hyperlink" Target="http://www.trafficjam.mobi/" TargetMode="External"/><Relationship Id="rId473" Type="http://schemas.openxmlformats.org/officeDocument/2006/relationships/hyperlink" Target="http://tinyurl.com/y39g6eqf" TargetMode="External"/><Relationship Id="rId4330" Type="http://schemas.openxmlformats.org/officeDocument/2006/relationships/hyperlink" Target="https://pbs.twimg.com/media/EOPKaBKXUAAlurR.jpg" TargetMode="External"/><Relationship Id="rId472" Type="http://schemas.openxmlformats.org/officeDocument/2006/relationships/hyperlink" Target="http://innerself.com" TargetMode="External"/><Relationship Id="rId471" Type="http://schemas.openxmlformats.org/officeDocument/2006/relationships/hyperlink" Target="http://innerself.com/content/social.html" TargetMode="External"/><Relationship Id="rId3001" Type="http://schemas.openxmlformats.org/officeDocument/2006/relationships/hyperlink" Target="https://kingsumo.com/g/9agctd/giveaway-january-2020/1wv48j6" TargetMode="External"/><Relationship Id="rId4332" Type="http://schemas.openxmlformats.org/officeDocument/2006/relationships/hyperlink" Target="https://www.acupuncture.org.uk/public-content/public-pr-press-releases/388-beating-the-winter-blues-with-acupuncture.html" TargetMode="External"/><Relationship Id="rId470" Type="http://schemas.openxmlformats.org/officeDocument/2006/relationships/hyperlink" Target="https://pbs.twimg.com/media/EOjy6yLX0AAvTKZ.jpg" TargetMode="External"/><Relationship Id="rId3000" Type="http://schemas.openxmlformats.org/officeDocument/2006/relationships/hyperlink" Target="http://www.dhhs.ne.gov/" TargetMode="External"/><Relationship Id="rId4331" Type="http://schemas.openxmlformats.org/officeDocument/2006/relationships/hyperlink" Target="http://www.healthlocal.ca" TargetMode="External"/><Relationship Id="rId477" Type="http://schemas.openxmlformats.org/officeDocument/2006/relationships/hyperlink" Target="https://pbs.twimg.com/media/EOjySxVWAAEjlMi.jpg" TargetMode="External"/><Relationship Id="rId3003" Type="http://schemas.openxmlformats.org/officeDocument/2006/relationships/hyperlink" Target="http://www.starsvcs.com" TargetMode="External"/><Relationship Id="rId4334" Type="http://schemas.openxmlformats.org/officeDocument/2006/relationships/hyperlink" Target="http://www.stevebaileyacupuncture.com" TargetMode="External"/><Relationship Id="rId476" Type="http://schemas.openxmlformats.org/officeDocument/2006/relationships/hyperlink" Target="http://zpr.io/guka2" TargetMode="External"/><Relationship Id="rId3002" Type="http://schemas.openxmlformats.org/officeDocument/2006/relationships/hyperlink" Target="https://www.starsvcs.com/blog/stopped-at-the-train-tracks" TargetMode="External"/><Relationship Id="rId4333" Type="http://schemas.openxmlformats.org/officeDocument/2006/relationships/hyperlink" Target="https://pbs.twimg.com/media/EOPKPMAXsAESBbk.jpg" TargetMode="External"/><Relationship Id="rId475" Type="http://schemas.openxmlformats.org/officeDocument/2006/relationships/hyperlink" Target="http://innerself.com" TargetMode="External"/><Relationship Id="rId3005" Type="http://schemas.openxmlformats.org/officeDocument/2006/relationships/hyperlink" Target="https://pbs.twimg.com/media/EOVhnxaXUAEA7RY.jpg" TargetMode="External"/><Relationship Id="rId4336" Type="http://schemas.openxmlformats.org/officeDocument/2006/relationships/hyperlink" Target="https://bit.ly/2CzgIQO" TargetMode="External"/><Relationship Id="rId474" Type="http://schemas.openxmlformats.org/officeDocument/2006/relationships/hyperlink" Target="https://pbs.twimg.com/media/EOjy6pgWsAAGzQ5.jpg" TargetMode="External"/><Relationship Id="rId3004" Type="http://schemas.openxmlformats.org/officeDocument/2006/relationships/hyperlink" Target="https://healthyfit07.blogspot.com/2019/11/sciatica-nerve-pain-treatment-at-home.html" TargetMode="External"/><Relationship Id="rId4335" Type="http://schemas.openxmlformats.org/officeDocument/2006/relationships/hyperlink" Target="https://pbs.twimg.com/media/EOPIMCzUYAEBBU-.png" TargetMode="External"/><Relationship Id="rId1257" Type="http://schemas.openxmlformats.org/officeDocument/2006/relationships/hyperlink" Target="https://pbs.twimg.com/media/EOfHY4xW4AAqcAa.jpg" TargetMode="External"/><Relationship Id="rId2588" Type="http://schemas.openxmlformats.org/officeDocument/2006/relationships/hyperlink" Target="http://skip-r.com" TargetMode="External"/><Relationship Id="rId1258" Type="http://schemas.openxmlformats.org/officeDocument/2006/relationships/hyperlink" Target="http://www.dhalab.com" TargetMode="External"/><Relationship Id="rId2589" Type="http://schemas.openxmlformats.org/officeDocument/2006/relationships/hyperlink" Target="https://pbs.twimg.com/media/EOXiYlkU0AAcnLb.jpg" TargetMode="External"/><Relationship Id="rId1259" Type="http://schemas.openxmlformats.org/officeDocument/2006/relationships/hyperlink" Target="http://hopestreetxchange.com/" TargetMode="External"/><Relationship Id="rId426" Type="http://schemas.openxmlformats.org/officeDocument/2006/relationships/hyperlink" Target="https://www.drshillingford.com/blog/good-news-for-bariatric-patients-walking-your-dog-counts-as-exercise-19767.html" TargetMode="External"/><Relationship Id="rId425" Type="http://schemas.openxmlformats.org/officeDocument/2006/relationships/hyperlink" Target="https://pbs.twimg.com/media/EOkMLe7WoAI7Hoy.jpg" TargetMode="External"/><Relationship Id="rId424" Type="http://schemas.openxmlformats.org/officeDocument/2006/relationships/hyperlink" Target="http://www.edynathan.com" TargetMode="External"/><Relationship Id="rId423" Type="http://schemas.openxmlformats.org/officeDocument/2006/relationships/hyperlink" Target="https://pbs.twimg.com/media/EOkMOw9WsAENF_s.jpg" TargetMode="External"/><Relationship Id="rId429" Type="http://schemas.openxmlformats.org/officeDocument/2006/relationships/hyperlink" Target="https://pbs.twimg.com/media/EOkMIPNXUAAr9eH.jpg" TargetMode="External"/><Relationship Id="rId428" Type="http://schemas.openxmlformats.org/officeDocument/2006/relationships/hyperlink" Target="http://www.drshillingford.com" TargetMode="External"/><Relationship Id="rId427" Type="http://schemas.openxmlformats.org/officeDocument/2006/relationships/hyperlink" Target="https://pbs.twimg.com/media/EOkMKcvWkAE5u6B.jpg" TargetMode="External"/><Relationship Id="rId2580" Type="http://schemas.openxmlformats.org/officeDocument/2006/relationships/hyperlink" Target="http://www.fletchersgrove.com" TargetMode="External"/><Relationship Id="rId1250" Type="http://schemas.openxmlformats.org/officeDocument/2006/relationships/hyperlink" Target="http://shorthalloweenstories.com" TargetMode="External"/><Relationship Id="rId2581" Type="http://schemas.openxmlformats.org/officeDocument/2006/relationships/hyperlink" Target="http://bit.ly/2QLsYp5" TargetMode="External"/><Relationship Id="rId1251" Type="http://schemas.openxmlformats.org/officeDocument/2006/relationships/hyperlink" Target="http://ow.ly/R8N730j1uDc" TargetMode="External"/><Relationship Id="rId2582" Type="http://schemas.openxmlformats.org/officeDocument/2006/relationships/hyperlink" Target="https://www.rethinkstigma.org/blog/being-who-you-really-are" TargetMode="External"/><Relationship Id="rId1252" Type="http://schemas.openxmlformats.org/officeDocument/2006/relationships/hyperlink" Target="https://pbs.twimg.com/media/EOfJV_FWkAAcEYD.jpg" TargetMode="External"/><Relationship Id="rId2583" Type="http://schemas.openxmlformats.org/officeDocument/2006/relationships/hyperlink" Target="http://www.rethinkstigma.org" TargetMode="External"/><Relationship Id="rId422" Type="http://schemas.openxmlformats.org/officeDocument/2006/relationships/hyperlink" Target="https://medium.com/@edy1nathan/dealing-with-grief-daily-e2a5ddec010a" TargetMode="External"/><Relationship Id="rId1253" Type="http://schemas.openxmlformats.org/officeDocument/2006/relationships/hyperlink" Target="https://www.sleeprenewal.co.za" TargetMode="External"/><Relationship Id="rId2584" Type="http://schemas.openxmlformats.org/officeDocument/2006/relationships/hyperlink" Target="http://lifeextensioneurope.com" TargetMode="External"/><Relationship Id="rId421" Type="http://schemas.openxmlformats.org/officeDocument/2006/relationships/hyperlink" Target="http://penniehunt.com" TargetMode="External"/><Relationship Id="rId1254" Type="http://schemas.openxmlformats.org/officeDocument/2006/relationships/hyperlink" Target="https://pbs.twimg.com/media/EOfHtErUEAUoqkj.jpg" TargetMode="External"/><Relationship Id="rId2585" Type="http://schemas.openxmlformats.org/officeDocument/2006/relationships/hyperlink" Target="https://pbs.twimg.com/media/EOXjAkyX0AIWQx4.jpg" TargetMode="External"/><Relationship Id="rId420" Type="http://schemas.openxmlformats.org/officeDocument/2006/relationships/hyperlink" Target="https://pbs.twimg.com/media/EOkOo1vVUAAJWRR.jpg" TargetMode="External"/><Relationship Id="rId1255" Type="http://schemas.openxmlformats.org/officeDocument/2006/relationships/hyperlink" Target="http://www.wjso.com" TargetMode="External"/><Relationship Id="rId2586" Type="http://schemas.openxmlformats.org/officeDocument/2006/relationships/hyperlink" Target="https://www.wsj.com/articles/physician-burnout-widespread-especially-among-those-midcareer-report-says-11579086008?fbclid=IwAR1Y2-2LgT8bAnaL7YKU8peBj0yeIItfRubK63YJQdWAmTP749ashKslH-c" TargetMode="External"/><Relationship Id="rId1256" Type="http://schemas.openxmlformats.org/officeDocument/2006/relationships/hyperlink" Target="https://www.sciencedaily.com/releases/2020/01/200116155436.htm" TargetMode="External"/><Relationship Id="rId2587" Type="http://schemas.openxmlformats.org/officeDocument/2006/relationships/hyperlink" Target="https://www.youtube.com/watch?v=NEjHOuN5YOs" TargetMode="External"/><Relationship Id="rId1246" Type="http://schemas.openxmlformats.org/officeDocument/2006/relationships/hyperlink" Target="https://www.linkedin.com/in/martinsjosiane/" TargetMode="External"/><Relationship Id="rId2577" Type="http://schemas.openxmlformats.org/officeDocument/2006/relationships/hyperlink" Target="https://pbs.twimg.com/media/EOXpv2dUYAE3a9J.jpg" TargetMode="External"/><Relationship Id="rId1247" Type="http://schemas.openxmlformats.org/officeDocument/2006/relationships/hyperlink" Target="https://www.facebook.com/pg/LifeWellPartners/about/?ref=page_internal" TargetMode="External"/><Relationship Id="rId2578" Type="http://schemas.openxmlformats.org/officeDocument/2006/relationships/hyperlink" Target="https://kingsumo.com/g/9agctd/giveaway-january-2020/198d0xd" TargetMode="External"/><Relationship Id="rId1248" Type="http://schemas.openxmlformats.org/officeDocument/2006/relationships/hyperlink" Target="https://lttr.ai/MQY8" TargetMode="External"/><Relationship Id="rId2579" Type="http://schemas.openxmlformats.org/officeDocument/2006/relationships/hyperlink" Target="https://pbs.twimg.com/media/EOXmpXsW4AAs4zE.jpg" TargetMode="External"/><Relationship Id="rId1249" Type="http://schemas.openxmlformats.org/officeDocument/2006/relationships/hyperlink" Target="https://pbs.twimg.com/media/EOfJw_wWoAEgS7j.png" TargetMode="External"/><Relationship Id="rId415" Type="http://schemas.openxmlformats.org/officeDocument/2006/relationships/hyperlink" Target="https://pbs.twimg.com/media/EOkQ3HDX0AUs9al.png" TargetMode="External"/><Relationship Id="rId414" Type="http://schemas.openxmlformats.org/officeDocument/2006/relationships/hyperlink" Target="https://lttr.ai/MST2" TargetMode="External"/><Relationship Id="rId413" Type="http://schemas.openxmlformats.org/officeDocument/2006/relationships/hyperlink" Target="https://worksmartlivesmart.com" TargetMode="External"/><Relationship Id="rId412" Type="http://schemas.openxmlformats.org/officeDocument/2006/relationships/hyperlink" Target="https://www.podbean.com/eu/pb-jkvb2-d002f9" TargetMode="External"/><Relationship Id="rId419" Type="http://schemas.openxmlformats.org/officeDocument/2006/relationships/hyperlink" Target="http://ow.ly/RgFF50xYoal" TargetMode="External"/><Relationship Id="rId418" Type="http://schemas.openxmlformats.org/officeDocument/2006/relationships/hyperlink" Target="http://www.serenityvie.co.uk" TargetMode="External"/><Relationship Id="rId417" Type="http://schemas.openxmlformats.org/officeDocument/2006/relationships/hyperlink" Target="https://pbs.twimg.com/media/EOkOvM3WsAAm1RL.jpg" TargetMode="External"/><Relationship Id="rId416" Type="http://schemas.openxmlformats.org/officeDocument/2006/relationships/hyperlink" Target="https://vippuppies.com/" TargetMode="External"/><Relationship Id="rId2570" Type="http://schemas.openxmlformats.org/officeDocument/2006/relationships/hyperlink" Target="https://pbs.twimg.com/media/EOXvqlFW4AAUl3Q.jpg" TargetMode="External"/><Relationship Id="rId1240" Type="http://schemas.openxmlformats.org/officeDocument/2006/relationships/hyperlink" Target="https://pbs.twimg.com/media/EOfKSu-WoAAaG86.jpg" TargetMode="External"/><Relationship Id="rId2571" Type="http://schemas.openxmlformats.org/officeDocument/2006/relationships/hyperlink" Target="http://www.themoodcards.com" TargetMode="External"/><Relationship Id="rId1241" Type="http://schemas.openxmlformats.org/officeDocument/2006/relationships/hyperlink" Target="http://dld.bz/JK3A" TargetMode="External"/><Relationship Id="rId2572" Type="http://schemas.openxmlformats.org/officeDocument/2006/relationships/hyperlink" Target="http://bit.ly/2su6gbG" TargetMode="External"/><Relationship Id="rId411" Type="http://schemas.openxmlformats.org/officeDocument/2006/relationships/hyperlink" Target="http://www.masisstaffing.com" TargetMode="External"/><Relationship Id="rId1242" Type="http://schemas.openxmlformats.org/officeDocument/2006/relationships/hyperlink" Target="http://seo-hacker.com" TargetMode="External"/><Relationship Id="rId2573" Type="http://schemas.openxmlformats.org/officeDocument/2006/relationships/hyperlink" Target="https://pbs.twimg.com/media/EOXsUOBWsAAXmhY.png" TargetMode="External"/><Relationship Id="rId410" Type="http://schemas.openxmlformats.org/officeDocument/2006/relationships/hyperlink" Target="http://pic.twitter.com/ywgbDY4SuG" TargetMode="External"/><Relationship Id="rId1243" Type="http://schemas.openxmlformats.org/officeDocument/2006/relationships/hyperlink" Target="https://e360.yale.edu/features/ecopsychology-how-immersion-in-nature-benefits-your-health" TargetMode="External"/><Relationship Id="rId2574" Type="http://schemas.openxmlformats.org/officeDocument/2006/relationships/hyperlink" Target="https://www.brauer.com.au/" TargetMode="External"/><Relationship Id="rId1244" Type="http://schemas.openxmlformats.org/officeDocument/2006/relationships/hyperlink" Target="http://www.linkedin.com/in/priyasinghvi" TargetMode="External"/><Relationship Id="rId2575" Type="http://schemas.openxmlformats.org/officeDocument/2006/relationships/hyperlink" Target="http://myf.mg/9tq1" TargetMode="External"/><Relationship Id="rId1245" Type="http://schemas.openxmlformats.org/officeDocument/2006/relationships/hyperlink" Target="https://okt.to/UHaJhZ" TargetMode="External"/><Relationship Id="rId2576" Type="http://schemas.openxmlformats.org/officeDocument/2006/relationships/hyperlink" Target="https://pbs.twimg.com/media/EOXp5VzUwAAnSoZ.jpg" TargetMode="External"/><Relationship Id="rId1279" Type="http://schemas.openxmlformats.org/officeDocument/2006/relationships/hyperlink" Target="https://www.indiannaturaloils.com/Menthol-&amp;-Mint-Oil/Spearmint-Oil" TargetMode="External"/><Relationship Id="rId4305" Type="http://schemas.openxmlformats.org/officeDocument/2006/relationships/hyperlink" Target="https://pbs.twimg.com/media/EOPUiCLWAAE4XsC.jpg" TargetMode="External"/><Relationship Id="rId4304" Type="http://schemas.openxmlformats.org/officeDocument/2006/relationships/hyperlink" Target="http://bit.ly/east-wing" TargetMode="External"/><Relationship Id="rId4307" Type="http://schemas.openxmlformats.org/officeDocument/2006/relationships/hyperlink" Target="https://pbs.twimg.com/media/EOPUhl2XsAEzqbH.jpg" TargetMode="External"/><Relationship Id="rId4306" Type="http://schemas.openxmlformats.org/officeDocument/2006/relationships/hyperlink" Target="http://www.rufford-park-lodge.co.uk" TargetMode="External"/><Relationship Id="rId4309" Type="http://schemas.openxmlformats.org/officeDocument/2006/relationships/hyperlink" Target="https://link.medium.com/lwjF0gS562" TargetMode="External"/><Relationship Id="rId4308" Type="http://schemas.openxmlformats.org/officeDocument/2006/relationships/hyperlink" Target="http://www.bebeautiful.in" TargetMode="External"/><Relationship Id="rId448" Type="http://schemas.openxmlformats.org/officeDocument/2006/relationships/hyperlink" Target="https://origamibyjamie.wordpress.com/2020/01/17/stress-management-low-self-esteem/" TargetMode="External"/><Relationship Id="rId447" Type="http://schemas.openxmlformats.org/officeDocument/2006/relationships/hyperlink" Target="https://www.naturalhealthquincy.com" TargetMode="External"/><Relationship Id="rId446" Type="http://schemas.openxmlformats.org/officeDocument/2006/relationships/hyperlink" Target="https://articles.mercola.com/sites/articles/archive/2020/01/13/capsaicin-health-effects.aspx?cid_source=dnl&amp;cid_medium=email&amp;cid_content=art2HL&amp;cid=20200113Z1&amp;et_cid=DM435967&amp;et_rid=788993173" TargetMode="External"/><Relationship Id="rId445" Type="http://schemas.openxmlformats.org/officeDocument/2006/relationships/hyperlink" Target="http://pic.twitter.com/8vptI79cvJ" TargetMode="External"/><Relationship Id="rId449" Type="http://schemas.openxmlformats.org/officeDocument/2006/relationships/hyperlink" Target="https://www.etsy.com/shop/OrigamiByJamie" TargetMode="External"/><Relationship Id="rId1270" Type="http://schemas.openxmlformats.org/officeDocument/2006/relationships/hyperlink" Target="https://pbs.twimg.com/media/EOdaH-GXsAAkaQV.jpg" TargetMode="External"/><Relationship Id="rId440" Type="http://schemas.openxmlformats.org/officeDocument/2006/relationships/hyperlink" Target="http://www.wjso.com" TargetMode="External"/><Relationship Id="rId1271" Type="http://schemas.openxmlformats.org/officeDocument/2006/relationships/hyperlink" Target="http://www.wehearyou.co.za/" TargetMode="External"/><Relationship Id="rId1272" Type="http://schemas.openxmlformats.org/officeDocument/2006/relationships/hyperlink" Target="http://uogjmag.co.uk/to-play-hard-or-to-work-hard-university-vs-apprenticeships?_thumbnail_id=26839" TargetMode="External"/><Relationship Id="rId1273" Type="http://schemas.openxmlformats.org/officeDocument/2006/relationships/hyperlink" Target="http://pic.twitter.com/T3B6pJoSLC" TargetMode="External"/><Relationship Id="rId1274" Type="http://schemas.openxmlformats.org/officeDocument/2006/relationships/hyperlink" Target="http://jmag.glos.ac.uk" TargetMode="External"/><Relationship Id="rId444" Type="http://schemas.openxmlformats.org/officeDocument/2006/relationships/hyperlink" Target="http://www.psychcentral.com/" TargetMode="External"/><Relationship Id="rId1275" Type="http://schemas.openxmlformats.org/officeDocument/2006/relationships/hyperlink" Target="http://thenaturalhealthblogger.com/product/premium-quality-organic-jiaogulan-gynostemma-loose-tea-100g/" TargetMode="External"/><Relationship Id="rId4301" Type="http://schemas.openxmlformats.org/officeDocument/2006/relationships/hyperlink" Target="http://www.bestofmenlp.com" TargetMode="External"/><Relationship Id="rId443" Type="http://schemas.openxmlformats.org/officeDocument/2006/relationships/hyperlink" Target="https://blogs.psychcentral.com/anger/2020/01/new-baby-and-marital-conflicts-is-this-normal/" TargetMode="External"/><Relationship Id="rId1276" Type="http://schemas.openxmlformats.org/officeDocument/2006/relationships/hyperlink" Target="https://pbs.twimg.com/media/EOfBwifWAAINP2-.jpg" TargetMode="External"/><Relationship Id="rId4300" Type="http://schemas.openxmlformats.org/officeDocument/2006/relationships/hyperlink" Target="http://www.bestofmenlp.com" TargetMode="External"/><Relationship Id="rId442" Type="http://schemas.openxmlformats.org/officeDocument/2006/relationships/hyperlink" Target="http://itsgardeningtime.com" TargetMode="External"/><Relationship Id="rId1277" Type="http://schemas.openxmlformats.org/officeDocument/2006/relationships/hyperlink" Target="http://thenaturalhealthblogger.com" TargetMode="External"/><Relationship Id="rId4303" Type="http://schemas.openxmlformats.org/officeDocument/2006/relationships/hyperlink" Target="http://www.charishealthcare.org/" TargetMode="External"/><Relationship Id="rId441" Type="http://schemas.openxmlformats.org/officeDocument/2006/relationships/hyperlink" Target="http://itsgardeningtime.com/?p=1379&amp;utm_source=ReviveOldPost&amp;utm_medium=social&amp;utm_campaign=ReviveOldPost" TargetMode="External"/><Relationship Id="rId1278" Type="http://schemas.openxmlformats.org/officeDocument/2006/relationships/hyperlink" Target="http://www.wellbeingtrackers.com" TargetMode="External"/><Relationship Id="rId4302" Type="http://schemas.openxmlformats.org/officeDocument/2006/relationships/hyperlink" Target="https://pbs.twimg.com/media/EOPVBJBWoAAJCeW.jpg" TargetMode="External"/><Relationship Id="rId1268" Type="http://schemas.openxmlformats.org/officeDocument/2006/relationships/hyperlink" Target="https://pbs.twimg.com/media/EOfDCMDXsAI67Yy.jpg" TargetMode="External"/><Relationship Id="rId2599" Type="http://schemas.openxmlformats.org/officeDocument/2006/relationships/hyperlink" Target="https://pbs.twimg.com/media/EOXfkkTXUAE6ADY.png" TargetMode="External"/><Relationship Id="rId1269" Type="http://schemas.openxmlformats.org/officeDocument/2006/relationships/hyperlink" Target="http://www.suaju.com" TargetMode="External"/><Relationship Id="rId437" Type="http://schemas.openxmlformats.org/officeDocument/2006/relationships/hyperlink" Target="https://www.pinkvilla.com/lifestyle/health-fitness/stressed-and-anxious-massage-these-pressure-points-instant-relief-stress-and-anxiety-501115" TargetMode="External"/><Relationship Id="rId436" Type="http://schemas.openxmlformats.org/officeDocument/2006/relationships/hyperlink" Target="http://stonelinkinternational.com" TargetMode="External"/><Relationship Id="rId435" Type="http://schemas.openxmlformats.org/officeDocument/2006/relationships/hyperlink" Target="https://pbs.twimg.com/media/EOkJaRbXsAELKxN.jpg" TargetMode="External"/><Relationship Id="rId434" Type="http://schemas.openxmlformats.org/officeDocument/2006/relationships/hyperlink" Target="https://zurl.co/BhGK" TargetMode="External"/><Relationship Id="rId439" Type="http://schemas.openxmlformats.org/officeDocument/2006/relationships/hyperlink" Target="https://pbs.twimg.com/media/EOkIq1rUwAAr-wA.jpg" TargetMode="External"/><Relationship Id="rId438" Type="http://schemas.openxmlformats.org/officeDocument/2006/relationships/hyperlink" Target="http://www.pinkvilla.com" TargetMode="External"/><Relationship Id="rId2590" Type="http://schemas.openxmlformats.org/officeDocument/2006/relationships/hyperlink" Target="http://skip-r.com" TargetMode="External"/><Relationship Id="rId1260" Type="http://schemas.openxmlformats.org/officeDocument/2006/relationships/hyperlink" Target="https://buff.ly/2tfpuCm" TargetMode="External"/><Relationship Id="rId2591" Type="http://schemas.openxmlformats.org/officeDocument/2006/relationships/hyperlink" Target="https://pbs.twimg.com/media/EOXh5YZW4AAfHch.jpg" TargetMode="External"/><Relationship Id="rId1261" Type="http://schemas.openxmlformats.org/officeDocument/2006/relationships/hyperlink" Target="https://pbs.twimg.com/media/EOfFMbBWoAEahc0.jpg" TargetMode="External"/><Relationship Id="rId2592" Type="http://schemas.openxmlformats.org/officeDocument/2006/relationships/hyperlink" Target="http://mindingthebrainpodcast.com" TargetMode="External"/><Relationship Id="rId1262" Type="http://schemas.openxmlformats.org/officeDocument/2006/relationships/hyperlink" Target="https://linktr.ee/jamesoroberts11" TargetMode="External"/><Relationship Id="rId2593" Type="http://schemas.openxmlformats.org/officeDocument/2006/relationships/hyperlink" Target="http://hnc-today.weebly.com/emotional-charge-page.html" TargetMode="External"/><Relationship Id="rId1263" Type="http://schemas.openxmlformats.org/officeDocument/2006/relationships/hyperlink" Target="https://buff.ly/30uo6Yx" TargetMode="External"/><Relationship Id="rId2594" Type="http://schemas.openxmlformats.org/officeDocument/2006/relationships/hyperlink" Target="https://pbs.twimg.com/media/EOXh2g7UwAA_222.jpg" TargetMode="External"/><Relationship Id="rId433" Type="http://schemas.openxmlformats.org/officeDocument/2006/relationships/hyperlink" Target="http://calmcurious.com" TargetMode="External"/><Relationship Id="rId1264" Type="http://schemas.openxmlformats.org/officeDocument/2006/relationships/hyperlink" Target="http://pic.twitter.com/os8IBYfIVD" TargetMode="External"/><Relationship Id="rId2595" Type="http://schemas.openxmlformats.org/officeDocument/2006/relationships/hyperlink" Target="http://hnc-today.weebly.com" TargetMode="External"/><Relationship Id="rId432" Type="http://schemas.openxmlformats.org/officeDocument/2006/relationships/hyperlink" Target="http://yourbrainhealth.com.au/six-brain-based-solutions-to-beat-stress/" TargetMode="External"/><Relationship Id="rId1265" Type="http://schemas.openxmlformats.org/officeDocument/2006/relationships/hyperlink" Target="http://healthista.com" TargetMode="External"/><Relationship Id="rId2596" Type="http://schemas.openxmlformats.org/officeDocument/2006/relationships/hyperlink" Target="http://bit.ly/AgeLes" TargetMode="External"/><Relationship Id="rId431" Type="http://schemas.openxmlformats.org/officeDocument/2006/relationships/hyperlink" Target="https://www.instagram.com/p/B7djVyNlU3x/?igshid=117zwnx0glip0" TargetMode="External"/><Relationship Id="rId1266" Type="http://schemas.openxmlformats.org/officeDocument/2006/relationships/hyperlink" Target="http://bit.ly/306W7xY" TargetMode="External"/><Relationship Id="rId2597" Type="http://schemas.openxmlformats.org/officeDocument/2006/relationships/hyperlink" Target="http://www.quick-good-fortune.com" TargetMode="External"/><Relationship Id="rId430" Type="http://schemas.openxmlformats.org/officeDocument/2006/relationships/hyperlink" Target="https://www.atommind.net" TargetMode="External"/><Relationship Id="rId1267" Type="http://schemas.openxmlformats.org/officeDocument/2006/relationships/hyperlink" Target="https://www.iinh.net/" TargetMode="External"/><Relationship Id="rId2598" Type="http://schemas.openxmlformats.org/officeDocument/2006/relationships/hyperlink" Target="https://ift.tt/382z4Ho" TargetMode="External"/><Relationship Id="rId3070" Type="http://schemas.openxmlformats.org/officeDocument/2006/relationships/hyperlink" Target="http://massage-spa-browns-mills-nj-lilly-acupressure.business.site" TargetMode="External"/><Relationship Id="rId3072" Type="http://schemas.openxmlformats.org/officeDocument/2006/relationships/hyperlink" Target="http://lee-therapy.business.site" TargetMode="External"/><Relationship Id="rId3071" Type="http://schemas.openxmlformats.org/officeDocument/2006/relationships/hyperlink" Target="https://pbs.twimg.com/media/EOVYGnkWsAE2u8z.jpg" TargetMode="External"/><Relationship Id="rId3074" Type="http://schemas.openxmlformats.org/officeDocument/2006/relationships/hyperlink" Target="https://go.nature.com/2Nj1TY4" TargetMode="External"/><Relationship Id="rId3073" Type="http://schemas.openxmlformats.org/officeDocument/2006/relationships/hyperlink" Target="https://pbs.twimg.com/media/EOVXdDRX4AA-2nC.jpg" TargetMode="External"/><Relationship Id="rId3076" Type="http://schemas.openxmlformats.org/officeDocument/2006/relationships/hyperlink" Target="https://buff.ly/35Ey8rR" TargetMode="External"/><Relationship Id="rId3075" Type="http://schemas.openxmlformats.org/officeDocument/2006/relationships/hyperlink" Target="https://pbs.twimg.com/media/EOK_tOPWAAMoi33.jpg" TargetMode="External"/><Relationship Id="rId3078" Type="http://schemas.openxmlformats.org/officeDocument/2006/relationships/hyperlink" Target="https://kilfrew.com" TargetMode="External"/><Relationship Id="rId3077" Type="http://schemas.openxmlformats.org/officeDocument/2006/relationships/hyperlink" Target="https://pbs.twimg.com/media/EOVXSKmWoAEVI0d.jpg" TargetMode="External"/><Relationship Id="rId3079" Type="http://schemas.openxmlformats.org/officeDocument/2006/relationships/hyperlink" Target="https://doppel.kckb.st/f15d52be" TargetMode="External"/><Relationship Id="rId4390" Type="http://schemas.openxmlformats.org/officeDocument/2006/relationships/hyperlink" Target="https://pbs.twimg.com/media/EOOypbQXsAAsIdX.jpg" TargetMode="External"/><Relationship Id="rId3061" Type="http://schemas.openxmlformats.org/officeDocument/2006/relationships/hyperlink" Target="http://happyhands.toys" TargetMode="External"/><Relationship Id="rId4392" Type="http://schemas.openxmlformats.org/officeDocument/2006/relationships/hyperlink" Target="https://pbs.twimg.com/media/EOOyYIoUwAADcDG.png" TargetMode="External"/><Relationship Id="rId3060" Type="http://schemas.openxmlformats.org/officeDocument/2006/relationships/hyperlink" Target="https://pbs.twimg.com/media/EOVYutHWkAENZzi.jpg" TargetMode="External"/><Relationship Id="rId4391" Type="http://schemas.openxmlformats.org/officeDocument/2006/relationships/hyperlink" Target="https://www.drivers.co.uk/news/choosing-the-right-estate-agent.html" TargetMode="External"/><Relationship Id="rId3063" Type="http://schemas.openxmlformats.org/officeDocument/2006/relationships/hyperlink" Target="https://pbs.twimg.com/media/EOVYr5SX4AER5Hn.jpg" TargetMode="External"/><Relationship Id="rId4394" Type="http://schemas.openxmlformats.org/officeDocument/2006/relationships/hyperlink" Target="https://www.financialaccountant.co.uk/blog/managing-mental-wellness-in-self-assessment-season" TargetMode="External"/><Relationship Id="rId3062" Type="http://schemas.openxmlformats.org/officeDocument/2006/relationships/hyperlink" Target="http://waterfall-therapy-day-spa.business.site" TargetMode="External"/><Relationship Id="rId4393" Type="http://schemas.openxmlformats.org/officeDocument/2006/relationships/hyperlink" Target="http://www.drivers.co.uk" TargetMode="External"/><Relationship Id="rId3065" Type="http://schemas.openxmlformats.org/officeDocument/2006/relationships/hyperlink" Target="http://www.meetpie.com" TargetMode="External"/><Relationship Id="rId4396" Type="http://schemas.openxmlformats.org/officeDocument/2006/relationships/hyperlink" Target="http://www.drmichaelmol.com" TargetMode="External"/><Relationship Id="rId3064" Type="http://schemas.openxmlformats.org/officeDocument/2006/relationships/hyperlink" Target="https://bit.ly/2uOLuUZ" TargetMode="External"/><Relationship Id="rId4395" Type="http://schemas.openxmlformats.org/officeDocument/2006/relationships/hyperlink" Target="http://www.btcsoftware.co.uk" TargetMode="External"/><Relationship Id="rId3067" Type="http://schemas.openxmlformats.org/officeDocument/2006/relationships/hyperlink" Target="http://www.profiletree.com" TargetMode="External"/><Relationship Id="rId4398" Type="http://schemas.openxmlformats.org/officeDocument/2006/relationships/hyperlink" Target="https://pbs.twimg.com/media/EOOxCNyUwAAA7df.jpg" TargetMode="External"/><Relationship Id="rId3066" Type="http://schemas.openxmlformats.org/officeDocument/2006/relationships/hyperlink" Target="https://www.youtube.com/watch?v=S1mqsLU3X0g&amp;t=532s" TargetMode="External"/><Relationship Id="rId4397" Type="http://schemas.openxmlformats.org/officeDocument/2006/relationships/hyperlink" Target="https://buff.ly/2I3xqKi" TargetMode="External"/><Relationship Id="rId3069" Type="http://schemas.openxmlformats.org/officeDocument/2006/relationships/hyperlink" Target="http://www.wehearyou.co.za/" TargetMode="External"/><Relationship Id="rId3068" Type="http://schemas.openxmlformats.org/officeDocument/2006/relationships/hyperlink" Target="https://pbs.twimg.com/media/EOTxLzhXsAEmmOD.jpg" TargetMode="External"/><Relationship Id="rId4399" Type="http://schemas.openxmlformats.org/officeDocument/2006/relationships/hyperlink" Target="http://www.toplevelincome.com" TargetMode="External"/><Relationship Id="rId3090" Type="http://schemas.openxmlformats.org/officeDocument/2006/relationships/hyperlink" Target="https://pbs.twimg.com/media/EOVSyJNWoAEcBmu.jpg" TargetMode="External"/><Relationship Id="rId3092" Type="http://schemas.openxmlformats.org/officeDocument/2006/relationships/hyperlink" Target="https://www.podbean.com/eu/pb-iccyf-cc5808" TargetMode="External"/><Relationship Id="rId3091" Type="http://schemas.openxmlformats.org/officeDocument/2006/relationships/hyperlink" Target="http://www.partnersforyouth.ca" TargetMode="External"/><Relationship Id="rId3094" Type="http://schemas.openxmlformats.org/officeDocument/2006/relationships/hyperlink" Target="https://soo.nr/GX1L" TargetMode="External"/><Relationship Id="rId3093" Type="http://schemas.openxmlformats.org/officeDocument/2006/relationships/hyperlink" Target="https://worksmartlivesmart.com" TargetMode="External"/><Relationship Id="rId3096" Type="http://schemas.openxmlformats.org/officeDocument/2006/relationships/hyperlink" Target="http://www.trucespa.com/" TargetMode="External"/><Relationship Id="rId3095" Type="http://schemas.openxmlformats.org/officeDocument/2006/relationships/hyperlink" Target="https://pbs.twimg.com/media/EOVSiOkW4AQZ0Ao.jpg" TargetMode="External"/><Relationship Id="rId3098" Type="http://schemas.openxmlformats.org/officeDocument/2006/relationships/hyperlink" Target="http://www.facebook.com/ZenMedica" TargetMode="External"/><Relationship Id="rId3097" Type="http://schemas.openxmlformats.org/officeDocument/2006/relationships/hyperlink" Target="https://pbs.twimg.com/media/EOVSdPoWsAIEjeX.jpg" TargetMode="External"/><Relationship Id="rId3099" Type="http://schemas.openxmlformats.org/officeDocument/2006/relationships/hyperlink" Target="http://www.mcleanco.com" TargetMode="External"/><Relationship Id="rId3081" Type="http://schemas.openxmlformats.org/officeDocument/2006/relationships/hyperlink" Target="https://pbs.twimg.com/media/EOVVRgJXkAIk0xE.jpg" TargetMode="External"/><Relationship Id="rId3080" Type="http://schemas.openxmlformats.org/officeDocument/2006/relationships/hyperlink" Target="https://crowdranger.com" TargetMode="External"/><Relationship Id="rId3083" Type="http://schemas.openxmlformats.org/officeDocument/2006/relationships/hyperlink" Target="https://pbs.twimg.com/media/EOVVH8mWkAE0dJh.jpg" TargetMode="External"/><Relationship Id="rId3082" Type="http://schemas.openxmlformats.org/officeDocument/2006/relationships/hyperlink" Target="http://snip.ly/0i6g4" TargetMode="External"/><Relationship Id="rId3085" Type="http://schemas.openxmlformats.org/officeDocument/2006/relationships/hyperlink" Target="https://happiful.com/how-to-create-a-plan-to-address-stress/" TargetMode="External"/><Relationship Id="rId3084" Type="http://schemas.openxmlformats.org/officeDocument/2006/relationships/hyperlink" Target="http://anthonyclarkmusic.com" TargetMode="External"/><Relationship Id="rId3087" Type="http://schemas.openxmlformats.org/officeDocument/2006/relationships/hyperlink" Target="https://icedkarmacoffee.blogspot.com/2020/01/too-much-to-do-flu.html" TargetMode="External"/><Relationship Id="rId3086" Type="http://schemas.openxmlformats.org/officeDocument/2006/relationships/hyperlink" Target="http://www.ferobinsonpsychotherapy.co.uk" TargetMode="External"/><Relationship Id="rId3089" Type="http://schemas.openxmlformats.org/officeDocument/2006/relationships/hyperlink" Target="https://www.facebook.com/pfyouthnb/photos/a.433545190110592/1752817461516685/?type=3&amp;theater" TargetMode="External"/><Relationship Id="rId3088" Type="http://schemas.openxmlformats.org/officeDocument/2006/relationships/hyperlink" Target="http://icedkarmacoffee.blogspot.com/" TargetMode="External"/><Relationship Id="rId3039" Type="http://schemas.openxmlformats.org/officeDocument/2006/relationships/hyperlink" Target="http://www.neuroflowsolution.com/" TargetMode="External"/><Relationship Id="rId1" Type="http://schemas.openxmlformats.org/officeDocument/2006/relationships/hyperlink" Target="https://nevershortonwords.wordpress.com/2020/01/18/stress-an-acrostic-one-sided-conversation/" TargetMode="External"/><Relationship Id="rId2" Type="http://schemas.openxmlformats.org/officeDocument/2006/relationships/hyperlink" Target="https://pbs.twimg.com/media/EOnSXnbXUAE5gvp.jpg" TargetMode="External"/><Relationship Id="rId3" Type="http://schemas.openxmlformats.org/officeDocument/2006/relationships/hyperlink" Target="http://www.unemployedgames.com" TargetMode="External"/><Relationship Id="rId4" Type="http://schemas.openxmlformats.org/officeDocument/2006/relationships/hyperlink" Target="https://youtu.be/RcGyVTAoXEU" TargetMode="External"/><Relationship Id="rId3030" Type="http://schemas.openxmlformats.org/officeDocument/2006/relationships/hyperlink" Target="http://www.doctorqualitycbdoil.com" TargetMode="External"/><Relationship Id="rId4361" Type="http://schemas.openxmlformats.org/officeDocument/2006/relationships/hyperlink" Target="http://www.comeoutreach.org" TargetMode="External"/><Relationship Id="rId4360" Type="http://schemas.openxmlformats.org/officeDocument/2006/relationships/hyperlink" Target="https://pbs.twimg.com/media/EOO8iNYWoAE76Tv.jpg" TargetMode="External"/><Relationship Id="rId9" Type="http://schemas.openxmlformats.org/officeDocument/2006/relationships/hyperlink" Target="https://bit.ly/2UK1vXC" TargetMode="External"/><Relationship Id="rId3032" Type="http://schemas.openxmlformats.org/officeDocument/2006/relationships/hyperlink" Target="http://kevamack.com" TargetMode="External"/><Relationship Id="rId4363" Type="http://schemas.openxmlformats.org/officeDocument/2006/relationships/hyperlink" Target="http://www.wehearyou.co.za/" TargetMode="External"/><Relationship Id="rId3031" Type="http://schemas.openxmlformats.org/officeDocument/2006/relationships/hyperlink" Target="https://pbs.twimg.com/media/EOVeijMWsAAW_lP.jpg" TargetMode="External"/><Relationship Id="rId4362" Type="http://schemas.openxmlformats.org/officeDocument/2006/relationships/hyperlink" Target="https://pbs.twimg.com/media/EOKpRU7XkAEqpp_.jpg" TargetMode="External"/><Relationship Id="rId3034" Type="http://schemas.openxmlformats.org/officeDocument/2006/relationships/hyperlink" Target="http://www.dramantram.com" TargetMode="External"/><Relationship Id="rId4365" Type="http://schemas.openxmlformats.org/officeDocument/2006/relationships/hyperlink" Target="https://pbs.twimg.com/media/EOO66MwX0AAolee.jpg" TargetMode="External"/><Relationship Id="rId3033" Type="http://schemas.openxmlformats.org/officeDocument/2006/relationships/hyperlink" Target="https://pbs.twimg.com/media/EOVdK-JUwAEqO14.jpg" TargetMode="External"/><Relationship Id="rId4364" Type="http://schemas.openxmlformats.org/officeDocument/2006/relationships/hyperlink" Target="https://goo.gl/c3dNJs" TargetMode="External"/><Relationship Id="rId5" Type="http://schemas.openxmlformats.org/officeDocument/2006/relationships/hyperlink" Target="http://www.teacher-wellbeing.com.au" TargetMode="External"/><Relationship Id="rId3036" Type="http://schemas.openxmlformats.org/officeDocument/2006/relationships/hyperlink" Target="https://pbs.twimg.com/media/EOVbhVzW4AA0IDZ.jpg" TargetMode="External"/><Relationship Id="rId4367" Type="http://schemas.openxmlformats.org/officeDocument/2006/relationships/hyperlink" Target="http://ow.ly/5UOO30q9h8H" TargetMode="External"/><Relationship Id="rId6" Type="http://schemas.openxmlformats.org/officeDocument/2006/relationships/hyperlink" Target="http://www.success.com/" TargetMode="External"/><Relationship Id="rId3035" Type="http://schemas.openxmlformats.org/officeDocument/2006/relationships/hyperlink" Target="https://www.indianachamber.com/event/boosttime/" TargetMode="External"/><Relationship Id="rId4366" Type="http://schemas.openxmlformats.org/officeDocument/2006/relationships/hyperlink" Target="http://www.humanitarianleadershipacademy.org" TargetMode="External"/><Relationship Id="rId7" Type="http://schemas.openxmlformats.org/officeDocument/2006/relationships/hyperlink" Target="https://youtu.be/umE3v0I4TIY" TargetMode="External"/><Relationship Id="rId3038" Type="http://schemas.openxmlformats.org/officeDocument/2006/relationships/hyperlink" Target="https://hubs.ly/H0mywbQ0" TargetMode="External"/><Relationship Id="rId4369" Type="http://schemas.openxmlformats.org/officeDocument/2006/relationships/hyperlink" Target="http://www.rangewell.com" TargetMode="External"/><Relationship Id="rId8" Type="http://schemas.openxmlformats.org/officeDocument/2006/relationships/hyperlink" Target="http://www.kenokel.com" TargetMode="External"/><Relationship Id="rId3037" Type="http://schemas.openxmlformats.org/officeDocument/2006/relationships/hyperlink" Target="http://www.indianachamber.com" TargetMode="External"/><Relationship Id="rId4368" Type="http://schemas.openxmlformats.org/officeDocument/2006/relationships/hyperlink" Target="https://pbs.twimg.com/media/EOO6MVHX4AYD1O3.jpg" TargetMode="External"/><Relationship Id="rId3029" Type="http://schemas.openxmlformats.org/officeDocument/2006/relationships/hyperlink" Target="https://pbs.twimg.com/media/EMKlE_gXUAE7ppE.jpg" TargetMode="External"/><Relationship Id="rId3028" Type="http://schemas.openxmlformats.org/officeDocument/2006/relationships/hyperlink" Target="http://bit.ly/CBDforInflam" TargetMode="External"/><Relationship Id="rId4359" Type="http://schemas.openxmlformats.org/officeDocument/2006/relationships/hyperlink" Target="http://www.scie-socialcareonline.org.uk/" TargetMode="External"/><Relationship Id="rId4350" Type="http://schemas.openxmlformats.org/officeDocument/2006/relationships/hyperlink" Target="https://pbs.twimg.com/media/EOPCp7YW4AIgI1C.jpg" TargetMode="External"/><Relationship Id="rId3021" Type="http://schemas.openxmlformats.org/officeDocument/2006/relationships/hyperlink" Target="https://www.sanvello.com/" TargetMode="External"/><Relationship Id="rId4352" Type="http://schemas.openxmlformats.org/officeDocument/2006/relationships/hyperlink" Target="http://itsmylifecoach.co.za/why-be-the-dictator" TargetMode="External"/><Relationship Id="rId3020" Type="http://schemas.openxmlformats.org/officeDocument/2006/relationships/hyperlink" Target="https://bit.ly/38dArTP" TargetMode="External"/><Relationship Id="rId4351" Type="http://schemas.openxmlformats.org/officeDocument/2006/relationships/hyperlink" Target="http://www.briancanavan.com" TargetMode="External"/><Relationship Id="rId3023" Type="http://schemas.openxmlformats.org/officeDocument/2006/relationships/hyperlink" Target="http://www.beechermadden.com" TargetMode="External"/><Relationship Id="rId4354" Type="http://schemas.openxmlformats.org/officeDocument/2006/relationships/hyperlink" Target="https://pbs.twimg.com/media/EOO_crmWoAAU65t.jpg" TargetMode="External"/><Relationship Id="rId3022" Type="http://schemas.openxmlformats.org/officeDocument/2006/relationships/hyperlink" Target="https://buff.ly/2RfcHYz" TargetMode="External"/><Relationship Id="rId4353" Type="http://schemas.openxmlformats.org/officeDocument/2006/relationships/hyperlink" Target="https://www.facebook.com/abutameemshares/" TargetMode="External"/><Relationship Id="rId3025" Type="http://schemas.openxmlformats.org/officeDocument/2006/relationships/hyperlink" Target="http://pic.twitter.com/K14Wz9sOIB" TargetMode="External"/><Relationship Id="rId4356" Type="http://schemas.openxmlformats.org/officeDocument/2006/relationships/hyperlink" Target="http://bit.ly/2FO9EBm" TargetMode="External"/><Relationship Id="rId3024" Type="http://schemas.openxmlformats.org/officeDocument/2006/relationships/hyperlink" Target="http://myf.mg/2l1E" TargetMode="External"/><Relationship Id="rId4355" Type="http://schemas.openxmlformats.org/officeDocument/2006/relationships/hyperlink" Target="http://www.charishealthcare.org/" TargetMode="External"/><Relationship Id="rId3027" Type="http://schemas.openxmlformats.org/officeDocument/2006/relationships/hyperlink" Target="http://doctorqualitycbdoil.com" TargetMode="External"/><Relationship Id="rId4358" Type="http://schemas.openxmlformats.org/officeDocument/2006/relationships/hyperlink" Target="https://www.scie-socialcareonline.org.uk/every-day-i-worry-about-something-a-qualitative-exploration-of-childrens-experiences-of-stress-and-coping/r/a1C6f000007TOenEAG" TargetMode="External"/><Relationship Id="rId3026" Type="http://schemas.openxmlformats.org/officeDocument/2006/relationships/hyperlink" Target="http://squishsupport.com" TargetMode="External"/><Relationship Id="rId4357" Type="http://schemas.openxmlformats.org/officeDocument/2006/relationships/hyperlink" Target="http://5reasonstoread.com" TargetMode="External"/><Relationship Id="rId3050" Type="http://schemas.openxmlformats.org/officeDocument/2006/relationships/hyperlink" Target="https://pbs.twimg.com/media/EOVZYSxW4AUjYrg.png" TargetMode="External"/><Relationship Id="rId4381" Type="http://schemas.openxmlformats.org/officeDocument/2006/relationships/hyperlink" Target="http://isrg.me" TargetMode="External"/><Relationship Id="rId4380" Type="http://schemas.openxmlformats.org/officeDocument/2006/relationships/hyperlink" Target="https://pbs.twimg.com/media/EOO1lkQUEAAT-_j.jpg" TargetMode="External"/><Relationship Id="rId3052" Type="http://schemas.openxmlformats.org/officeDocument/2006/relationships/hyperlink" Target="http://bit.ly/1F3SYy3" TargetMode="External"/><Relationship Id="rId4383" Type="http://schemas.openxmlformats.org/officeDocument/2006/relationships/hyperlink" Target="http://www.mente.co.uk" TargetMode="External"/><Relationship Id="rId3051" Type="http://schemas.openxmlformats.org/officeDocument/2006/relationships/hyperlink" Target="https://www.avisualbusiness.com" TargetMode="External"/><Relationship Id="rId4382" Type="http://schemas.openxmlformats.org/officeDocument/2006/relationships/hyperlink" Target="http://bit.ly/385JYMA" TargetMode="External"/><Relationship Id="rId3054" Type="http://schemas.openxmlformats.org/officeDocument/2006/relationships/hyperlink" Target="http://ow.ly/lsAq50xQpek" TargetMode="External"/><Relationship Id="rId4385" Type="http://schemas.openxmlformats.org/officeDocument/2006/relationships/hyperlink" Target="http://www.therecruitmentshop.co.uk/index.php" TargetMode="External"/><Relationship Id="rId3053" Type="http://schemas.openxmlformats.org/officeDocument/2006/relationships/hyperlink" Target="http://www.naturibeauty.com/" TargetMode="External"/><Relationship Id="rId4384" Type="http://schemas.openxmlformats.org/officeDocument/2006/relationships/hyperlink" Target="https://www.careercontessa.com/advice/problem-coworkers/?fbclid=IwAR2PeYkXuxXWYlHMCYV6BCTs7pGTDLrNUmcNKs1LDZeKpauIgKAeijfwUzU" TargetMode="External"/><Relationship Id="rId3056" Type="http://schemas.openxmlformats.org/officeDocument/2006/relationships/hyperlink" Target="http://www.mindmojo.co/" TargetMode="External"/><Relationship Id="rId4387" Type="http://schemas.openxmlformats.org/officeDocument/2006/relationships/hyperlink" Target="https://pbs.twimg.com/media/EOOyphnWoAUz_AH.jpg" TargetMode="External"/><Relationship Id="rId3055" Type="http://schemas.openxmlformats.org/officeDocument/2006/relationships/hyperlink" Target="https://pbs.twimg.com/media/EOVZBLAXkAEoBlY.jpg" TargetMode="External"/><Relationship Id="rId4386" Type="http://schemas.openxmlformats.org/officeDocument/2006/relationships/hyperlink" Target="https://brodi.es/2txSFjO" TargetMode="External"/><Relationship Id="rId3058" Type="http://schemas.openxmlformats.org/officeDocument/2006/relationships/hyperlink" Target="http://www.laurenpresutti.com" TargetMode="External"/><Relationship Id="rId4389" Type="http://schemas.openxmlformats.org/officeDocument/2006/relationships/hyperlink" Target="https://thefertilityhub.com/dealing-with-stress-in-an-ivf-clinic/" TargetMode="External"/><Relationship Id="rId3057" Type="http://schemas.openxmlformats.org/officeDocument/2006/relationships/hyperlink" Target="https://pbs.twimg.com/media/EOVYkoOW4AAU1-7.jpg" TargetMode="External"/><Relationship Id="rId4388" Type="http://schemas.openxmlformats.org/officeDocument/2006/relationships/hyperlink" Target="http://www.brodies.com" TargetMode="External"/><Relationship Id="rId3059" Type="http://schemas.openxmlformats.org/officeDocument/2006/relationships/hyperlink" Target="https://happyhands.toys/collections/featured-fidgets" TargetMode="External"/><Relationship Id="rId4370" Type="http://schemas.openxmlformats.org/officeDocument/2006/relationships/hyperlink" Target="http://bit.ly/35xSumh" TargetMode="External"/><Relationship Id="rId3041" Type="http://schemas.openxmlformats.org/officeDocument/2006/relationships/hyperlink" Target="https://pbs.twimg.com/media/CRCPITNW8AAgTXc.jpg" TargetMode="External"/><Relationship Id="rId4372" Type="http://schemas.openxmlformats.org/officeDocument/2006/relationships/hyperlink" Target="http://www.re-integration.com" TargetMode="External"/><Relationship Id="rId3040" Type="http://schemas.openxmlformats.org/officeDocument/2006/relationships/hyperlink" Target="http://mistralkdawn.blogspot.com/2015/10/this-moment.html?spref=tw" TargetMode="External"/><Relationship Id="rId4371" Type="http://schemas.openxmlformats.org/officeDocument/2006/relationships/hyperlink" Target="https://pbs.twimg.com/media/EOO5u3RVAAA6Y3k.jpg" TargetMode="External"/><Relationship Id="rId3043" Type="http://schemas.openxmlformats.org/officeDocument/2006/relationships/hyperlink" Target="http://ow.ly/C3NS50xWav1" TargetMode="External"/><Relationship Id="rId4374" Type="http://schemas.openxmlformats.org/officeDocument/2006/relationships/hyperlink" Target="https://pbs.twimg.com/media/EOO2kspU8AASGXk.jpg" TargetMode="External"/><Relationship Id="rId3042" Type="http://schemas.openxmlformats.org/officeDocument/2006/relationships/hyperlink" Target="http://mistralkdawn.blogspot.com/" TargetMode="External"/><Relationship Id="rId4373" Type="http://schemas.openxmlformats.org/officeDocument/2006/relationships/hyperlink" Target="http://www.frugaldom.com" TargetMode="External"/><Relationship Id="rId3045" Type="http://schemas.openxmlformats.org/officeDocument/2006/relationships/hyperlink" Target="https://youtu.be/Bl2Ie-JNupQ" TargetMode="External"/><Relationship Id="rId4376" Type="http://schemas.openxmlformats.org/officeDocument/2006/relationships/hyperlink" Target="https://jumanakt.wordpress.com/2020/01/14/why-children-cry-i-know-one-answer-or-maybe-more/" TargetMode="External"/><Relationship Id="rId3044" Type="http://schemas.openxmlformats.org/officeDocument/2006/relationships/hyperlink" Target="http://livingbetter50.com/" TargetMode="External"/><Relationship Id="rId4375" Type="http://schemas.openxmlformats.org/officeDocument/2006/relationships/hyperlink" Target="http://www.imsuc.ac.in" TargetMode="External"/><Relationship Id="rId3047" Type="http://schemas.openxmlformats.org/officeDocument/2006/relationships/hyperlink" Target="http://bit.ly/2I6Oltc" TargetMode="External"/><Relationship Id="rId4378" Type="http://schemas.openxmlformats.org/officeDocument/2006/relationships/hyperlink" Target="http://www.newcastle-hypnotherapy.com/" TargetMode="External"/><Relationship Id="rId3046" Type="http://schemas.openxmlformats.org/officeDocument/2006/relationships/hyperlink" Target="https://www.metaphysicalanatomy.com/" TargetMode="External"/><Relationship Id="rId4377" Type="http://schemas.openxmlformats.org/officeDocument/2006/relationships/hyperlink" Target="https://youtu.be/KSnZJgKTKvI" TargetMode="External"/><Relationship Id="rId3049" Type="http://schemas.openxmlformats.org/officeDocument/2006/relationships/hyperlink" Target="https://buff.ly/2rn9VXT" TargetMode="External"/><Relationship Id="rId3048" Type="http://schemas.openxmlformats.org/officeDocument/2006/relationships/hyperlink" Target="http://www.lorengelberggoff.com" TargetMode="External"/><Relationship Id="rId4379" Type="http://schemas.openxmlformats.org/officeDocument/2006/relationships/hyperlink" Target="https://isrg.me/Vbda0B" TargetMode="External"/><Relationship Id="rId3911" Type="http://schemas.openxmlformats.org/officeDocument/2006/relationships/hyperlink" Target="https://www.centrobed.com/" TargetMode="External"/><Relationship Id="rId3910" Type="http://schemas.openxmlformats.org/officeDocument/2006/relationships/hyperlink" Target="https://pbs.twimg.com/media/EOPVFTjXUAEQwrm.jpg" TargetMode="External"/><Relationship Id="rId3913" Type="http://schemas.openxmlformats.org/officeDocument/2006/relationships/hyperlink" Target="https://itsgardeningtime.com/?p=8736&amp;utm_source=ReviveOldPost&amp;utm_medium=social&amp;utm_campaign=ReviveOldPost" TargetMode="External"/><Relationship Id="rId3912" Type="http://schemas.openxmlformats.org/officeDocument/2006/relationships/hyperlink" Target="https://www.instagram.com/p/B7Ty_Ylgw4d/?igshid=1r8c344to05v5" TargetMode="External"/><Relationship Id="rId3915" Type="http://schemas.openxmlformats.org/officeDocument/2006/relationships/hyperlink" Target="https://pbs.twimg.com/media/EOQpPj1X4AIOybk.png" TargetMode="External"/><Relationship Id="rId3914" Type="http://schemas.openxmlformats.org/officeDocument/2006/relationships/hyperlink" Target="http://itsgardeningtime.com" TargetMode="External"/><Relationship Id="rId3917" Type="http://schemas.openxmlformats.org/officeDocument/2006/relationships/hyperlink" Target="http://pic.twitter.com/QIPXfBLGS8" TargetMode="External"/><Relationship Id="rId3916" Type="http://schemas.openxmlformats.org/officeDocument/2006/relationships/hyperlink" Target="http://brockmansgin.com" TargetMode="External"/><Relationship Id="rId3919" Type="http://schemas.openxmlformats.org/officeDocument/2006/relationships/hyperlink" Target="http://www.oprah.com/sp/new-midlife-crisis.html" TargetMode="External"/><Relationship Id="rId3918" Type="http://schemas.openxmlformats.org/officeDocument/2006/relationships/hyperlink" Target="https://www.youtube.com/channel/UCD5LSdIhe2zt9f8RLlVN5Ow" TargetMode="External"/><Relationship Id="rId3900" Type="http://schemas.openxmlformats.org/officeDocument/2006/relationships/hyperlink" Target="https://nexalin.com/" TargetMode="External"/><Relationship Id="rId3902" Type="http://schemas.openxmlformats.org/officeDocument/2006/relationships/hyperlink" Target="https://pbs.twimg.com/media/EOQqsU9WAAc7-IX.png" TargetMode="External"/><Relationship Id="rId3901" Type="http://schemas.openxmlformats.org/officeDocument/2006/relationships/hyperlink" Target="https://1l.ink/NXNNQXH" TargetMode="External"/><Relationship Id="rId3904" Type="http://schemas.openxmlformats.org/officeDocument/2006/relationships/hyperlink" Target="https://bit.ly/35BgCEb" TargetMode="External"/><Relationship Id="rId3903" Type="http://schemas.openxmlformats.org/officeDocument/2006/relationships/hyperlink" Target="https://uniquemindcare.com/" TargetMode="External"/><Relationship Id="rId3906" Type="http://schemas.openxmlformats.org/officeDocument/2006/relationships/hyperlink" Target="http://thehnd.com" TargetMode="External"/><Relationship Id="rId3905" Type="http://schemas.openxmlformats.org/officeDocument/2006/relationships/hyperlink" Target="https://pbs.twimg.com/media/EOQqavxWoA0tPz5.png" TargetMode="External"/><Relationship Id="rId3908" Type="http://schemas.openxmlformats.org/officeDocument/2006/relationships/hyperlink" Target="http://www.wehearyou.co.za/" TargetMode="External"/><Relationship Id="rId3907" Type="http://schemas.openxmlformats.org/officeDocument/2006/relationships/hyperlink" Target="https://pbs.twimg.com/media/EOKrDcZXkAAs0gh.jpg" TargetMode="External"/><Relationship Id="rId3909" Type="http://schemas.openxmlformats.org/officeDocument/2006/relationships/hyperlink" Target="http://centrobed.com" TargetMode="External"/><Relationship Id="rId3931" Type="http://schemas.openxmlformats.org/officeDocument/2006/relationships/hyperlink" Target="https://www.nhs.uk/oneyou/every-mind-matters/your-mind-plan-quiz/" TargetMode="External"/><Relationship Id="rId2600" Type="http://schemas.openxmlformats.org/officeDocument/2006/relationships/hyperlink" Target="http://www.itsthesmallstuf.com" TargetMode="External"/><Relationship Id="rId3930" Type="http://schemas.openxmlformats.org/officeDocument/2006/relationships/hyperlink" Target="http://relaxingzenmusic.com" TargetMode="External"/><Relationship Id="rId2601" Type="http://schemas.openxmlformats.org/officeDocument/2006/relationships/hyperlink" Target="https://buff.ly/2ImYzb0" TargetMode="External"/><Relationship Id="rId3933" Type="http://schemas.openxmlformats.org/officeDocument/2006/relationships/hyperlink" Target="http://www.at-scale.co.uk" TargetMode="External"/><Relationship Id="rId2602" Type="http://schemas.openxmlformats.org/officeDocument/2006/relationships/hyperlink" Target="https://pbs.twimg.com/media/EOXdcdtWkAIY5rG.jpg" TargetMode="External"/><Relationship Id="rId3932" Type="http://schemas.openxmlformats.org/officeDocument/2006/relationships/hyperlink" Target="https://pbs.twimg.com/media/EOQlOA2WkAAczn-.png" TargetMode="External"/><Relationship Id="rId2603" Type="http://schemas.openxmlformats.org/officeDocument/2006/relationships/hyperlink" Target="http://in.uk.com" TargetMode="External"/><Relationship Id="rId3935" Type="http://schemas.openxmlformats.org/officeDocument/2006/relationships/hyperlink" Target="https://pbs.twimg.com/media/EOQlFolWsAU8VUw.png" TargetMode="External"/><Relationship Id="rId2604" Type="http://schemas.openxmlformats.org/officeDocument/2006/relationships/hyperlink" Target="http://ow.ly/7c7k50xoHy6" TargetMode="External"/><Relationship Id="rId3934" Type="http://schemas.openxmlformats.org/officeDocument/2006/relationships/hyperlink" Target="https://www.nhs.uk/oneyou/every-mind-matters/your-mind-plan-quiz/" TargetMode="External"/><Relationship Id="rId2605" Type="http://schemas.openxmlformats.org/officeDocument/2006/relationships/hyperlink" Target="https://www.tcwealthstrategies.com" TargetMode="External"/><Relationship Id="rId3937" Type="http://schemas.openxmlformats.org/officeDocument/2006/relationships/hyperlink" Target="http://ow.ly/trVk50wHlyk" TargetMode="External"/><Relationship Id="rId2606" Type="http://schemas.openxmlformats.org/officeDocument/2006/relationships/hyperlink" Target="https://www.instagram.com/p/B7XLQ5pH6yD/?igshid=1ih2tejjdwscd" TargetMode="External"/><Relationship Id="rId3936" Type="http://schemas.openxmlformats.org/officeDocument/2006/relationships/hyperlink" Target="http://www.at-scale.co.uk" TargetMode="External"/><Relationship Id="rId808" Type="http://schemas.openxmlformats.org/officeDocument/2006/relationships/hyperlink" Target="http://bit.ly/2sCg8jc" TargetMode="External"/><Relationship Id="rId2607" Type="http://schemas.openxmlformats.org/officeDocument/2006/relationships/hyperlink" Target="http://www.imdb.com/name/nm2994223/" TargetMode="External"/><Relationship Id="rId3939" Type="http://schemas.openxmlformats.org/officeDocument/2006/relationships/hyperlink" Target="http://www.anxietyuk.org.uk" TargetMode="External"/><Relationship Id="rId807" Type="http://schemas.openxmlformats.org/officeDocument/2006/relationships/hyperlink" Target="http://pic.twitter.com/0bUqLHYZTP" TargetMode="External"/><Relationship Id="rId2608" Type="http://schemas.openxmlformats.org/officeDocument/2006/relationships/hyperlink" Target="https://wholenewmom.com/health-concerns/physical-effects-of-stress/" TargetMode="External"/><Relationship Id="rId3938" Type="http://schemas.openxmlformats.org/officeDocument/2006/relationships/hyperlink" Target="https://pbs.twimg.com/media/EOQkpqVWAAI8j-f.jpg" TargetMode="External"/><Relationship Id="rId806" Type="http://schemas.openxmlformats.org/officeDocument/2006/relationships/hyperlink" Target="http://pic.twitter.com/cGiuN9Nb6K" TargetMode="External"/><Relationship Id="rId2609" Type="http://schemas.openxmlformats.org/officeDocument/2006/relationships/hyperlink" Target="http://www.jumbledbrain.com" TargetMode="External"/><Relationship Id="rId805" Type="http://schemas.openxmlformats.org/officeDocument/2006/relationships/hyperlink" Target="http://ow.ly/yOz150xMmDt" TargetMode="External"/><Relationship Id="rId809" Type="http://schemas.openxmlformats.org/officeDocument/2006/relationships/hyperlink" Target="https://pbs.twimg.com/media/EOgwUtIXUAQ-zrg.jpg" TargetMode="External"/><Relationship Id="rId800" Type="http://schemas.openxmlformats.org/officeDocument/2006/relationships/hyperlink" Target="http://bit.ly/36JaScN" TargetMode="External"/><Relationship Id="rId804" Type="http://schemas.openxmlformats.org/officeDocument/2006/relationships/hyperlink" Target="http://www.alcosales.com" TargetMode="External"/><Relationship Id="rId803" Type="http://schemas.openxmlformats.org/officeDocument/2006/relationships/hyperlink" Target="http://ow.ly/87jT50xXHzp" TargetMode="External"/><Relationship Id="rId802" Type="http://schemas.openxmlformats.org/officeDocument/2006/relationships/hyperlink" Target="https://teenaevert.com/" TargetMode="External"/><Relationship Id="rId801" Type="http://schemas.openxmlformats.org/officeDocument/2006/relationships/hyperlink" Target="https://pbs.twimg.com/media/EOgwi3NWAAArQvo.jpg" TargetMode="External"/><Relationship Id="rId3920" Type="http://schemas.openxmlformats.org/officeDocument/2006/relationships/hyperlink" Target="https://www.uniquelyhuman.co/founder" TargetMode="External"/><Relationship Id="rId3922" Type="http://schemas.openxmlformats.org/officeDocument/2006/relationships/hyperlink" Target="https://pbs.twimg.com/media/EOQm8asWAAAiBxi.jpg" TargetMode="External"/><Relationship Id="rId3921" Type="http://schemas.openxmlformats.org/officeDocument/2006/relationships/hyperlink" Target="http://nurseland.net" TargetMode="External"/><Relationship Id="rId3924" Type="http://schemas.openxmlformats.org/officeDocument/2006/relationships/hyperlink" Target="https://buff.ly/39PMicl" TargetMode="External"/><Relationship Id="rId3923" Type="http://schemas.openxmlformats.org/officeDocument/2006/relationships/hyperlink" Target="http://www.counsellingpathway.com" TargetMode="External"/><Relationship Id="rId3926" Type="http://schemas.openxmlformats.org/officeDocument/2006/relationships/hyperlink" Target="http://www.rtor.org" TargetMode="External"/><Relationship Id="rId3925" Type="http://schemas.openxmlformats.org/officeDocument/2006/relationships/hyperlink" Target="https://pbs.twimg.com/media/EOQm649XUAAPwv6.jpg" TargetMode="External"/><Relationship Id="rId3928" Type="http://schemas.openxmlformats.org/officeDocument/2006/relationships/hyperlink" Target="http://www.mindfulnessmeditationinstitute.org/" TargetMode="External"/><Relationship Id="rId3927" Type="http://schemas.openxmlformats.org/officeDocument/2006/relationships/hyperlink" Target="https://mindfulnessmeditationinstitute.org/2012/04/18/meditation-and-the-busy-woman/" TargetMode="External"/><Relationship Id="rId3929" Type="http://schemas.openxmlformats.org/officeDocument/2006/relationships/hyperlink" Target="http://relaxingzenmusic.com/benefits-of-zen-meditation" TargetMode="External"/><Relationship Id="rId1334" Type="http://schemas.openxmlformats.org/officeDocument/2006/relationships/hyperlink" Target="http://www.drpetemarcelo.org" TargetMode="External"/><Relationship Id="rId2665" Type="http://schemas.openxmlformats.org/officeDocument/2006/relationships/hyperlink" Target="https://pbs.twimg.com/media/EOXA1PdWoAAaK80.jpg" TargetMode="External"/><Relationship Id="rId3997" Type="http://schemas.openxmlformats.org/officeDocument/2006/relationships/hyperlink" Target="http://www.oakvillefamilyinstitute.com" TargetMode="External"/><Relationship Id="rId1335" Type="http://schemas.openxmlformats.org/officeDocument/2006/relationships/hyperlink" Target="https://qoo.ly/33v27c" TargetMode="External"/><Relationship Id="rId2666" Type="http://schemas.openxmlformats.org/officeDocument/2006/relationships/hyperlink" Target="http://www.ihealthtube.com" TargetMode="External"/><Relationship Id="rId3996" Type="http://schemas.openxmlformats.org/officeDocument/2006/relationships/hyperlink" Target="http://ow.ly/HlnP30njxqo" TargetMode="External"/><Relationship Id="rId1336" Type="http://schemas.openxmlformats.org/officeDocument/2006/relationships/hyperlink" Target="http://www.thebraincollective.c.uk" TargetMode="External"/><Relationship Id="rId2667" Type="http://schemas.openxmlformats.org/officeDocument/2006/relationships/hyperlink" Target="http://sumo.ly/13NuX" TargetMode="External"/><Relationship Id="rId3999" Type="http://schemas.openxmlformats.org/officeDocument/2006/relationships/hyperlink" Target="http://www.thecoachingisland.com" TargetMode="External"/><Relationship Id="rId1337" Type="http://schemas.openxmlformats.org/officeDocument/2006/relationships/hyperlink" Target="https://pbs.twimg.com/media/EOeupJJXUAAl1VO.jpg" TargetMode="External"/><Relationship Id="rId2668" Type="http://schemas.openxmlformats.org/officeDocument/2006/relationships/hyperlink" Target="https://www.themomkind.com" TargetMode="External"/><Relationship Id="rId3998" Type="http://schemas.openxmlformats.org/officeDocument/2006/relationships/hyperlink" Target="https://pbs.twimg.com/media/EOPl0xtXUAApJxA.jpg" TargetMode="External"/><Relationship Id="rId1338" Type="http://schemas.openxmlformats.org/officeDocument/2006/relationships/hyperlink" Target="https://depressioncongress.neurologyconference.com" TargetMode="External"/><Relationship Id="rId2669" Type="http://schemas.openxmlformats.org/officeDocument/2006/relationships/hyperlink" Target="http://pic.twitter.com/FTDT0kWe7F" TargetMode="External"/><Relationship Id="rId1339" Type="http://schemas.openxmlformats.org/officeDocument/2006/relationships/hyperlink" Target="https://pbs.twimg.com/media/EOeuYsaVAAAQKNP.jpg" TargetMode="External"/><Relationship Id="rId745" Type="http://schemas.openxmlformats.org/officeDocument/2006/relationships/hyperlink" Target="https://lttr.ai/MRrr" TargetMode="External"/><Relationship Id="rId744" Type="http://schemas.openxmlformats.org/officeDocument/2006/relationships/hyperlink" Target="http://www.mhamd.org" TargetMode="External"/><Relationship Id="rId743" Type="http://schemas.openxmlformats.org/officeDocument/2006/relationships/hyperlink" Target="http://pic.twitter.com/ApfaNyRI1B" TargetMode="External"/><Relationship Id="rId742" Type="http://schemas.openxmlformats.org/officeDocument/2006/relationships/hyperlink" Target="http://bit.ly/2NAZqsg" TargetMode="External"/><Relationship Id="rId749" Type="http://schemas.openxmlformats.org/officeDocument/2006/relationships/hyperlink" Target="https://www.linkedin.com/in/sachin-motwani/" TargetMode="External"/><Relationship Id="rId748" Type="http://schemas.openxmlformats.org/officeDocument/2006/relationships/hyperlink" Target="http://www.cclpodcast.com" TargetMode="External"/><Relationship Id="rId747" Type="http://schemas.openxmlformats.org/officeDocument/2006/relationships/hyperlink" Target="https://www.maxkirsten.com" TargetMode="External"/><Relationship Id="rId746" Type="http://schemas.openxmlformats.org/officeDocument/2006/relationships/hyperlink" Target="https://pbs.twimg.com/media/EOhIc9lWsAEslAL.jpg" TargetMode="External"/><Relationship Id="rId3991" Type="http://schemas.openxmlformats.org/officeDocument/2006/relationships/hyperlink" Target="http://www.som.org.uk" TargetMode="External"/><Relationship Id="rId2660" Type="http://schemas.openxmlformats.org/officeDocument/2006/relationships/hyperlink" Target="https://www.amazon.com/Mindfulness-Meditation-Made-Simple-Finding/dp/0990840506/" TargetMode="External"/><Relationship Id="rId3990" Type="http://schemas.openxmlformats.org/officeDocument/2006/relationships/hyperlink" Target="https://www.som.org.uk/civicrm/event/info" TargetMode="External"/><Relationship Id="rId741" Type="http://schemas.openxmlformats.org/officeDocument/2006/relationships/hyperlink" Target="https://crediblemind.com/articles/5-easy-ways-to-be-a-more-mindful-parent" TargetMode="External"/><Relationship Id="rId1330" Type="http://schemas.openxmlformats.org/officeDocument/2006/relationships/hyperlink" Target="http://gooo.io/mindfulorgmind" TargetMode="External"/><Relationship Id="rId2661" Type="http://schemas.openxmlformats.org/officeDocument/2006/relationships/hyperlink" Target="http://www.mindfulnessmeditationinstitute.org/" TargetMode="External"/><Relationship Id="rId3993" Type="http://schemas.openxmlformats.org/officeDocument/2006/relationships/hyperlink" Target="https://linktr.ee/bfastleadership" TargetMode="External"/><Relationship Id="rId740" Type="http://schemas.openxmlformats.org/officeDocument/2006/relationships/hyperlink" Target="http://www.mindfulnessmeditationinstitute.org/" TargetMode="External"/><Relationship Id="rId1331" Type="http://schemas.openxmlformats.org/officeDocument/2006/relationships/hyperlink" Target="https://pbs.twimg.com/media/EOZVy9lWsAI9XRw.jpg" TargetMode="External"/><Relationship Id="rId2662" Type="http://schemas.openxmlformats.org/officeDocument/2006/relationships/hyperlink" Target="http://bit.ly/2J9ex6Y" TargetMode="External"/><Relationship Id="rId3992" Type="http://schemas.openxmlformats.org/officeDocument/2006/relationships/hyperlink" Target="http://ow.ly/QViJ30q9nAN" TargetMode="External"/><Relationship Id="rId1332" Type="http://schemas.openxmlformats.org/officeDocument/2006/relationships/hyperlink" Target="http://granalix.com" TargetMode="External"/><Relationship Id="rId2663" Type="http://schemas.openxmlformats.org/officeDocument/2006/relationships/hyperlink" Target="http://www.aboutmybrain.com/i4methodology" TargetMode="External"/><Relationship Id="rId3995" Type="http://schemas.openxmlformats.org/officeDocument/2006/relationships/hyperlink" Target="http://cr.newhope.org" TargetMode="External"/><Relationship Id="rId1333" Type="http://schemas.openxmlformats.org/officeDocument/2006/relationships/hyperlink" Target="https://nyti.ms/37DrJ0B" TargetMode="External"/><Relationship Id="rId2664" Type="http://schemas.openxmlformats.org/officeDocument/2006/relationships/hyperlink" Target="http://ihealthtube.com" TargetMode="External"/><Relationship Id="rId3994" Type="http://schemas.openxmlformats.org/officeDocument/2006/relationships/hyperlink" Target="https://pbs.twimg.com/media/EOQa0TEX4AAe2-x.jpg" TargetMode="External"/><Relationship Id="rId1323" Type="http://schemas.openxmlformats.org/officeDocument/2006/relationships/hyperlink" Target="https://www.davidlimonline.com/blog/2020/1/1/the-first-priority-taking-care-of-yourself" TargetMode="External"/><Relationship Id="rId2654" Type="http://schemas.openxmlformats.org/officeDocument/2006/relationships/hyperlink" Target="http://ow.ly/hH1C30q9OEF" TargetMode="External"/><Relationship Id="rId3986" Type="http://schemas.openxmlformats.org/officeDocument/2006/relationships/hyperlink" Target="http://www.rufford-park-lodge.co.uk" TargetMode="External"/><Relationship Id="rId1324" Type="http://schemas.openxmlformats.org/officeDocument/2006/relationships/hyperlink" Target="https://www.davidlimonline.com" TargetMode="External"/><Relationship Id="rId2655" Type="http://schemas.openxmlformats.org/officeDocument/2006/relationships/hyperlink" Target="http://www.criticalhealth.org/" TargetMode="External"/><Relationship Id="rId3985" Type="http://schemas.openxmlformats.org/officeDocument/2006/relationships/hyperlink" Target="https://pbs.twimg.com/media/EOQcpUnW4AE_SXo.jpg" TargetMode="External"/><Relationship Id="rId1325" Type="http://schemas.openxmlformats.org/officeDocument/2006/relationships/hyperlink" Target="http://bit.ly/east-wing" TargetMode="External"/><Relationship Id="rId2656" Type="http://schemas.openxmlformats.org/officeDocument/2006/relationships/hyperlink" Target="https://www.linkedin.com/posts/inclean_how-to-manage-stress-through-challenging-activity-6623097653553172480-ZcTb" TargetMode="External"/><Relationship Id="rId3988" Type="http://schemas.openxmlformats.org/officeDocument/2006/relationships/hyperlink" Target="http://www.babyheartspress.com" TargetMode="External"/><Relationship Id="rId1326" Type="http://schemas.openxmlformats.org/officeDocument/2006/relationships/hyperlink" Target="https://pbs.twimg.com/media/EOexTHvWkAUiu4i.jpg" TargetMode="External"/><Relationship Id="rId2657" Type="http://schemas.openxmlformats.org/officeDocument/2006/relationships/hyperlink" Target="http://bscaa.com" TargetMode="External"/><Relationship Id="rId3987" Type="http://schemas.openxmlformats.org/officeDocument/2006/relationships/hyperlink" Target="https://www.spreaker.com/user/heart2heartannaandfriends/doctor-burnout-in-the-congenital-heart-d?autoplay=1" TargetMode="External"/><Relationship Id="rId1327" Type="http://schemas.openxmlformats.org/officeDocument/2006/relationships/hyperlink" Target="http://www.rufford-park-lodge.co.uk" TargetMode="External"/><Relationship Id="rId2658" Type="http://schemas.openxmlformats.org/officeDocument/2006/relationships/hyperlink" Target="http://www.soisfibromyalgiareal.com/i-have-fibromyalgiai-work-on-stressthe-fibromyalgia-and-stress-connection/" TargetMode="External"/><Relationship Id="rId1328" Type="http://schemas.openxmlformats.org/officeDocument/2006/relationships/hyperlink" Target="https://pbs.twimg.com/media/EOexR7XWsAA_Zu3.png" TargetMode="External"/><Relationship Id="rId2659" Type="http://schemas.openxmlformats.org/officeDocument/2006/relationships/hyperlink" Target="http://www.soisfibromyalgiareal.com" TargetMode="External"/><Relationship Id="rId3989" Type="http://schemas.openxmlformats.org/officeDocument/2006/relationships/hyperlink" Target="https://ifamilywellness.com/" TargetMode="External"/><Relationship Id="rId1329" Type="http://schemas.openxmlformats.org/officeDocument/2006/relationships/hyperlink" Target="http://www.habitsforwellbeing.com/" TargetMode="External"/><Relationship Id="rId739" Type="http://schemas.openxmlformats.org/officeDocument/2006/relationships/hyperlink" Target="https://mindfulnessmeditationinstitute.org/2016/07/10/how-does-relaxation-benefit-the-mind-and-body/" TargetMode="External"/><Relationship Id="rId734" Type="http://schemas.openxmlformats.org/officeDocument/2006/relationships/hyperlink" Target="https://pbs.twimg.com/media/EOhLwx3VUAMm3gy.jpg" TargetMode="External"/><Relationship Id="rId733" Type="http://schemas.openxmlformats.org/officeDocument/2006/relationships/hyperlink" Target="https://isrg.me/i8gk6s" TargetMode="External"/><Relationship Id="rId732" Type="http://schemas.openxmlformats.org/officeDocument/2006/relationships/hyperlink" Target="http://www.squidoo.com/shortcuts-to-happiness-lensography-" TargetMode="External"/><Relationship Id="rId731" Type="http://schemas.openxmlformats.org/officeDocument/2006/relationships/hyperlink" Target="http://bit.ly/TATAcp" TargetMode="External"/><Relationship Id="rId738" Type="http://schemas.openxmlformats.org/officeDocument/2006/relationships/hyperlink" Target="https://healthyfit07.blogspot.com" TargetMode="External"/><Relationship Id="rId737" Type="http://schemas.openxmlformats.org/officeDocument/2006/relationships/hyperlink" Target="https://pbs.twimg.com/media/EOhKpo5X4AImpWY.jpg" TargetMode="External"/><Relationship Id="rId736" Type="http://schemas.openxmlformats.org/officeDocument/2006/relationships/hyperlink" Target="https://healthyfit07.blogspot.com/2018/11/lifestyle-changes-to-improve-fertility.html" TargetMode="External"/><Relationship Id="rId735" Type="http://schemas.openxmlformats.org/officeDocument/2006/relationships/hyperlink" Target="http://isrg.me" TargetMode="External"/><Relationship Id="rId3980" Type="http://schemas.openxmlformats.org/officeDocument/2006/relationships/hyperlink" Target="https://pbs.twimg.com/media/EOQc1-0XkAA_oo7.jpg" TargetMode="External"/><Relationship Id="rId730" Type="http://schemas.openxmlformats.org/officeDocument/2006/relationships/hyperlink" Target="http://kyliezeal.com" TargetMode="External"/><Relationship Id="rId2650" Type="http://schemas.openxmlformats.org/officeDocument/2006/relationships/hyperlink" Target="https://pbs.twimg.com/media/EOXGmCZXsAUWF1M.jpg" TargetMode="External"/><Relationship Id="rId3982" Type="http://schemas.openxmlformats.org/officeDocument/2006/relationships/hyperlink" Target="http://bit.ly/3a4k0L9" TargetMode="External"/><Relationship Id="rId1320" Type="http://schemas.openxmlformats.org/officeDocument/2006/relationships/hyperlink" Target="https://pbs.twimg.com/media/EOexiZRX0AIdpex.jpg" TargetMode="External"/><Relationship Id="rId2651" Type="http://schemas.openxmlformats.org/officeDocument/2006/relationships/hyperlink" Target="http://leisuresurrender.com" TargetMode="External"/><Relationship Id="rId3981" Type="http://schemas.openxmlformats.org/officeDocument/2006/relationships/hyperlink" Target="http://www.bereavedfamilies.ca" TargetMode="External"/><Relationship Id="rId1321" Type="http://schemas.openxmlformats.org/officeDocument/2006/relationships/hyperlink" Target="https://pochattraining.co.uk/" TargetMode="External"/><Relationship Id="rId2652" Type="http://schemas.openxmlformats.org/officeDocument/2006/relationships/hyperlink" Target="https://pbs.twimg.com/media/EOXFcJGXsAIRRIR.jpg" TargetMode="External"/><Relationship Id="rId3984" Type="http://schemas.openxmlformats.org/officeDocument/2006/relationships/hyperlink" Target="http://bit.ly/east-wing" TargetMode="External"/><Relationship Id="rId1322" Type="http://schemas.openxmlformats.org/officeDocument/2006/relationships/hyperlink" Target="http://www.theidealworld.com" TargetMode="External"/><Relationship Id="rId2653" Type="http://schemas.openxmlformats.org/officeDocument/2006/relationships/hyperlink" Target="http://www.longbeachmeditation.org" TargetMode="External"/><Relationship Id="rId3983" Type="http://schemas.openxmlformats.org/officeDocument/2006/relationships/hyperlink" Target="http://www.lesaffaires.com/blogues/olivier-schmouker" TargetMode="External"/><Relationship Id="rId1356" Type="http://schemas.openxmlformats.org/officeDocument/2006/relationships/hyperlink" Target="https://www.epsychconnect.com/2019/11/what-is-fusion-and-defusion-and-how.html?spref=tw" TargetMode="External"/><Relationship Id="rId2687" Type="http://schemas.openxmlformats.org/officeDocument/2006/relationships/hyperlink" Target="https://pbs.twimg.com/media/EOW7KLJX0AM3nq3.jpg" TargetMode="External"/><Relationship Id="rId1357" Type="http://schemas.openxmlformats.org/officeDocument/2006/relationships/hyperlink" Target="http://www.epsychconnect.com" TargetMode="External"/><Relationship Id="rId2688" Type="http://schemas.openxmlformats.org/officeDocument/2006/relationships/hyperlink" Target="https://www.linkedin.com/in/gurneetdhami/" TargetMode="External"/><Relationship Id="rId1358" Type="http://schemas.openxmlformats.org/officeDocument/2006/relationships/hyperlink" Target="https://pbs.twimg.com/media/EOem2clWkAERwbx.jpg" TargetMode="External"/><Relationship Id="rId2689" Type="http://schemas.openxmlformats.org/officeDocument/2006/relationships/hyperlink" Target="https://parenting.nytimes.com/preschooler/why-kids-fight-getting-dressed?module=editors-picks&amp;action=click&amp;region=1" TargetMode="External"/><Relationship Id="rId1359" Type="http://schemas.openxmlformats.org/officeDocument/2006/relationships/hyperlink" Target="http://www.allaboutpeopleltd.co.uk/" TargetMode="External"/><Relationship Id="rId767" Type="http://schemas.openxmlformats.org/officeDocument/2006/relationships/hyperlink" Target="https://soundhealthoptions.com/sound-health-radio/" TargetMode="External"/><Relationship Id="rId766" Type="http://schemas.openxmlformats.org/officeDocument/2006/relationships/hyperlink" Target="https://eacpds.com" TargetMode="External"/><Relationship Id="rId765" Type="http://schemas.openxmlformats.org/officeDocument/2006/relationships/hyperlink" Target="https://eacpds.link/374z6hD" TargetMode="External"/><Relationship Id="rId764" Type="http://schemas.openxmlformats.org/officeDocument/2006/relationships/hyperlink" Target="http://www.managingmadesimple.com/about-us/" TargetMode="External"/><Relationship Id="rId769" Type="http://schemas.openxmlformats.org/officeDocument/2006/relationships/hyperlink" Target="http://www.soundhealthoptions.com" TargetMode="External"/><Relationship Id="rId768" Type="http://schemas.openxmlformats.org/officeDocument/2006/relationships/hyperlink" Target="https://pbs.twimg.com/media/EOg-EmYX4Ac97OM.png" TargetMode="External"/><Relationship Id="rId2680" Type="http://schemas.openxmlformats.org/officeDocument/2006/relationships/hyperlink" Target="http://www.selfhelpforyoursuccess.com" TargetMode="External"/><Relationship Id="rId1350" Type="http://schemas.openxmlformats.org/officeDocument/2006/relationships/hyperlink" Target="http://www.hrmagazine.co.uk" TargetMode="External"/><Relationship Id="rId2681" Type="http://schemas.openxmlformats.org/officeDocument/2006/relationships/hyperlink" Target="https://youtu.be/t6gw-C_p7ZM" TargetMode="External"/><Relationship Id="rId1351" Type="http://schemas.openxmlformats.org/officeDocument/2006/relationships/hyperlink" Target="https://www.calmpeople.co.uk/guarantee/" TargetMode="External"/><Relationship Id="rId2682" Type="http://schemas.openxmlformats.org/officeDocument/2006/relationships/hyperlink" Target="https://pbs.twimg.com/media/EOW890aUcAA13Jo.jpg" TargetMode="External"/><Relationship Id="rId763" Type="http://schemas.openxmlformats.org/officeDocument/2006/relationships/hyperlink" Target="https://womanready.com/" TargetMode="External"/><Relationship Id="rId1352" Type="http://schemas.openxmlformats.org/officeDocument/2006/relationships/hyperlink" Target="http://about.me/julian_hall" TargetMode="External"/><Relationship Id="rId2683" Type="http://schemas.openxmlformats.org/officeDocument/2006/relationships/hyperlink" Target="https://www.youtube.com/channel/UCi-pf_vutHWJmEY93LrIt7w?view_as=subscriber" TargetMode="External"/><Relationship Id="rId762" Type="http://schemas.openxmlformats.org/officeDocument/2006/relationships/hyperlink" Target="https://womanready.com/5-simple-self-care-tips-to-help-you-deal-with-overwhelm/" TargetMode="External"/><Relationship Id="rId1353" Type="http://schemas.openxmlformats.org/officeDocument/2006/relationships/hyperlink" Target="https://www.latestly.com/lifestyle/health-wellness/parents-take-note-air-pollution-stress-linked-to-thought-problems-in-kids-1475750.html" TargetMode="External"/><Relationship Id="rId2684" Type="http://schemas.openxmlformats.org/officeDocument/2006/relationships/hyperlink" Target="http://redbarnblankets.com" TargetMode="External"/><Relationship Id="rId761" Type="http://schemas.openxmlformats.org/officeDocument/2006/relationships/hyperlink" Target="http://www.womans.org" TargetMode="External"/><Relationship Id="rId1354" Type="http://schemas.openxmlformats.org/officeDocument/2006/relationships/hyperlink" Target="https://www.latestly.com" TargetMode="External"/><Relationship Id="rId2685" Type="http://schemas.openxmlformats.org/officeDocument/2006/relationships/hyperlink" Target="https://pbs.twimg.com/media/EOW8Zc9X0AEAcoA.jpg" TargetMode="External"/><Relationship Id="rId760" Type="http://schemas.openxmlformats.org/officeDocument/2006/relationships/hyperlink" Target="https://pbs.twimg.com/media/EOg-CmCWkAEZKPk.jpg" TargetMode="External"/><Relationship Id="rId1355" Type="http://schemas.openxmlformats.org/officeDocument/2006/relationships/hyperlink" Target="https://www.instagram.com/p/B7axVW1n6jX/?igshid=1amvssalk6avi" TargetMode="External"/><Relationship Id="rId2686" Type="http://schemas.openxmlformats.org/officeDocument/2006/relationships/hyperlink" Target="http://www.redbarnblankets.com" TargetMode="External"/><Relationship Id="rId1345" Type="http://schemas.openxmlformats.org/officeDocument/2006/relationships/hyperlink" Target="https://bit.ly/2G0RMTD" TargetMode="External"/><Relationship Id="rId2676" Type="http://schemas.openxmlformats.org/officeDocument/2006/relationships/hyperlink" Target="https://groomandstyle.com" TargetMode="External"/><Relationship Id="rId1346" Type="http://schemas.openxmlformats.org/officeDocument/2006/relationships/hyperlink" Target="https://pbs.twimg.com/media/EOep0zZXsAEklPk.jpg" TargetMode="External"/><Relationship Id="rId2677" Type="http://schemas.openxmlformats.org/officeDocument/2006/relationships/hyperlink" Target="https://news.umbc.edu/umbc-researchers-work-to-support-first-responders-through-nsf-funded-stress-response-technology/" TargetMode="External"/><Relationship Id="rId1347" Type="http://schemas.openxmlformats.org/officeDocument/2006/relationships/hyperlink" Target="http://www.mylondonworks.co.uk" TargetMode="External"/><Relationship Id="rId2678" Type="http://schemas.openxmlformats.org/officeDocument/2006/relationships/hyperlink" Target="http://www.jleejenkins.com" TargetMode="External"/><Relationship Id="rId1348" Type="http://schemas.openxmlformats.org/officeDocument/2006/relationships/hyperlink" Target="http://bit.ly/2RjJ2gA" TargetMode="External"/><Relationship Id="rId2679" Type="http://schemas.openxmlformats.org/officeDocument/2006/relationships/hyperlink" Target="http://goo.gl/vgyQe5" TargetMode="External"/><Relationship Id="rId1349" Type="http://schemas.openxmlformats.org/officeDocument/2006/relationships/hyperlink" Target="https://pbs.twimg.com/media/EOepwJiXUAEhZOl.jpg" TargetMode="External"/><Relationship Id="rId756" Type="http://schemas.openxmlformats.org/officeDocument/2006/relationships/hyperlink" Target="http://markfrisk.com" TargetMode="External"/><Relationship Id="rId755" Type="http://schemas.openxmlformats.org/officeDocument/2006/relationships/hyperlink" Target="https://pbs.twimg.com/media/EOhAsKaWoAAuY8k.jpg" TargetMode="External"/><Relationship Id="rId754" Type="http://schemas.openxmlformats.org/officeDocument/2006/relationships/hyperlink" Target="https://frisk.in/3ahb3hP" TargetMode="External"/><Relationship Id="rId753" Type="http://schemas.openxmlformats.org/officeDocument/2006/relationships/hyperlink" Target="http://ericmcroy.com" TargetMode="External"/><Relationship Id="rId759" Type="http://schemas.openxmlformats.org/officeDocument/2006/relationships/hyperlink" Target="http://bit.ly/2smiRh9" TargetMode="External"/><Relationship Id="rId758" Type="http://schemas.openxmlformats.org/officeDocument/2006/relationships/hyperlink" Target="http://www.insightsts.com" TargetMode="External"/><Relationship Id="rId757" Type="http://schemas.openxmlformats.org/officeDocument/2006/relationships/hyperlink" Target="https://pbs.twimg.com/media/EOg-uzgX4AY4CKx.png" TargetMode="External"/><Relationship Id="rId2670" Type="http://schemas.openxmlformats.org/officeDocument/2006/relationships/hyperlink" Target="https://wethingtonarts.com" TargetMode="External"/><Relationship Id="rId1340" Type="http://schemas.openxmlformats.org/officeDocument/2006/relationships/hyperlink" Target="http://snip.ly/96rmq" TargetMode="External"/><Relationship Id="rId2671" Type="http://schemas.openxmlformats.org/officeDocument/2006/relationships/hyperlink" Target="http://www.theherbalgardens.com" TargetMode="External"/><Relationship Id="rId752" Type="http://schemas.openxmlformats.org/officeDocument/2006/relationships/hyperlink" Target="https://pbs.twimg.com/media/EOhErkfW4AEk0Me.png" TargetMode="External"/><Relationship Id="rId1341" Type="http://schemas.openxmlformats.org/officeDocument/2006/relationships/hyperlink" Target="https://pbs.twimg.com/media/EOes2mmXsAEuId9.jpg" TargetMode="External"/><Relationship Id="rId2672" Type="http://schemas.openxmlformats.org/officeDocument/2006/relationships/hyperlink" Target="http://bit.ly/2Rksjvf" TargetMode="External"/><Relationship Id="rId751" Type="http://schemas.openxmlformats.org/officeDocument/2006/relationships/hyperlink" Target="https://buff.ly/2EeaHth" TargetMode="External"/><Relationship Id="rId1342" Type="http://schemas.openxmlformats.org/officeDocument/2006/relationships/hyperlink" Target="http://anthonyclarkmusic.com" TargetMode="External"/><Relationship Id="rId2673" Type="http://schemas.openxmlformats.org/officeDocument/2006/relationships/hyperlink" Target="https://www.inova.org" TargetMode="External"/><Relationship Id="rId750" Type="http://schemas.openxmlformats.org/officeDocument/2006/relationships/hyperlink" Target="https://www.sciencedaily.com/releases/2019/10/191030073326.htm" TargetMode="External"/><Relationship Id="rId1343" Type="http://schemas.openxmlformats.org/officeDocument/2006/relationships/hyperlink" Target="https://twitter.com/theempathybiz/status/1217236063837659136" TargetMode="External"/><Relationship Id="rId2674" Type="http://schemas.openxmlformats.org/officeDocument/2006/relationships/hyperlink" Target="https://qarrot.com/blog/is-stress-affecting-your-workplace/" TargetMode="External"/><Relationship Id="rId1344" Type="http://schemas.openxmlformats.org/officeDocument/2006/relationships/hyperlink" Target="http://theempathybusiness.co.uk" TargetMode="External"/><Relationship Id="rId2675" Type="http://schemas.openxmlformats.org/officeDocument/2006/relationships/hyperlink" Target="https://pbs.twimg.com/media/EOW-J3SWsAAaPSp.jpg" TargetMode="External"/><Relationship Id="rId2621" Type="http://schemas.openxmlformats.org/officeDocument/2006/relationships/hyperlink" Target="http://ow.ly/vC6H50uzqAx" TargetMode="External"/><Relationship Id="rId3953" Type="http://schemas.openxmlformats.org/officeDocument/2006/relationships/hyperlink" Target="https://pbs.twimg.com/media/EOQgmEsWAAAdEXK.jpg" TargetMode="External"/><Relationship Id="rId2622" Type="http://schemas.openxmlformats.org/officeDocument/2006/relationships/hyperlink" Target="https://pbs.twimg.com/media/EOXUOXWWkAcjY6P.jpg" TargetMode="External"/><Relationship Id="rId3952" Type="http://schemas.openxmlformats.org/officeDocument/2006/relationships/hyperlink" Target="http://csamsandiego.com" TargetMode="External"/><Relationship Id="rId2623" Type="http://schemas.openxmlformats.org/officeDocument/2006/relationships/hyperlink" Target="http://www.thedoctorweighsin.com" TargetMode="External"/><Relationship Id="rId3955" Type="http://schemas.openxmlformats.org/officeDocument/2006/relationships/hyperlink" Target="https://pbs.twimg.com/media/EOQgYesWkAciKlg.jpg" TargetMode="External"/><Relationship Id="rId2624" Type="http://schemas.openxmlformats.org/officeDocument/2006/relationships/hyperlink" Target="https://mindset-for-success.org/shopping/tools-pdfs/?utm_campaign=meetedgar&amp;utm_medium=social&amp;utm_source=meetedgar.com" TargetMode="External"/><Relationship Id="rId3954" Type="http://schemas.openxmlformats.org/officeDocument/2006/relationships/hyperlink" Target="http://squishsupport.com" TargetMode="External"/><Relationship Id="rId2625" Type="http://schemas.openxmlformats.org/officeDocument/2006/relationships/hyperlink" Target="http://bit.ly/35YragO" TargetMode="External"/><Relationship Id="rId3957" Type="http://schemas.openxmlformats.org/officeDocument/2006/relationships/hyperlink" Target="https://pbs.twimg.com/media/EOQgGblXsAASIBR.png" TargetMode="External"/><Relationship Id="rId2626" Type="http://schemas.openxmlformats.org/officeDocument/2006/relationships/hyperlink" Target="https://pbs.twimg.com/media/EOXTpvMXsAA83L8.jpg" TargetMode="External"/><Relationship Id="rId3956" Type="http://schemas.openxmlformats.org/officeDocument/2006/relationships/hyperlink" Target="http://www.gfk.com/en-us" TargetMode="External"/><Relationship Id="rId2627" Type="http://schemas.openxmlformats.org/officeDocument/2006/relationships/hyperlink" Target="http://www.livingwellfamilychiropractic.com" TargetMode="External"/><Relationship Id="rId3959" Type="http://schemas.openxmlformats.org/officeDocument/2006/relationships/hyperlink" Target="http://peacefires.org" TargetMode="External"/><Relationship Id="rId2628" Type="http://schemas.openxmlformats.org/officeDocument/2006/relationships/hyperlink" Target="http://bit.ly/3a9XC35" TargetMode="External"/><Relationship Id="rId3958" Type="http://schemas.openxmlformats.org/officeDocument/2006/relationships/hyperlink" Target="http://linktr.ee/mpoweredcircle" TargetMode="External"/><Relationship Id="rId709" Type="http://schemas.openxmlformats.org/officeDocument/2006/relationships/hyperlink" Target="https://www.twitch.tv/coy_boye" TargetMode="External"/><Relationship Id="rId2629" Type="http://schemas.openxmlformats.org/officeDocument/2006/relationships/hyperlink" Target="http://www.paulchristomd.com" TargetMode="External"/><Relationship Id="rId708" Type="http://schemas.openxmlformats.org/officeDocument/2006/relationships/hyperlink" Target="https://pbs.twimg.com/media/EOhWZEkXUAAe9yy.jpg" TargetMode="External"/><Relationship Id="rId707" Type="http://schemas.openxmlformats.org/officeDocument/2006/relationships/hyperlink" Target="https://twitch.tv/coy_boye" TargetMode="External"/><Relationship Id="rId706" Type="http://schemas.openxmlformats.org/officeDocument/2006/relationships/hyperlink" Target="https://www.linkedin.com/pub/albert-fong/1/8a2/a25" TargetMode="External"/><Relationship Id="rId701" Type="http://schemas.openxmlformats.org/officeDocument/2006/relationships/hyperlink" Target="https://pbs.twimg.com/media/EOhZoCaXUAADZ5J.jpg" TargetMode="External"/><Relationship Id="rId700" Type="http://schemas.openxmlformats.org/officeDocument/2006/relationships/hyperlink" Target="https://medium.com/@edy1nathan/dealing-with-grief-daily-e2a5ddec010a" TargetMode="External"/><Relationship Id="rId705" Type="http://schemas.openxmlformats.org/officeDocument/2006/relationships/hyperlink" Target="https://www.washingtonpost.com/business/2020/01/16/legos-toys-for-stressed-adults/" TargetMode="External"/><Relationship Id="rId704" Type="http://schemas.openxmlformats.org/officeDocument/2006/relationships/hyperlink" Target="http://www.quick-good-fortune.com" TargetMode="External"/><Relationship Id="rId703" Type="http://schemas.openxmlformats.org/officeDocument/2006/relationships/hyperlink" Target="http://bit.ly/SFRel" TargetMode="External"/><Relationship Id="rId702" Type="http://schemas.openxmlformats.org/officeDocument/2006/relationships/hyperlink" Target="http://www.edynathan.com" TargetMode="External"/><Relationship Id="rId3951" Type="http://schemas.openxmlformats.org/officeDocument/2006/relationships/hyperlink" Target="http://ow.ly/V4iJ50xUGE8" TargetMode="External"/><Relationship Id="rId2620" Type="http://schemas.openxmlformats.org/officeDocument/2006/relationships/hyperlink" Target="http://www.insperity.com" TargetMode="External"/><Relationship Id="rId3950" Type="http://schemas.openxmlformats.org/officeDocument/2006/relationships/hyperlink" Target="http://www.coachingandlife.com" TargetMode="External"/><Relationship Id="rId2610" Type="http://schemas.openxmlformats.org/officeDocument/2006/relationships/hyperlink" Target="http://hlty.us/7MfL" TargetMode="External"/><Relationship Id="rId3942" Type="http://schemas.openxmlformats.org/officeDocument/2006/relationships/hyperlink" Target="https://buff.ly/2tkFiU3" TargetMode="External"/><Relationship Id="rId2611" Type="http://schemas.openxmlformats.org/officeDocument/2006/relationships/hyperlink" Target="https://pbs.twimg.com/media/EOXZQPyX4AQ9OyM.jpg" TargetMode="External"/><Relationship Id="rId3941" Type="http://schemas.openxmlformats.org/officeDocument/2006/relationships/hyperlink" Target="https://www.algaecal.com" TargetMode="External"/><Relationship Id="rId2612" Type="http://schemas.openxmlformats.org/officeDocument/2006/relationships/hyperlink" Target="http://www.poche.juiceplus.com" TargetMode="External"/><Relationship Id="rId3944" Type="http://schemas.openxmlformats.org/officeDocument/2006/relationships/hyperlink" Target="https://employeebenefits.co.uk/eugene-farrell-stress-business-2020/" TargetMode="External"/><Relationship Id="rId2613" Type="http://schemas.openxmlformats.org/officeDocument/2006/relationships/hyperlink" Target="https://mindfulnessmeditation.thinkific.com" TargetMode="External"/><Relationship Id="rId3943" Type="http://schemas.openxmlformats.org/officeDocument/2006/relationships/hyperlink" Target="https://pbs.twimg.com/media/EOQjmGXWsAA0gtA.jpg" TargetMode="External"/><Relationship Id="rId2614" Type="http://schemas.openxmlformats.org/officeDocument/2006/relationships/hyperlink" Target="http://www.mindfulnessmeditationinstitute.org/" TargetMode="External"/><Relationship Id="rId3946" Type="http://schemas.openxmlformats.org/officeDocument/2006/relationships/hyperlink" Target="http://www.employeebenefits.co.uk" TargetMode="External"/><Relationship Id="rId2615" Type="http://schemas.openxmlformats.org/officeDocument/2006/relationships/hyperlink" Target="https://lttr.ai/MNFV" TargetMode="External"/><Relationship Id="rId3945" Type="http://schemas.openxmlformats.org/officeDocument/2006/relationships/hyperlink" Target="https://pbs.twimg.com/media/EOQjgvKWkAEi0A3.jpg" TargetMode="External"/><Relationship Id="rId2616" Type="http://schemas.openxmlformats.org/officeDocument/2006/relationships/hyperlink" Target="https://pbs.twimg.com/media/EOXXcwnWoAIExlP.jpg" TargetMode="External"/><Relationship Id="rId3948" Type="http://schemas.openxmlformats.org/officeDocument/2006/relationships/hyperlink" Target="http://www.southernmomloves.com" TargetMode="External"/><Relationship Id="rId2617" Type="http://schemas.openxmlformats.org/officeDocument/2006/relationships/hyperlink" Target="http://www.theanxioustravelers.com" TargetMode="External"/><Relationship Id="rId3947" Type="http://schemas.openxmlformats.org/officeDocument/2006/relationships/hyperlink" Target="http://www.southernmomloves.com/2020/01/self-care-tips-to-stress-less-in-new.html" TargetMode="External"/><Relationship Id="rId2618" Type="http://schemas.openxmlformats.org/officeDocument/2006/relationships/hyperlink" Target="http://www.dijlekoont.com" TargetMode="External"/><Relationship Id="rId2619" Type="http://schemas.openxmlformats.org/officeDocument/2006/relationships/hyperlink" Target="http://ow.ly/hBwo30q7gNa" TargetMode="External"/><Relationship Id="rId3949" Type="http://schemas.openxmlformats.org/officeDocument/2006/relationships/hyperlink" Target="http://pic.twitter.com/4euRU7CBer" TargetMode="External"/><Relationship Id="rId3940" Type="http://schemas.openxmlformats.org/officeDocument/2006/relationships/hyperlink" Target="http://ow.ly/xnwu30lIyr2" TargetMode="External"/><Relationship Id="rId1312" Type="http://schemas.openxmlformats.org/officeDocument/2006/relationships/hyperlink" Target="https://lttr.ai/MQLp" TargetMode="External"/><Relationship Id="rId2643" Type="http://schemas.openxmlformats.org/officeDocument/2006/relationships/hyperlink" Target="https://pbs.twimg.com/media/EOXHgcJW4AArAE8.jpg" TargetMode="External"/><Relationship Id="rId3975" Type="http://schemas.openxmlformats.org/officeDocument/2006/relationships/hyperlink" Target="http://redcrow.com" TargetMode="External"/><Relationship Id="rId1313" Type="http://schemas.openxmlformats.org/officeDocument/2006/relationships/hyperlink" Target="https://pbs.twimg.com/media/EOe0nhUWsAADJDX.jpg" TargetMode="External"/><Relationship Id="rId2644" Type="http://schemas.openxmlformats.org/officeDocument/2006/relationships/hyperlink" Target="http://anthonyclarkmusic.com" TargetMode="External"/><Relationship Id="rId3974" Type="http://schemas.openxmlformats.org/officeDocument/2006/relationships/hyperlink" Target="https://pbs.twimg.com/media/EOQdHnAWoAEPgzp.png" TargetMode="External"/><Relationship Id="rId1314" Type="http://schemas.openxmlformats.org/officeDocument/2006/relationships/hyperlink" Target="http://www.luvandlifestyle.com" TargetMode="External"/><Relationship Id="rId2645" Type="http://schemas.openxmlformats.org/officeDocument/2006/relationships/hyperlink" Target="http://happyhands.toys" TargetMode="External"/><Relationship Id="rId3977" Type="http://schemas.openxmlformats.org/officeDocument/2006/relationships/hyperlink" Target="https://www.bethfratesmd.com/" TargetMode="External"/><Relationship Id="rId1315" Type="http://schemas.openxmlformats.org/officeDocument/2006/relationships/hyperlink" Target="https://scribblingsofapsychotherapist.blogspot.com/2020/01/friday-facts-stress.html" TargetMode="External"/><Relationship Id="rId2646" Type="http://schemas.openxmlformats.org/officeDocument/2006/relationships/hyperlink" Target="http://bit.ly/2xldgVP" TargetMode="External"/><Relationship Id="rId3976" Type="http://schemas.openxmlformats.org/officeDocument/2006/relationships/hyperlink" Target="https://pbs.twimg.com/media/EOQc8pwWoAcrbcF.jpg" TargetMode="External"/><Relationship Id="rId1316" Type="http://schemas.openxmlformats.org/officeDocument/2006/relationships/hyperlink" Target="https://pbs.twimg.com/media/EOeyQSqWAAISRZR.jpg" TargetMode="External"/><Relationship Id="rId2647" Type="http://schemas.openxmlformats.org/officeDocument/2006/relationships/hyperlink" Target="https://pbs.twimg.com/media/EOXHD9zX0AIrbpg.jpg" TargetMode="External"/><Relationship Id="rId3979" Type="http://schemas.openxmlformats.org/officeDocument/2006/relationships/hyperlink" Target="http://www.lifesaverser.com" TargetMode="External"/><Relationship Id="rId1317" Type="http://schemas.openxmlformats.org/officeDocument/2006/relationships/hyperlink" Target="https://www.eatingdisorderscotland.co.uk" TargetMode="External"/><Relationship Id="rId2648" Type="http://schemas.openxmlformats.org/officeDocument/2006/relationships/hyperlink" Target="http://www.franksonnenbergonline.com" TargetMode="External"/><Relationship Id="rId3978" Type="http://schemas.openxmlformats.org/officeDocument/2006/relationships/hyperlink" Target="https://pbs.twimg.com/media/EOQc7olXkAEaWD2.jpg" TargetMode="External"/><Relationship Id="rId1318" Type="http://schemas.openxmlformats.org/officeDocument/2006/relationships/hyperlink" Target="https://pbs.twimg.com/media/EOeyB5fVAAEysaA.jpg" TargetMode="External"/><Relationship Id="rId2649" Type="http://schemas.openxmlformats.org/officeDocument/2006/relationships/hyperlink" Target="https://leisuresurrender.com/leisure-challenge/" TargetMode="External"/><Relationship Id="rId1319" Type="http://schemas.openxmlformats.org/officeDocument/2006/relationships/hyperlink" Target="https://www.unfoldu.com/" TargetMode="External"/><Relationship Id="rId729" Type="http://schemas.openxmlformats.org/officeDocument/2006/relationships/hyperlink" Target="https://beanstalkmums.com.au/how-to-make-good-decisions-that-you-dont-worry-about-later/" TargetMode="External"/><Relationship Id="rId728" Type="http://schemas.openxmlformats.org/officeDocument/2006/relationships/hyperlink" Target="https://www.boosthealthinsurance.com" TargetMode="External"/><Relationship Id="rId723" Type="http://schemas.openxmlformats.org/officeDocument/2006/relationships/hyperlink" Target="https://www.youtube.com/channel/UC8jR3pUyWq-SBE_OaXF5GAg/featured?view_as=subscriber" TargetMode="External"/><Relationship Id="rId722" Type="http://schemas.openxmlformats.org/officeDocument/2006/relationships/hyperlink" Target="https://www.instagram.com/p/B7cFSl_p4JP/?igshid=11lkv5kf62z87" TargetMode="External"/><Relationship Id="rId721" Type="http://schemas.openxmlformats.org/officeDocument/2006/relationships/hyperlink" Target="https://www.snscourses.com" TargetMode="External"/><Relationship Id="rId720" Type="http://schemas.openxmlformats.org/officeDocument/2006/relationships/hyperlink" Target="http://www.pcosvitality.com/" TargetMode="External"/><Relationship Id="rId727" Type="http://schemas.openxmlformats.org/officeDocument/2006/relationships/hyperlink" Target="https://pbs.twimg.com/media/EOhM865X4AAVsZu.jpg" TargetMode="External"/><Relationship Id="rId726" Type="http://schemas.openxmlformats.org/officeDocument/2006/relationships/hyperlink" Target="http://bit.ly/2jpNCcX" TargetMode="External"/><Relationship Id="rId725" Type="http://schemas.openxmlformats.org/officeDocument/2006/relationships/hyperlink" Target="http://thenaturalhealthblogger.com" TargetMode="External"/><Relationship Id="rId724" Type="http://schemas.openxmlformats.org/officeDocument/2006/relationships/hyperlink" Target="http://thenaturalhealthblogger.com/2019/07/21/the-evidence-based-health-benefits-of-earthing-grounding/" TargetMode="External"/><Relationship Id="rId3971" Type="http://schemas.openxmlformats.org/officeDocument/2006/relationships/hyperlink" Target="https://pbs.twimg.com/media/EOQdxOtW4AcXTxm.jpg" TargetMode="External"/><Relationship Id="rId2640" Type="http://schemas.openxmlformats.org/officeDocument/2006/relationships/hyperlink" Target="https://youtu.be/hTwscfBytKI" TargetMode="External"/><Relationship Id="rId3970" Type="http://schemas.openxmlformats.org/officeDocument/2006/relationships/hyperlink" Target="https://gleeyoga.com" TargetMode="External"/><Relationship Id="rId1310" Type="http://schemas.openxmlformats.org/officeDocument/2006/relationships/hyperlink" Target="https://kalingatv.com/miscellany/air-pollution-stress-linked-to-thought-problems-in-kids/" TargetMode="External"/><Relationship Id="rId2641" Type="http://schemas.openxmlformats.org/officeDocument/2006/relationships/hyperlink" Target="http://instagram.com/kayjourneytobridesmaid" TargetMode="External"/><Relationship Id="rId3973" Type="http://schemas.openxmlformats.org/officeDocument/2006/relationships/hyperlink" Target="http://ow.ly/twuF50xOrIO" TargetMode="External"/><Relationship Id="rId1311" Type="http://schemas.openxmlformats.org/officeDocument/2006/relationships/hyperlink" Target="http://kalingatv.com" TargetMode="External"/><Relationship Id="rId2642" Type="http://schemas.openxmlformats.org/officeDocument/2006/relationships/hyperlink" Target="http://snip.ly/49w6c" TargetMode="External"/><Relationship Id="rId3972" Type="http://schemas.openxmlformats.org/officeDocument/2006/relationships/hyperlink" Target="http://www.cohenveteransnetwork.org/" TargetMode="External"/><Relationship Id="rId1301" Type="http://schemas.openxmlformats.org/officeDocument/2006/relationships/hyperlink" Target="http://www.pink-spaghetti.co.uk" TargetMode="External"/><Relationship Id="rId2632" Type="http://schemas.openxmlformats.org/officeDocument/2006/relationships/hyperlink" Target="http://www.30seconds.com" TargetMode="External"/><Relationship Id="rId3964" Type="http://schemas.openxmlformats.org/officeDocument/2006/relationships/hyperlink" Target="https://pbs.twimg.com/media/EOQesrZXUAAOsr3.jpg" TargetMode="External"/><Relationship Id="rId1302" Type="http://schemas.openxmlformats.org/officeDocument/2006/relationships/hyperlink" Target="https://www.sciencedirect.com/science/article/abs/pii/S0195666319310098?via%3Dihub" TargetMode="External"/><Relationship Id="rId2633" Type="http://schemas.openxmlformats.org/officeDocument/2006/relationships/hyperlink" Target="http://ow.ly/1xEC50xwgH3" TargetMode="External"/><Relationship Id="rId3963" Type="http://schemas.openxmlformats.org/officeDocument/2006/relationships/hyperlink" Target="http://atexansfitness.com/2020/01/14/food-journal/" TargetMode="External"/><Relationship Id="rId1303" Type="http://schemas.openxmlformats.org/officeDocument/2006/relationships/hyperlink" Target="http://www.cdrl.kines.umich.edu" TargetMode="External"/><Relationship Id="rId2634" Type="http://schemas.openxmlformats.org/officeDocument/2006/relationships/hyperlink" Target="http://masteryquadrant.com" TargetMode="External"/><Relationship Id="rId3966" Type="http://schemas.openxmlformats.org/officeDocument/2006/relationships/hyperlink" Target="http://pic.twitter.com/HTyOYLKHpj" TargetMode="External"/><Relationship Id="rId1304" Type="http://schemas.openxmlformats.org/officeDocument/2006/relationships/hyperlink" Target="http://ht.ly/AeKN30qa9Mc" TargetMode="External"/><Relationship Id="rId2635" Type="http://schemas.openxmlformats.org/officeDocument/2006/relationships/hyperlink" Target="https://kingsumo.com/g/9agctd/giveaway-january-2020/m27d4j7" TargetMode="External"/><Relationship Id="rId3965" Type="http://schemas.openxmlformats.org/officeDocument/2006/relationships/hyperlink" Target="http://atexansfitness.com" TargetMode="External"/><Relationship Id="rId1305" Type="http://schemas.openxmlformats.org/officeDocument/2006/relationships/hyperlink" Target="http://www.fusion-spaces.com" TargetMode="External"/><Relationship Id="rId2636" Type="http://schemas.openxmlformats.org/officeDocument/2006/relationships/hyperlink" Target="https://www.facebook.com/mike.bratek?ref=tn_tnmn" TargetMode="External"/><Relationship Id="rId3968" Type="http://schemas.openxmlformats.org/officeDocument/2006/relationships/hyperlink" Target="https://gleeyoga.com/gleeyoga-anti-aging.php" TargetMode="External"/><Relationship Id="rId1306" Type="http://schemas.openxmlformats.org/officeDocument/2006/relationships/hyperlink" Target="https://pbs.twimg.com/media/EOQUVmXX0AAHStA.jpg" TargetMode="External"/><Relationship Id="rId2637" Type="http://schemas.openxmlformats.org/officeDocument/2006/relationships/hyperlink" Target="https://www.cleveland19.com/2020/01/15/cleveland-ems-union-fights-ptsd-support-protests-held-downtown/" TargetMode="External"/><Relationship Id="rId3967" Type="http://schemas.openxmlformats.org/officeDocument/2006/relationships/hyperlink" Target="https://pbs.twimg.com/media/EOQePf0XsAACgGP.jpg" TargetMode="External"/><Relationship Id="rId1307" Type="http://schemas.openxmlformats.org/officeDocument/2006/relationships/hyperlink" Target="https://lttr.ai/MQL1" TargetMode="External"/><Relationship Id="rId2638" Type="http://schemas.openxmlformats.org/officeDocument/2006/relationships/hyperlink" Target="https://buff.ly/2tVKzl6" TargetMode="External"/><Relationship Id="rId1308" Type="http://schemas.openxmlformats.org/officeDocument/2006/relationships/hyperlink" Target="https://pbs.twimg.com/media/EOe01nnXkAIOacF.png" TargetMode="External"/><Relationship Id="rId2639" Type="http://schemas.openxmlformats.org/officeDocument/2006/relationships/hyperlink" Target="https://pbs.twimg.com/media/EOXKchZXsAANrF-.jpg" TargetMode="External"/><Relationship Id="rId3969" Type="http://schemas.openxmlformats.org/officeDocument/2006/relationships/hyperlink" Target="https://pbs.twimg.com/media/EOQd_HUU8AAE3n7.png" TargetMode="External"/><Relationship Id="rId1309" Type="http://schemas.openxmlformats.org/officeDocument/2006/relationships/hyperlink" Target="http://jmkthought.blogspot.com/" TargetMode="External"/><Relationship Id="rId719" Type="http://schemas.openxmlformats.org/officeDocument/2006/relationships/hyperlink" Target="https://pbs.twimg.com/media/EOhPxMjWAAIlywD.jpg" TargetMode="External"/><Relationship Id="rId718" Type="http://schemas.openxmlformats.org/officeDocument/2006/relationships/hyperlink" Target="http://rickvandedood.com" TargetMode="External"/><Relationship Id="rId717" Type="http://schemas.openxmlformats.org/officeDocument/2006/relationships/hyperlink" Target="http://www.thelymearmy.org" TargetMode="External"/><Relationship Id="rId712" Type="http://schemas.openxmlformats.org/officeDocument/2006/relationships/hyperlink" Target="http://anthonyclarkmusic.com" TargetMode="External"/><Relationship Id="rId711" Type="http://schemas.openxmlformats.org/officeDocument/2006/relationships/hyperlink" Target="https://pbs.twimg.com/media/EOhWL9cX0AAZjd_.jpg" TargetMode="External"/><Relationship Id="rId710" Type="http://schemas.openxmlformats.org/officeDocument/2006/relationships/hyperlink" Target="http://snip.ly/5gpbh" TargetMode="External"/><Relationship Id="rId716" Type="http://schemas.openxmlformats.org/officeDocument/2006/relationships/hyperlink" Target="https://www.instagram.com/p/B7cG3H7g8iZ/?igshid=spe4tzh625cx" TargetMode="External"/><Relationship Id="rId715" Type="http://schemas.openxmlformats.org/officeDocument/2006/relationships/hyperlink" Target="http://www.theherbalgardens.com" TargetMode="External"/><Relationship Id="rId714" Type="http://schemas.openxmlformats.org/officeDocument/2006/relationships/hyperlink" Target="http://happyhands.toys" TargetMode="External"/><Relationship Id="rId713" Type="http://schemas.openxmlformats.org/officeDocument/2006/relationships/hyperlink" Target="http://bit.ly/2kiUD35" TargetMode="External"/><Relationship Id="rId3960" Type="http://schemas.openxmlformats.org/officeDocument/2006/relationships/hyperlink" Target="https://pbs.twimg.com/media/EOQgE2NXkAAzWuN.jpg" TargetMode="External"/><Relationship Id="rId2630" Type="http://schemas.openxmlformats.org/officeDocument/2006/relationships/hyperlink" Target="https://pbs.twimg.com/media/EOXPwvUX0AIuVb8.jpg" TargetMode="External"/><Relationship Id="rId3962" Type="http://schemas.openxmlformats.org/officeDocument/2006/relationships/hyperlink" Target="https://pbs.twimg.com/media/EOQe5qwXUAEBhrp.jpg" TargetMode="External"/><Relationship Id="rId1300" Type="http://schemas.openxmlformats.org/officeDocument/2006/relationships/hyperlink" Target="http://www.truepotential.fi" TargetMode="External"/><Relationship Id="rId2631" Type="http://schemas.openxmlformats.org/officeDocument/2006/relationships/hyperlink" Target="https://30secondmom.com/tip/12112/Stressed-About-Planning-Your-Wedding-Heres-How-to-Have-It-All-Save-Money-Wear-Your-Dress-Twice" TargetMode="External"/><Relationship Id="rId3961" Type="http://schemas.openxmlformats.org/officeDocument/2006/relationships/hyperlink" Target="http://www.peacefires.org" TargetMode="External"/><Relationship Id="rId3117" Type="http://schemas.openxmlformats.org/officeDocument/2006/relationships/hyperlink" Target="https://www.peoplemanagement.co.uk/news/articles/holland-and-barrett-constructively-unfairly-dismissed-disabled-manager" TargetMode="External"/><Relationship Id="rId4448" Type="http://schemas.openxmlformats.org/officeDocument/2006/relationships/hyperlink" Target="https://pbs.twimg.com/media/EOOgJW9XsAA7ico.jpg" TargetMode="External"/><Relationship Id="rId3116" Type="http://schemas.openxmlformats.org/officeDocument/2006/relationships/hyperlink" Target="http://www.psychiatrictimes.com" TargetMode="External"/><Relationship Id="rId4447" Type="http://schemas.openxmlformats.org/officeDocument/2006/relationships/hyperlink" Target="https://bit.ly/2PYbrtl" TargetMode="External"/><Relationship Id="rId3119" Type="http://schemas.openxmlformats.org/officeDocument/2006/relationships/hyperlink" Target="https://www.thestar.com/politics/political-opinion/2020/01/14/heres-why-men-still-get-paid-more-than-women.html" TargetMode="External"/><Relationship Id="rId3118" Type="http://schemas.openxmlformats.org/officeDocument/2006/relationships/hyperlink" Target="http://vrassociationuk.com" TargetMode="External"/><Relationship Id="rId4449" Type="http://schemas.openxmlformats.org/officeDocument/2006/relationships/hyperlink" Target="http://rcl.ink/C5" TargetMode="External"/><Relationship Id="rId4440" Type="http://schemas.openxmlformats.org/officeDocument/2006/relationships/hyperlink" Target="https://pbs.twimg.com/media/EOOiYm1XsAALMZs.jpg" TargetMode="External"/><Relationship Id="rId3111" Type="http://schemas.openxmlformats.org/officeDocument/2006/relationships/hyperlink" Target="https://pbs.twimg.com/media/EOVQLoPWoAAX5EE.jpg" TargetMode="External"/><Relationship Id="rId4442" Type="http://schemas.openxmlformats.org/officeDocument/2006/relationships/hyperlink" Target="https://www.bbc.co.uk/programmes/articles/LHW5b3sZlwltz6PDDS1Szw/how-having-a-purpose-can-help-us" TargetMode="External"/><Relationship Id="rId3110" Type="http://schemas.openxmlformats.org/officeDocument/2006/relationships/hyperlink" Target="https://bit.ly/2EGEhYA" TargetMode="External"/><Relationship Id="rId4441" Type="http://schemas.openxmlformats.org/officeDocument/2006/relationships/hyperlink" Target="http://www.zoomly.co.uk" TargetMode="External"/><Relationship Id="rId3113" Type="http://schemas.openxmlformats.org/officeDocument/2006/relationships/hyperlink" Target="https://www.today.com/video/3rd-hour-of-today-takes-a-minute-to-practice-mindful-meditation-76802117863" TargetMode="External"/><Relationship Id="rId4444" Type="http://schemas.openxmlformats.org/officeDocument/2006/relationships/hyperlink" Target="http://www.stress-coach.co.uk" TargetMode="External"/><Relationship Id="rId3112" Type="http://schemas.openxmlformats.org/officeDocument/2006/relationships/hyperlink" Target="http://www.hearthandmade.co.uk" TargetMode="External"/><Relationship Id="rId4443" Type="http://schemas.openxmlformats.org/officeDocument/2006/relationships/hyperlink" Target="http://calmcurious.com" TargetMode="External"/><Relationship Id="rId3115" Type="http://schemas.openxmlformats.org/officeDocument/2006/relationships/hyperlink" Target="https://m.yale.edu/dq7" TargetMode="External"/><Relationship Id="rId4446" Type="http://schemas.openxmlformats.org/officeDocument/2006/relationships/hyperlink" Target="http://www.stress-coach.co.uk" TargetMode="External"/><Relationship Id="rId3114" Type="http://schemas.openxmlformats.org/officeDocument/2006/relationships/hyperlink" Target="http://www.lnchc.org" TargetMode="External"/><Relationship Id="rId4445" Type="http://schemas.openxmlformats.org/officeDocument/2006/relationships/hyperlink" Target="https://pbs.twimg.com/media/EOOhBL7WoAAbBUO.jpg" TargetMode="External"/><Relationship Id="rId3106" Type="http://schemas.openxmlformats.org/officeDocument/2006/relationships/hyperlink" Target="https://pbs.twimg.com/media/EOVQfgdXkAM-cjA.jpg" TargetMode="External"/><Relationship Id="rId4437" Type="http://schemas.openxmlformats.org/officeDocument/2006/relationships/hyperlink" Target="https://mindfulnessmeditationinstitute.org/2019/07/26/teach-your-child-important-life-skills-through-family-meditation/" TargetMode="External"/><Relationship Id="rId3105" Type="http://schemas.openxmlformats.org/officeDocument/2006/relationships/hyperlink" Target="https://tonyburkinshaw.co.uk/5-effective-ways-to-manage-stress/" TargetMode="External"/><Relationship Id="rId4436" Type="http://schemas.openxmlformats.org/officeDocument/2006/relationships/hyperlink" Target="http://www.rhiannonford.co.uk" TargetMode="External"/><Relationship Id="rId3108" Type="http://schemas.openxmlformats.org/officeDocument/2006/relationships/hyperlink" Target="https://link.medium.com/lwjF0gS562" TargetMode="External"/><Relationship Id="rId4439" Type="http://schemas.openxmlformats.org/officeDocument/2006/relationships/hyperlink" Target="https://buff.ly/36QPF0E" TargetMode="External"/><Relationship Id="rId3107" Type="http://schemas.openxmlformats.org/officeDocument/2006/relationships/hyperlink" Target="https://tonyburkinshaw.co.uk/contact" TargetMode="External"/><Relationship Id="rId4438" Type="http://schemas.openxmlformats.org/officeDocument/2006/relationships/hyperlink" Target="http://www.mindfulnessmeditationinstitute.org/" TargetMode="External"/><Relationship Id="rId3109" Type="http://schemas.openxmlformats.org/officeDocument/2006/relationships/hyperlink" Target="https://medium.com/@djemal.ua" TargetMode="External"/><Relationship Id="rId3100" Type="http://schemas.openxmlformats.org/officeDocument/2006/relationships/hyperlink" Target="https://www.mindbodygreen.com/articles/psychologist-approved-ways-to-use-your-stress-to-your-advantage" TargetMode="External"/><Relationship Id="rId4431" Type="http://schemas.openxmlformats.org/officeDocument/2006/relationships/hyperlink" Target="http://www.fusion-spaces.com" TargetMode="External"/><Relationship Id="rId4430" Type="http://schemas.openxmlformats.org/officeDocument/2006/relationships/hyperlink" Target="http://ht.ly/Bf1N30q9gNw" TargetMode="External"/><Relationship Id="rId3102" Type="http://schemas.openxmlformats.org/officeDocument/2006/relationships/hyperlink" Target="https://smartobrain.com" TargetMode="External"/><Relationship Id="rId4433" Type="http://schemas.openxmlformats.org/officeDocument/2006/relationships/hyperlink" Target="http://www.fabparents.co.uk" TargetMode="External"/><Relationship Id="rId3101" Type="http://schemas.openxmlformats.org/officeDocument/2006/relationships/hyperlink" Target="https://pbs.twimg.com/media/EOVRn_GU8AAZ3aO.jpg" TargetMode="External"/><Relationship Id="rId4432" Type="http://schemas.openxmlformats.org/officeDocument/2006/relationships/hyperlink" Target="https://www.theguardian.com/education/2020/jan/14/school-isolation-cubicle-three-toilet-breaks-a-day?CMP=Share_iOSApp_Other" TargetMode="External"/><Relationship Id="rId3104" Type="http://schemas.openxmlformats.org/officeDocument/2006/relationships/hyperlink" Target="http://1romancatholic.blogspot.com" TargetMode="External"/><Relationship Id="rId4435" Type="http://schemas.openxmlformats.org/officeDocument/2006/relationships/hyperlink" Target="https://pbs.twimg.com/media/EOOke6MWkAAZkta.jpg" TargetMode="External"/><Relationship Id="rId3103" Type="http://schemas.openxmlformats.org/officeDocument/2006/relationships/hyperlink" Target="https://pbs.twimg.com/media/EOVQm-3WoAcN5OS.jpg" TargetMode="External"/><Relationship Id="rId4434" Type="http://schemas.openxmlformats.org/officeDocument/2006/relationships/hyperlink" Target="http://bit.ly/2SCNmGP" TargetMode="External"/><Relationship Id="rId3139" Type="http://schemas.openxmlformats.org/officeDocument/2006/relationships/hyperlink" Target="http://bit.ly/2THcC3I" TargetMode="External"/><Relationship Id="rId3138" Type="http://schemas.openxmlformats.org/officeDocument/2006/relationships/hyperlink" Target="http://www.army.cadets.co.uk" TargetMode="External"/><Relationship Id="rId4469" Type="http://schemas.openxmlformats.org/officeDocument/2006/relationships/hyperlink" Target="http://differentbeings.net" TargetMode="External"/><Relationship Id="rId4460" Type="http://schemas.openxmlformats.org/officeDocument/2006/relationships/hyperlink" Target="http://www.thepurchasingcoach.co.uk" TargetMode="External"/><Relationship Id="rId3131" Type="http://schemas.openxmlformats.org/officeDocument/2006/relationships/hyperlink" Target="https://blog.drnoelblanco.com/" TargetMode="External"/><Relationship Id="rId4462" Type="http://schemas.openxmlformats.org/officeDocument/2006/relationships/hyperlink" Target="http://www.sportyking.com/inspirational-fun-letter.html" TargetMode="External"/><Relationship Id="rId3130" Type="http://schemas.openxmlformats.org/officeDocument/2006/relationships/hyperlink" Target="https://www.healthline.com/nutrition/13-benefits-of-yoga?utm_medium=social&amp;utm_source=twitter&amp;utm_campaign=social-sharebar-referred-desktop" TargetMode="External"/><Relationship Id="rId4461" Type="http://schemas.openxmlformats.org/officeDocument/2006/relationships/hyperlink" Target="https://pbs.twimg.com/media/EOOW-KfX0AA3ZGD.png" TargetMode="External"/><Relationship Id="rId3133" Type="http://schemas.openxmlformats.org/officeDocument/2006/relationships/hyperlink" Target="https://www.bbc.co.uk/sounds/play/m000d1v7" TargetMode="External"/><Relationship Id="rId4464" Type="http://schemas.openxmlformats.org/officeDocument/2006/relationships/hyperlink" Target="http://pic.twitter.com/eCtvPRyNAB" TargetMode="External"/><Relationship Id="rId3132" Type="http://schemas.openxmlformats.org/officeDocument/2006/relationships/hyperlink" Target="https://pbs.twimg.com/media/EOVL4cqXkAAcaKj.jpg" TargetMode="External"/><Relationship Id="rId4463" Type="http://schemas.openxmlformats.org/officeDocument/2006/relationships/hyperlink" Target="http://bit.ly/2oAbfFq" TargetMode="External"/><Relationship Id="rId3135" Type="http://schemas.openxmlformats.org/officeDocument/2006/relationships/hyperlink" Target="https://twitter.com/bestofmeNLP/status/1217052434180210693" TargetMode="External"/><Relationship Id="rId4466" Type="http://schemas.openxmlformats.org/officeDocument/2006/relationships/hyperlink" Target="https://www.podbean.com/eau/pb-qbzu8-cc5801" TargetMode="External"/><Relationship Id="rId3134" Type="http://schemas.openxmlformats.org/officeDocument/2006/relationships/hyperlink" Target="http://www.hawl.co.uk" TargetMode="External"/><Relationship Id="rId4465" Type="http://schemas.openxmlformats.org/officeDocument/2006/relationships/hyperlink" Target="http://bit.ly/2nbF26J" TargetMode="External"/><Relationship Id="rId3137" Type="http://schemas.openxmlformats.org/officeDocument/2006/relationships/hyperlink" Target="http://www.bestofmenlp.com" TargetMode="External"/><Relationship Id="rId4468" Type="http://schemas.openxmlformats.org/officeDocument/2006/relationships/hyperlink" Target="http://differentbeings.net/2020/01/14/meditation-for-the-stressed-and-skeptical-beginner/" TargetMode="External"/><Relationship Id="rId3136" Type="http://schemas.openxmlformats.org/officeDocument/2006/relationships/hyperlink" Target="https://pbs.twimg.com/media/EOPWvF-WAAA61r0.jpg" TargetMode="External"/><Relationship Id="rId4467" Type="http://schemas.openxmlformats.org/officeDocument/2006/relationships/hyperlink" Target="https://worksmartlivesmart.com" TargetMode="External"/><Relationship Id="rId3128" Type="http://schemas.openxmlformats.org/officeDocument/2006/relationships/hyperlink" Target="https://happiful.com/10-ways-to-tackle-stress-right-now/" TargetMode="External"/><Relationship Id="rId4459" Type="http://schemas.openxmlformats.org/officeDocument/2006/relationships/hyperlink" Target="https://pbs.twimg.com/media/EOOWkEZW4AAbpUf.jpg" TargetMode="External"/><Relationship Id="rId3127" Type="http://schemas.openxmlformats.org/officeDocument/2006/relationships/hyperlink" Target="http://www.mglhr.com" TargetMode="External"/><Relationship Id="rId4458" Type="http://schemas.openxmlformats.org/officeDocument/2006/relationships/hyperlink" Target="https://www.coachingpositiveperformance.com/banish-clutter-to-reduce-stress-and-improve-performance/" TargetMode="External"/><Relationship Id="rId3129" Type="http://schemas.openxmlformats.org/officeDocument/2006/relationships/hyperlink" Target="http://www.staywelloh.co.uk/" TargetMode="External"/><Relationship Id="rId3120" Type="http://schemas.openxmlformats.org/officeDocument/2006/relationships/hyperlink" Target="http://www.cupofjoecanada.com" TargetMode="External"/><Relationship Id="rId4451" Type="http://schemas.openxmlformats.org/officeDocument/2006/relationships/hyperlink" Target="http://www.loulaggancoaching.co.uk" TargetMode="External"/><Relationship Id="rId4450" Type="http://schemas.openxmlformats.org/officeDocument/2006/relationships/hyperlink" Target="http://ow.ly/qO8A30q5mtX" TargetMode="External"/><Relationship Id="rId3122" Type="http://schemas.openxmlformats.org/officeDocument/2006/relationships/hyperlink" Target="http://vid.us/jloj5v" TargetMode="External"/><Relationship Id="rId4453" Type="http://schemas.openxmlformats.org/officeDocument/2006/relationships/hyperlink" Target="https://pbs.twimg.com/media/EOOdlLyWoAEZZCU.png" TargetMode="External"/><Relationship Id="rId3121" Type="http://schemas.openxmlformats.org/officeDocument/2006/relationships/hyperlink" Target="https://www.instagram.com/p/B7WEpHTjuHn/?igshid=vhh2hn38tufm" TargetMode="External"/><Relationship Id="rId4452" Type="http://schemas.openxmlformats.org/officeDocument/2006/relationships/hyperlink" Target="https://buff.ly/2MJ1QUg" TargetMode="External"/><Relationship Id="rId3124" Type="http://schemas.openxmlformats.org/officeDocument/2006/relationships/hyperlink" Target="https://pbs.twimg.com/media/EOVNOGjUcAEG4l8.jpg" TargetMode="External"/><Relationship Id="rId4455" Type="http://schemas.openxmlformats.org/officeDocument/2006/relationships/hyperlink" Target="http://www.oilscience.co.za" TargetMode="External"/><Relationship Id="rId3123" Type="http://schemas.openxmlformats.org/officeDocument/2006/relationships/hyperlink" Target="http://www.searchallnjhomes.com" TargetMode="External"/><Relationship Id="rId4454" Type="http://schemas.openxmlformats.org/officeDocument/2006/relationships/hyperlink" Target="https://www.ruthrandall.com" TargetMode="External"/><Relationship Id="rId3126" Type="http://schemas.openxmlformats.org/officeDocument/2006/relationships/hyperlink" Target="https://pbs.twimg.com/media/EOVNFCDWkAAZoV9.jpg" TargetMode="External"/><Relationship Id="rId4457" Type="http://schemas.openxmlformats.org/officeDocument/2006/relationships/hyperlink" Target="http://www.oilscience.co.za" TargetMode="External"/><Relationship Id="rId3125" Type="http://schemas.openxmlformats.org/officeDocument/2006/relationships/hyperlink" Target="http://ow.ly/jppA50xVgKA" TargetMode="External"/><Relationship Id="rId4456" Type="http://schemas.openxmlformats.org/officeDocument/2006/relationships/hyperlink" Target="https://pbs.twimg.com/media/EOOdhq1XsAAviRb.jpg" TargetMode="External"/><Relationship Id="rId1378" Type="http://schemas.openxmlformats.org/officeDocument/2006/relationships/hyperlink" Target="https://www.theguardian.com/society/2020/jan/15/researchers-facing-shocking-levels-of-stress-survey-reveals" TargetMode="External"/><Relationship Id="rId4404" Type="http://schemas.openxmlformats.org/officeDocument/2006/relationships/hyperlink" Target="http://www.spshospitals.com" TargetMode="External"/><Relationship Id="rId1379" Type="http://schemas.openxmlformats.org/officeDocument/2006/relationships/hyperlink" Target="https://okt.to/fbAFEa" TargetMode="External"/><Relationship Id="rId4403" Type="http://schemas.openxmlformats.org/officeDocument/2006/relationships/hyperlink" Target="https://pbs.twimg.com/media/EOOvbv4UcAAtA01.jpg" TargetMode="External"/><Relationship Id="rId4406" Type="http://schemas.openxmlformats.org/officeDocument/2006/relationships/hyperlink" Target="http://www.croydon.ac.uk" TargetMode="External"/><Relationship Id="rId4405" Type="http://schemas.openxmlformats.org/officeDocument/2006/relationships/hyperlink" Target="http://www.croydon.ac.uk/ucc" TargetMode="External"/><Relationship Id="rId4408" Type="http://schemas.openxmlformats.org/officeDocument/2006/relationships/hyperlink" Target="http://www.abundaflow.com" TargetMode="External"/><Relationship Id="rId4407" Type="http://schemas.openxmlformats.org/officeDocument/2006/relationships/hyperlink" Target="https://app.quuu.co/r/BeZkv" TargetMode="External"/><Relationship Id="rId4409" Type="http://schemas.openxmlformats.org/officeDocument/2006/relationships/hyperlink" Target="https://bit.ly/2PQfaYt" TargetMode="External"/><Relationship Id="rId789" Type="http://schemas.openxmlformats.org/officeDocument/2006/relationships/hyperlink" Target="https://bit.ly/3a2vYFf" TargetMode="External"/><Relationship Id="rId788" Type="http://schemas.openxmlformats.org/officeDocument/2006/relationships/hyperlink" Target="http://anthonyclarkmusic.com" TargetMode="External"/><Relationship Id="rId787" Type="http://schemas.openxmlformats.org/officeDocument/2006/relationships/hyperlink" Target="https://pbs.twimg.com/media/EOgxkCZXUAEk3I4.jpg" TargetMode="External"/><Relationship Id="rId786" Type="http://schemas.openxmlformats.org/officeDocument/2006/relationships/hyperlink" Target="http://snip.ly/0i6g4" TargetMode="External"/><Relationship Id="rId781" Type="http://schemas.openxmlformats.org/officeDocument/2006/relationships/hyperlink" Target="https://broomfieldcoloradochiro.com" TargetMode="External"/><Relationship Id="rId1370" Type="http://schemas.openxmlformats.org/officeDocument/2006/relationships/hyperlink" Target="https://buff.ly/2tdCGrp" TargetMode="External"/><Relationship Id="rId780" Type="http://schemas.openxmlformats.org/officeDocument/2006/relationships/hyperlink" Target="https://pbs.twimg.com/media/EOgzU6YU0AAjwup.jpg" TargetMode="External"/><Relationship Id="rId1371" Type="http://schemas.openxmlformats.org/officeDocument/2006/relationships/hyperlink" Target="https://www.thepinkvelvetblog.com" TargetMode="External"/><Relationship Id="rId1372" Type="http://schemas.openxmlformats.org/officeDocument/2006/relationships/hyperlink" Target="https://www.onlymyhealth.com/five-second-tricks-to-relieve-anxiety-problem-1579087211" TargetMode="External"/><Relationship Id="rId1373" Type="http://schemas.openxmlformats.org/officeDocument/2006/relationships/hyperlink" Target="http://www.onlymyhealth.com/" TargetMode="External"/><Relationship Id="rId785" Type="http://schemas.openxmlformats.org/officeDocument/2006/relationships/hyperlink" Target="http://www.brightandassociates.com.au" TargetMode="External"/><Relationship Id="rId1374" Type="http://schemas.openxmlformats.org/officeDocument/2006/relationships/hyperlink" Target="https://pbs.twimg.com/media/EOedGhqX0AAWGu5.jpg" TargetMode="External"/><Relationship Id="rId4400" Type="http://schemas.openxmlformats.org/officeDocument/2006/relationships/hyperlink" Target="https://pbs.twimg.com/media/EOOvXw1XkAEuUMw.jpg" TargetMode="External"/><Relationship Id="rId784" Type="http://schemas.openxmlformats.org/officeDocument/2006/relationships/hyperlink" Target="https://lnkd.in/fBEDGFZ" TargetMode="External"/><Relationship Id="rId1375" Type="http://schemas.openxmlformats.org/officeDocument/2006/relationships/hyperlink" Target="http://www.thinkcre8tivegroup.com" TargetMode="External"/><Relationship Id="rId783" Type="http://schemas.openxmlformats.org/officeDocument/2006/relationships/hyperlink" Target="http://thenaturalhealthblogger.com" TargetMode="External"/><Relationship Id="rId1376" Type="http://schemas.openxmlformats.org/officeDocument/2006/relationships/hyperlink" Target="https://goo.gl/alerts/vTcuw" TargetMode="External"/><Relationship Id="rId4402" Type="http://schemas.openxmlformats.org/officeDocument/2006/relationships/hyperlink" Target="http://www.spshospitals.com" TargetMode="External"/><Relationship Id="rId782" Type="http://schemas.openxmlformats.org/officeDocument/2006/relationships/hyperlink" Target="http://thenaturalhealthblogger.com/2017/11/15/ashwagandha-the-indian-adaptogen-herb-for-reducing-anxiety-stress-normalizing-thyroid-function/" TargetMode="External"/><Relationship Id="rId1377" Type="http://schemas.openxmlformats.org/officeDocument/2006/relationships/hyperlink" Target="http://www.time-well-spent.co.uk/" TargetMode="External"/><Relationship Id="rId4401" Type="http://schemas.openxmlformats.org/officeDocument/2006/relationships/hyperlink" Target="https://allyfortis.weebly.com/" TargetMode="External"/><Relationship Id="rId1367" Type="http://schemas.openxmlformats.org/officeDocument/2006/relationships/hyperlink" Target="https://pbs.twimg.com/media/EOejUPaXsAEP4Aq.jpg" TargetMode="External"/><Relationship Id="rId2698" Type="http://schemas.openxmlformats.org/officeDocument/2006/relationships/hyperlink" Target="http://www.buildingthefutureshow.com" TargetMode="External"/><Relationship Id="rId1368" Type="http://schemas.openxmlformats.org/officeDocument/2006/relationships/hyperlink" Target="http://www.virtuallyyours.co.uk" TargetMode="External"/><Relationship Id="rId2699" Type="http://schemas.openxmlformats.org/officeDocument/2006/relationships/hyperlink" Target="https://www.fastcompany.com/90449188/how-to-turn-the-job-you-have-into-one-you-love" TargetMode="External"/><Relationship Id="rId1369" Type="http://schemas.openxmlformats.org/officeDocument/2006/relationships/hyperlink" Target="https://iheartintelligence.com/more-trees-around-us-lower-stress-levels" TargetMode="External"/><Relationship Id="rId778" Type="http://schemas.openxmlformats.org/officeDocument/2006/relationships/hyperlink" Target="https://pbs.twimg.com/media/EOgz4ffU4AAGvqd.jpg" TargetMode="External"/><Relationship Id="rId777" Type="http://schemas.openxmlformats.org/officeDocument/2006/relationships/hyperlink" Target="http://www.healthytarian.com" TargetMode="External"/><Relationship Id="rId776" Type="http://schemas.openxmlformats.org/officeDocument/2006/relationships/hyperlink" Target="https://www.evolvingwellness.com/post/cranberry-ashwagandha-energizing-smoothie" TargetMode="External"/><Relationship Id="rId775" Type="http://schemas.openxmlformats.org/officeDocument/2006/relationships/hyperlink" Target="https://www.coachingpositiveperformance.com/banish-clutter-to-reduce-stress-and-improve-performance/" TargetMode="External"/><Relationship Id="rId779" Type="http://schemas.openxmlformats.org/officeDocument/2006/relationships/hyperlink" Target="http://denvercoloradochiro.com/" TargetMode="External"/><Relationship Id="rId770" Type="http://schemas.openxmlformats.org/officeDocument/2006/relationships/hyperlink" Target="https://pbs.twimg.com/media/EOg5_VeXkAEyem7.jpg" TargetMode="External"/><Relationship Id="rId2690" Type="http://schemas.openxmlformats.org/officeDocument/2006/relationships/hyperlink" Target="http://littlesunshine.com" TargetMode="External"/><Relationship Id="rId1360" Type="http://schemas.openxmlformats.org/officeDocument/2006/relationships/hyperlink" Target="http://ow.ly/jsMW30l1odY" TargetMode="External"/><Relationship Id="rId2691" Type="http://schemas.openxmlformats.org/officeDocument/2006/relationships/hyperlink" Target="https://lnkd.in/e5DF4YF" TargetMode="External"/><Relationship Id="rId1361" Type="http://schemas.openxmlformats.org/officeDocument/2006/relationships/hyperlink" Target="https://pbs.twimg.com/media/EOel2SzXUAEeU9v.jpg" TargetMode="External"/><Relationship Id="rId2692" Type="http://schemas.openxmlformats.org/officeDocument/2006/relationships/hyperlink" Target="http://ow.ly/smGC50xVv5W" TargetMode="External"/><Relationship Id="rId1362" Type="http://schemas.openxmlformats.org/officeDocument/2006/relationships/hyperlink" Target="http://www.skinrenewal.co.za" TargetMode="External"/><Relationship Id="rId2693" Type="http://schemas.openxmlformats.org/officeDocument/2006/relationships/hyperlink" Target="https://pbs.twimg.com/media/EOW2T9_W4AE3lNV.jpg" TargetMode="External"/><Relationship Id="rId774" Type="http://schemas.openxmlformats.org/officeDocument/2006/relationships/hyperlink" Target="http://www.suefirthltd.com" TargetMode="External"/><Relationship Id="rId1363" Type="http://schemas.openxmlformats.org/officeDocument/2006/relationships/hyperlink" Target="http://zpr.io/guka2" TargetMode="External"/><Relationship Id="rId2694" Type="http://schemas.openxmlformats.org/officeDocument/2006/relationships/hyperlink" Target="http://www.reachmd.com" TargetMode="External"/><Relationship Id="rId773" Type="http://schemas.openxmlformats.org/officeDocument/2006/relationships/hyperlink" Target="https://azbigmedia.com/lifestyle/8-doctor-approved-tips-to-tackle-all-your-stress-this-year/" TargetMode="External"/><Relationship Id="rId1364" Type="http://schemas.openxmlformats.org/officeDocument/2006/relationships/hyperlink" Target="https://pbs.twimg.com/media/EOelSVqWkAA0bqp.jpg" TargetMode="External"/><Relationship Id="rId2695" Type="http://schemas.openxmlformats.org/officeDocument/2006/relationships/hyperlink" Target="https://soundcloud.com/buildingthefuture/ep-392-w-silke-glaab-an-executive-coach-at-slike-celia-helps-you-remove-burnout-anxiety-stress" TargetMode="External"/><Relationship Id="rId772" Type="http://schemas.openxmlformats.org/officeDocument/2006/relationships/hyperlink" Target="https://pbs.twimg.com/media/EOg5QGwWsAE8LSL.jpg" TargetMode="External"/><Relationship Id="rId1365" Type="http://schemas.openxmlformats.org/officeDocument/2006/relationships/hyperlink" Target="http://www.trafficjam.mobi/" TargetMode="External"/><Relationship Id="rId2696" Type="http://schemas.openxmlformats.org/officeDocument/2006/relationships/hyperlink" Target="http://buildingthefutureshow.com" TargetMode="External"/><Relationship Id="rId771" Type="http://schemas.openxmlformats.org/officeDocument/2006/relationships/hyperlink" Target="https://www.twitch.tv/thekotho" TargetMode="External"/><Relationship Id="rId1366" Type="http://schemas.openxmlformats.org/officeDocument/2006/relationships/hyperlink" Target="https://buff.ly/2FDx8X7" TargetMode="External"/><Relationship Id="rId2697" Type="http://schemas.openxmlformats.org/officeDocument/2006/relationships/hyperlink" Target="https://soundcloud.com/buildingthefuture/ep-392-w-silke-glaab-an-executive-coach-at-slike-celia-helps-you-remove-burnout-anxiety-stress" TargetMode="External"/><Relationship Id="rId4426" Type="http://schemas.openxmlformats.org/officeDocument/2006/relationships/hyperlink" Target="http://snip.ly/e4sz2" TargetMode="External"/><Relationship Id="rId4425" Type="http://schemas.openxmlformats.org/officeDocument/2006/relationships/hyperlink" Target="https://fullersfamilylaw.com" TargetMode="External"/><Relationship Id="rId4428" Type="http://schemas.openxmlformats.org/officeDocument/2006/relationships/hyperlink" Target="http://anthonyclarkmusic.com" TargetMode="External"/><Relationship Id="rId4427" Type="http://schemas.openxmlformats.org/officeDocument/2006/relationships/hyperlink" Target="https://pbs.twimg.com/media/EOOmxGQXkAAXHr5.jpg" TargetMode="External"/><Relationship Id="rId4429" Type="http://schemas.openxmlformats.org/officeDocument/2006/relationships/hyperlink" Target="http://ht.ly/H9NU30pRhMQ" TargetMode="External"/><Relationship Id="rId1390" Type="http://schemas.openxmlformats.org/officeDocument/2006/relationships/hyperlink" Target="http://rejuvage.com/" TargetMode="External"/><Relationship Id="rId1391" Type="http://schemas.openxmlformats.org/officeDocument/2006/relationships/hyperlink" Target="https://zurl.co/RyoZ" TargetMode="External"/><Relationship Id="rId1392" Type="http://schemas.openxmlformats.org/officeDocument/2006/relationships/hyperlink" Target="https://pbs.twimg.com/media/EOeZQ8HX0AAGACN.jpg" TargetMode="External"/><Relationship Id="rId1393" Type="http://schemas.openxmlformats.org/officeDocument/2006/relationships/hyperlink" Target="https://www.worryhead.com/" TargetMode="External"/><Relationship Id="rId1394" Type="http://schemas.openxmlformats.org/officeDocument/2006/relationships/hyperlink" Target="https://outandaboutstylemag.com/how-do-emotions-influence-your-skin/" TargetMode="External"/><Relationship Id="rId4420" Type="http://schemas.openxmlformats.org/officeDocument/2006/relationships/hyperlink" Target="http://www.rikidavies.co.uk" TargetMode="External"/><Relationship Id="rId1395" Type="http://schemas.openxmlformats.org/officeDocument/2006/relationships/hyperlink" Target="https://pbs.twimg.com/media/EOeZKaJU4AEAqxe.jpg" TargetMode="External"/><Relationship Id="rId1396" Type="http://schemas.openxmlformats.org/officeDocument/2006/relationships/hyperlink" Target="http://www.outandaboutstylemag.com" TargetMode="External"/><Relationship Id="rId4422" Type="http://schemas.openxmlformats.org/officeDocument/2006/relationships/hyperlink" Target="http://www.rikidavies.co.uk" TargetMode="External"/><Relationship Id="rId1397" Type="http://schemas.openxmlformats.org/officeDocument/2006/relationships/hyperlink" Target="https://bit.ly/2u5DIpi" TargetMode="External"/><Relationship Id="rId4421" Type="http://schemas.openxmlformats.org/officeDocument/2006/relationships/hyperlink" Target="https://pbs.twimg.com/media/EOOoR8TW4AEJELE.jpg" TargetMode="External"/><Relationship Id="rId1398" Type="http://schemas.openxmlformats.org/officeDocument/2006/relationships/hyperlink" Target="http://www.therawrainbow.com" TargetMode="External"/><Relationship Id="rId4424" Type="http://schemas.openxmlformats.org/officeDocument/2006/relationships/hyperlink" Target="https://pbs.twimg.com/media/EOOn5TiX4AEqruf.jpg" TargetMode="External"/><Relationship Id="rId1399" Type="http://schemas.openxmlformats.org/officeDocument/2006/relationships/hyperlink" Target="https://pbs.twimg.com/media/EOeYXihWoAE17lx.jpg" TargetMode="External"/><Relationship Id="rId4423" Type="http://schemas.openxmlformats.org/officeDocument/2006/relationships/hyperlink" Target="http://ow.ly/H9pS50xPXJ3" TargetMode="External"/><Relationship Id="rId1389" Type="http://schemas.openxmlformats.org/officeDocument/2006/relationships/hyperlink" Target="https://pbs.twimg.com/media/EOeZVYFX0AgZ4yS.jpg" TargetMode="External"/><Relationship Id="rId4415" Type="http://schemas.openxmlformats.org/officeDocument/2006/relationships/hyperlink" Target="https://theawarenesscentre.com" TargetMode="External"/><Relationship Id="rId4414" Type="http://schemas.openxmlformats.org/officeDocument/2006/relationships/hyperlink" Target="https://www.bps.org.uk/news-and-policy/regular-access-meditation-apps-improves-staff-wellbeing-and-performance" TargetMode="External"/><Relationship Id="rId4417" Type="http://schemas.openxmlformats.org/officeDocument/2006/relationships/hyperlink" Target="http://www.therawrainbow.com" TargetMode="External"/><Relationship Id="rId4416" Type="http://schemas.openxmlformats.org/officeDocument/2006/relationships/hyperlink" Target="https://www.maxkirsten.com" TargetMode="External"/><Relationship Id="rId4419" Type="http://schemas.openxmlformats.org/officeDocument/2006/relationships/hyperlink" Target="http://www.therawrainbow.com" TargetMode="External"/><Relationship Id="rId4418" Type="http://schemas.openxmlformats.org/officeDocument/2006/relationships/hyperlink" Target="https://pbs.twimg.com/media/EOOoWazWsAA1mxc.jpg" TargetMode="External"/><Relationship Id="rId799" Type="http://schemas.openxmlformats.org/officeDocument/2006/relationships/hyperlink" Target="http://medium.com/@dmhp" TargetMode="External"/><Relationship Id="rId798" Type="http://schemas.openxmlformats.org/officeDocument/2006/relationships/hyperlink" Target="https://pbs.twimg.com/media/EOgwkouXUAAaVAD.png" TargetMode="External"/><Relationship Id="rId797" Type="http://schemas.openxmlformats.org/officeDocument/2006/relationships/hyperlink" Target="http://ow.ly/KWaW50xm9mo" TargetMode="External"/><Relationship Id="rId1380" Type="http://schemas.openxmlformats.org/officeDocument/2006/relationships/hyperlink" Target="https://pbs.twimg.com/media/EOeb_mnWAAAD887.jpg" TargetMode="External"/><Relationship Id="rId792" Type="http://schemas.openxmlformats.org/officeDocument/2006/relationships/hyperlink" Target="https://pbs.twimg.com/media/EOgwo8IWoAASGJj.jpg" TargetMode="External"/><Relationship Id="rId1381" Type="http://schemas.openxmlformats.org/officeDocument/2006/relationships/hyperlink" Target="https://pbs.twimg.com/media/EOeZSljXkAEU02D.jpg" TargetMode="External"/><Relationship Id="rId791" Type="http://schemas.openxmlformats.org/officeDocument/2006/relationships/hyperlink" Target="https://www.staysure.co.uk/2017/04/top-tips-get-airport-stress-free/" TargetMode="External"/><Relationship Id="rId1382" Type="http://schemas.openxmlformats.org/officeDocument/2006/relationships/hyperlink" Target="http://www.comeoutreach.org" TargetMode="External"/><Relationship Id="rId790" Type="http://schemas.openxmlformats.org/officeDocument/2006/relationships/hyperlink" Target="http://we.ifma.org" TargetMode="External"/><Relationship Id="rId1383" Type="http://schemas.openxmlformats.org/officeDocument/2006/relationships/hyperlink" Target="https://pbs.twimg.com/media/EOeZdJOX0AAoCXe.jpg" TargetMode="External"/><Relationship Id="rId1384" Type="http://schemas.openxmlformats.org/officeDocument/2006/relationships/hyperlink" Target="http://www.bluecbd.co.uk" TargetMode="External"/><Relationship Id="rId796" Type="http://schemas.openxmlformats.org/officeDocument/2006/relationships/hyperlink" Target="https://digitalmentalhealthproject.com" TargetMode="External"/><Relationship Id="rId1385" Type="http://schemas.openxmlformats.org/officeDocument/2006/relationships/hyperlink" Target="https://bit.ly/373etCR" TargetMode="External"/><Relationship Id="rId4411" Type="http://schemas.openxmlformats.org/officeDocument/2006/relationships/hyperlink" Target="http://www.midyorks.nhs.uk/library" TargetMode="External"/><Relationship Id="rId795" Type="http://schemas.openxmlformats.org/officeDocument/2006/relationships/hyperlink" Target="https://pbs.twimg.com/media/EOgwofmXUAAwlwg.png" TargetMode="External"/><Relationship Id="rId1386" Type="http://schemas.openxmlformats.org/officeDocument/2006/relationships/hyperlink" Target="https://pbs.twimg.com/media/EOeZa-iWsAEiw1C.jpg" TargetMode="External"/><Relationship Id="rId4410" Type="http://schemas.openxmlformats.org/officeDocument/2006/relationships/hyperlink" Target="https://pbs.twimg.com/media/EOOuieTWkAAGI7H.png" TargetMode="External"/><Relationship Id="rId794" Type="http://schemas.openxmlformats.org/officeDocument/2006/relationships/hyperlink" Target="http://ow.ly/KWaW50xm9mo" TargetMode="External"/><Relationship Id="rId1387" Type="http://schemas.openxmlformats.org/officeDocument/2006/relationships/hyperlink" Target="http://www.highfieldhealthcare.ie" TargetMode="External"/><Relationship Id="rId4413" Type="http://schemas.openxmlformats.org/officeDocument/2006/relationships/hyperlink" Target="http://www.careerambitions.co.uk" TargetMode="External"/><Relationship Id="rId793" Type="http://schemas.openxmlformats.org/officeDocument/2006/relationships/hyperlink" Target="https://www.staysure.co.uk/" TargetMode="External"/><Relationship Id="rId1388" Type="http://schemas.openxmlformats.org/officeDocument/2006/relationships/hyperlink" Target="https://rejuvage.com/6-best-yoga-apps-for-2020/" TargetMode="External"/><Relationship Id="rId4412" Type="http://schemas.openxmlformats.org/officeDocument/2006/relationships/hyperlink" Target="https://careerambitions.co.uk/manage-stress/" TargetMode="External"/><Relationship Id="rId3191" Type="http://schemas.openxmlformats.org/officeDocument/2006/relationships/hyperlink" Target="http://ow.ly/rS1R50xORSG" TargetMode="External"/><Relationship Id="rId3190" Type="http://schemas.openxmlformats.org/officeDocument/2006/relationships/hyperlink" Target="http://bodycotoronto.com" TargetMode="External"/><Relationship Id="rId3193" Type="http://schemas.openxmlformats.org/officeDocument/2006/relationships/hyperlink" Target="http://www.thisiscalmer.com" TargetMode="External"/><Relationship Id="rId3192" Type="http://schemas.openxmlformats.org/officeDocument/2006/relationships/hyperlink" Target="http://www.monkeypuzzletraining.co.uk" TargetMode="External"/><Relationship Id="rId3195" Type="http://schemas.openxmlformats.org/officeDocument/2006/relationships/hyperlink" Target="https://pbs.twimg.com/media/EOU_TvvXkAEfGKZ.jpg" TargetMode="External"/><Relationship Id="rId3194" Type="http://schemas.openxmlformats.org/officeDocument/2006/relationships/hyperlink" Target="https://www.buzzfeed.com/jonmichaelpoff/stress-hacks-that-will-actually-change-your-life?utm_source=dynamic&amp;utm_campaign=bfsharetwitter" TargetMode="External"/><Relationship Id="rId3197" Type="http://schemas.openxmlformats.org/officeDocument/2006/relationships/hyperlink" Target="https://pbs.twimg.com/media/EOU-Ip1X0AMSKki.jpg" TargetMode="External"/><Relationship Id="rId3196" Type="http://schemas.openxmlformats.org/officeDocument/2006/relationships/hyperlink" Target="http://labryce.com" TargetMode="External"/><Relationship Id="rId3199" Type="http://schemas.openxmlformats.org/officeDocument/2006/relationships/hyperlink" Target="https://pbs.twimg.com/media/EOU96u9WoAAA-5_.jpg" TargetMode="External"/><Relationship Id="rId3198" Type="http://schemas.openxmlformats.org/officeDocument/2006/relationships/hyperlink" Target="http://www.balticnews.co.uk" TargetMode="External"/><Relationship Id="rId3180" Type="http://schemas.openxmlformats.org/officeDocument/2006/relationships/hyperlink" Target="https://robinlines.com/blog/combating-stress-in-business" TargetMode="External"/><Relationship Id="rId3182" Type="http://schemas.openxmlformats.org/officeDocument/2006/relationships/hyperlink" Target="https://link.medium.com/LTdxTyyQg3" TargetMode="External"/><Relationship Id="rId3181" Type="http://schemas.openxmlformats.org/officeDocument/2006/relationships/hyperlink" Target="http://robinlines.com" TargetMode="External"/><Relationship Id="rId3184" Type="http://schemas.openxmlformats.org/officeDocument/2006/relationships/hyperlink" Target="https://youtu.be/Jkc6SGj9uyQ" TargetMode="External"/><Relationship Id="rId3183" Type="http://schemas.openxmlformats.org/officeDocument/2006/relationships/hyperlink" Target="https://medium.com/@ccuthbertauthor" TargetMode="External"/><Relationship Id="rId3186" Type="http://schemas.openxmlformats.org/officeDocument/2006/relationships/hyperlink" Target="http://makinithappen.co.uk/onlinecourses/Stress-management-for-life-how-to-reduce-and-manage-stress" TargetMode="External"/><Relationship Id="rId3185" Type="http://schemas.openxmlformats.org/officeDocument/2006/relationships/hyperlink" Target="https://www.instagram.com/fedra_nation/" TargetMode="External"/><Relationship Id="rId3188" Type="http://schemas.openxmlformats.org/officeDocument/2006/relationships/hyperlink" Target="https://soo.nr/TnYx" TargetMode="External"/><Relationship Id="rId3187" Type="http://schemas.openxmlformats.org/officeDocument/2006/relationships/hyperlink" Target="http://makinithappen.co.uk" TargetMode="External"/><Relationship Id="rId3189" Type="http://schemas.openxmlformats.org/officeDocument/2006/relationships/hyperlink" Target="https://pbs.twimg.com/media/EOVAdVfXsAAWCEA.jpg" TargetMode="External"/><Relationship Id="rId4480" Type="http://schemas.openxmlformats.org/officeDocument/2006/relationships/hyperlink" Target="http://www.karendocter.com" TargetMode="External"/><Relationship Id="rId3151" Type="http://schemas.openxmlformats.org/officeDocument/2006/relationships/hyperlink" Target="http://www.medreps.com" TargetMode="External"/><Relationship Id="rId4482" Type="http://schemas.openxmlformats.org/officeDocument/2006/relationships/hyperlink" Target="http://bit.ly/2L0tXyj" TargetMode="External"/><Relationship Id="rId3150" Type="http://schemas.openxmlformats.org/officeDocument/2006/relationships/hyperlink" Target="https://pbs.twimg.com/media/EOVKx61X0AA9NFa.jpg" TargetMode="External"/><Relationship Id="rId4481" Type="http://schemas.openxmlformats.org/officeDocument/2006/relationships/hyperlink" Target="http://instagream.com/____hak__" TargetMode="External"/><Relationship Id="rId3153" Type="http://schemas.openxmlformats.org/officeDocument/2006/relationships/hyperlink" Target="http://www.miami-obgyn.com" TargetMode="External"/><Relationship Id="rId4484" Type="http://schemas.openxmlformats.org/officeDocument/2006/relationships/hyperlink" Target="http://tanyajpeterson.com" TargetMode="External"/><Relationship Id="rId3152" Type="http://schemas.openxmlformats.org/officeDocument/2006/relationships/hyperlink" Target="http://mvnt.us/m1082544" TargetMode="External"/><Relationship Id="rId4483" Type="http://schemas.openxmlformats.org/officeDocument/2006/relationships/hyperlink" Target="https://pbs.twimg.com/media/EOOGTwxW4AE2Gi6.png" TargetMode="External"/><Relationship Id="rId3155" Type="http://schemas.openxmlformats.org/officeDocument/2006/relationships/hyperlink" Target="http://btownexpress.com" TargetMode="External"/><Relationship Id="rId4486" Type="http://schemas.openxmlformats.org/officeDocument/2006/relationships/hyperlink" Target="http://www.asterbangalore.com/" TargetMode="External"/><Relationship Id="rId3154" Type="http://schemas.openxmlformats.org/officeDocument/2006/relationships/hyperlink" Target="http://btownexpress.com/2020/01/15/hashtaghealth-five-effective-tips-to-lose-extra-weight-fast/" TargetMode="External"/><Relationship Id="rId4485" Type="http://schemas.openxmlformats.org/officeDocument/2006/relationships/hyperlink" Target="https://pbs.twimg.com/media/EOOEnktU0AAUwAs.jpg" TargetMode="External"/><Relationship Id="rId3157" Type="http://schemas.openxmlformats.org/officeDocument/2006/relationships/hyperlink" Target="https://pbs.twimg.com/media/EORbj0UW4AALGBi.jpg" TargetMode="External"/><Relationship Id="rId4488" Type="http://schemas.openxmlformats.org/officeDocument/2006/relationships/hyperlink" Target="https://pbs.twimg.com/media/EOOEUqXVAAAibhZ.jpg" TargetMode="External"/><Relationship Id="rId3156" Type="http://schemas.openxmlformats.org/officeDocument/2006/relationships/hyperlink" Target="https://twitter.com/kimberlyehart/status/1217198472434196481" TargetMode="External"/><Relationship Id="rId4487" Type="http://schemas.openxmlformats.org/officeDocument/2006/relationships/hyperlink" Target="https://www.yatan-ayur.com.au/rejuvenation-for-women/" TargetMode="External"/><Relationship Id="rId3159" Type="http://schemas.openxmlformats.org/officeDocument/2006/relationships/hyperlink" Target="http://know-stress-zone.com" TargetMode="External"/><Relationship Id="rId3158" Type="http://schemas.openxmlformats.org/officeDocument/2006/relationships/hyperlink" Target="http://www.globalschoolplayday.com" TargetMode="External"/><Relationship Id="rId4489" Type="http://schemas.openxmlformats.org/officeDocument/2006/relationships/hyperlink" Target="http://www.yatan-ayur.com.au" TargetMode="External"/><Relationship Id="rId3149" Type="http://schemas.openxmlformats.org/officeDocument/2006/relationships/hyperlink" Target="https://bit.ly/2FEWRRC" TargetMode="External"/><Relationship Id="rId3140" Type="http://schemas.openxmlformats.org/officeDocument/2006/relationships/hyperlink" Target="https://prewitt.group/" TargetMode="External"/><Relationship Id="rId4471" Type="http://schemas.openxmlformats.org/officeDocument/2006/relationships/hyperlink" Target="https://pbs.twimg.com/media/EOOQ_ncWkAAa8xd.jpg" TargetMode="External"/><Relationship Id="rId4470" Type="http://schemas.openxmlformats.org/officeDocument/2006/relationships/hyperlink" Target="https://zurl.co/RyoZ" TargetMode="External"/><Relationship Id="rId3142" Type="http://schemas.openxmlformats.org/officeDocument/2006/relationships/hyperlink" Target="http://www.wellnessorbit.com" TargetMode="External"/><Relationship Id="rId4473" Type="http://schemas.openxmlformats.org/officeDocument/2006/relationships/hyperlink" Target="http://bit.ly/2EYuhKD" TargetMode="External"/><Relationship Id="rId3141" Type="http://schemas.openxmlformats.org/officeDocument/2006/relationships/hyperlink" Target="https://thriveglobal.com/stories/redefining-startup-culture-with-positive-mental-health-habits/" TargetMode="External"/><Relationship Id="rId4472" Type="http://schemas.openxmlformats.org/officeDocument/2006/relationships/hyperlink" Target="https://www.worryhead.com/" TargetMode="External"/><Relationship Id="rId3144" Type="http://schemas.openxmlformats.org/officeDocument/2006/relationships/hyperlink" Target="https://www.emotionatwork.co.uk" TargetMode="External"/><Relationship Id="rId4475" Type="http://schemas.openxmlformats.org/officeDocument/2006/relationships/hyperlink" Target="https://www.vogue.com/article/gut-digestive-health-best-expert-tips-nutritious-life-diet-sleep-stress-exercise-cleanse" TargetMode="External"/><Relationship Id="rId3143" Type="http://schemas.openxmlformats.org/officeDocument/2006/relationships/hyperlink" Target="https://pbs.twimg.com/media/EOVK60TWkAAfxJu.png" TargetMode="External"/><Relationship Id="rId4474" Type="http://schemas.openxmlformats.org/officeDocument/2006/relationships/hyperlink" Target="https://www.thepathofme.com/" TargetMode="External"/><Relationship Id="rId3146" Type="http://schemas.openxmlformats.org/officeDocument/2006/relationships/hyperlink" Target="https://pbs.twimg.com/media/EOVKyrJUEAYfEH8.jpg" TargetMode="External"/><Relationship Id="rId4477" Type="http://schemas.openxmlformats.org/officeDocument/2006/relationships/hyperlink" Target="http://pic.twitter.com/CT1Gf0K3Cb" TargetMode="External"/><Relationship Id="rId3145" Type="http://schemas.openxmlformats.org/officeDocument/2006/relationships/hyperlink" Target="https://stephensgroup.synduit.com/LEKS0001" TargetMode="External"/><Relationship Id="rId4476" Type="http://schemas.openxmlformats.org/officeDocument/2006/relationships/hyperlink" Target="http://www.bugspeaks.com" TargetMode="External"/><Relationship Id="rId3148" Type="http://schemas.openxmlformats.org/officeDocument/2006/relationships/hyperlink" Target="http://medreps.com" TargetMode="External"/><Relationship Id="rId4479" Type="http://schemas.openxmlformats.org/officeDocument/2006/relationships/hyperlink" Target="http://amzn.com/B0078VSY6G/?tag=wwwkarendocte-20" TargetMode="External"/><Relationship Id="rId3147" Type="http://schemas.openxmlformats.org/officeDocument/2006/relationships/hyperlink" Target="http://stephensgrouptraining.com/" TargetMode="External"/><Relationship Id="rId4478" Type="http://schemas.openxmlformats.org/officeDocument/2006/relationships/hyperlink" Target="http://www.jennyrapp.com" TargetMode="External"/><Relationship Id="rId3171" Type="http://schemas.openxmlformats.org/officeDocument/2006/relationships/hyperlink" Target="http://www.omahapti.com" TargetMode="External"/><Relationship Id="rId3170" Type="http://schemas.openxmlformats.org/officeDocument/2006/relationships/hyperlink" Target="https://pbs.twimg.com/media/EOVD-F7WsAAO2FR.png" TargetMode="External"/><Relationship Id="rId3173" Type="http://schemas.openxmlformats.org/officeDocument/2006/relationships/hyperlink" Target="https://goo.gl/y1v43I" TargetMode="External"/><Relationship Id="rId3172" Type="http://schemas.openxmlformats.org/officeDocument/2006/relationships/hyperlink" Target="http://verifytx.com" TargetMode="External"/><Relationship Id="rId3175" Type="http://schemas.openxmlformats.org/officeDocument/2006/relationships/hyperlink" Target="http://www.fearofflying.com/" TargetMode="External"/><Relationship Id="rId3174" Type="http://schemas.openxmlformats.org/officeDocument/2006/relationships/hyperlink" Target="https://pbs.twimg.com/media/CyxfPyDVIAAW6Tq.jpg" TargetMode="External"/><Relationship Id="rId3177" Type="http://schemas.openxmlformats.org/officeDocument/2006/relationships/hyperlink" Target="http://www.sankalpajourneys.com/" TargetMode="External"/><Relationship Id="rId3176" Type="http://schemas.openxmlformats.org/officeDocument/2006/relationships/hyperlink" Target="https://buff.ly/2R8a0aW" TargetMode="External"/><Relationship Id="rId3179" Type="http://schemas.openxmlformats.org/officeDocument/2006/relationships/hyperlink" Target="https://pbs.twimg.com/media/EOVDEU6UUAswAaw.png" TargetMode="External"/><Relationship Id="rId3178" Type="http://schemas.openxmlformats.org/officeDocument/2006/relationships/hyperlink" Target="http://dlvr.it/RN5FTz" TargetMode="External"/><Relationship Id="rId3160" Type="http://schemas.openxmlformats.org/officeDocument/2006/relationships/hyperlink" Target="https://lttr.ai/MMAt" TargetMode="External"/><Relationship Id="rId4491" Type="http://schemas.openxmlformats.org/officeDocument/2006/relationships/hyperlink" Target="https://www.naturallifeapp.com/" TargetMode="External"/><Relationship Id="rId4490" Type="http://schemas.openxmlformats.org/officeDocument/2006/relationships/hyperlink" Target="https://pbs.twimg.com/media/EOOA0NfX4AAYBbF.jpg" TargetMode="External"/><Relationship Id="rId3162" Type="http://schemas.openxmlformats.org/officeDocument/2006/relationships/hyperlink" Target="https://www.bookkeepingandbusinessetc.com" TargetMode="External"/><Relationship Id="rId4493" Type="http://schemas.openxmlformats.org/officeDocument/2006/relationships/hyperlink" Target="https://pbs.twimg.com/media/EOOAh5SWkAMe-rq.jpg" TargetMode="External"/><Relationship Id="rId3161" Type="http://schemas.openxmlformats.org/officeDocument/2006/relationships/hyperlink" Target="https://pbs.twimg.com/media/EOVGR7WXUAINBq1.jpg" TargetMode="External"/><Relationship Id="rId4492" Type="http://schemas.openxmlformats.org/officeDocument/2006/relationships/hyperlink" Target="http://snip.ly/xsg7u" TargetMode="External"/><Relationship Id="rId3164" Type="http://schemas.openxmlformats.org/officeDocument/2006/relationships/hyperlink" Target="https://pbs.twimg.com/media/EOVGNZXWoAAE4eM.jpg" TargetMode="External"/><Relationship Id="rId4495" Type="http://schemas.openxmlformats.org/officeDocument/2006/relationships/hyperlink" Target="https://doug-sandler-3bnl.squarespace.com/news/anxietyattack" TargetMode="External"/><Relationship Id="rId3163" Type="http://schemas.openxmlformats.org/officeDocument/2006/relationships/hyperlink" Target="http://bit.ly/2N7hyuF" TargetMode="External"/><Relationship Id="rId4494" Type="http://schemas.openxmlformats.org/officeDocument/2006/relationships/hyperlink" Target="http://anthonyclarkmusic.com" TargetMode="External"/><Relationship Id="rId3166" Type="http://schemas.openxmlformats.org/officeDocument/2006/relationships/hyperlink" Target="http://ow.ly/k82c30q9dcl" TargetMode="External"/><Relationship Id="rId4497" Type="http://schemas.openxmlformats.org/officeDocument/2006/relationships/hyperlink" Target="https://awesomelifestylebusiness.com" TargetMode="External"/><Relationship Id="rId3165" Type="http://schemas.openxmlformats.org/officeDocument/2006/relationships/hyperlink" Target="http://www.uncommonclarity.com" TargetMode="External"/><Relationship Id="rId4496" Type="http://schemas.openxmlformats.org/officeDocument/2006/relationships/hyperlink" Target="https://pbs.twimg.com/media/EOOAF_XWkAECqWl.jpg" TargetMode="External"/><Relationship Id="rId3168" Type="http://schemas.openxmlformats.org/officeDocument/2006/relationships/hyperlink" Target="http://teresatomeo.com" TargetMode="External"/><Relationship Id="rId4499" Type="http://schemas.openxmlformats.org/officeDocument/2006/relationships/hyperlink" Target="https://fibroflutters.com/" TargetMode="External"/><Relationship Id="rId3167" Type="http://schemas.openxmlformats.org/officeDocument/2006/relationships/hyperlink" Target="https://pbs.twimg.com/media/EOVGLI6X4AAsLSW.jpg" TargetMode="External"/><Relationship Id="rId4498" Type="http://schemas.openxmlformats.org/officeDocument/2006/relationships/hyperlink" Target="https://neurosciencenews.com/cannabis-anxiety-stress-15461/" TargetMode="External"/><Relationship Id="rId3169" Type="http://schemas.openxmlformats.org/officeDocument/2006/relationships/hyperlink" Target="http://ow.ly/S2u850wWgYW" TargetMode="External"/><Relationship Id="rId2700" Type="http://schemas.openxmlformats.org/officeDocument/2006/relationships/hyperlink" Target="http://healthylivingsoundboard.com" TargetMode="External"/><Relationship Id="rId2701" Type="http://schemas.openxmlformats.org/officeDocument/2006/relationships/hyperlink" Target="https://pbs.twimg.com/media/EOWyNKiXkAAbC7w.jpg" TargetMode="External"/><Relationship Id="rId2702" Type="http://schemas.openxmlformats.org/officeDocument/2006/relationships/hyperlink" Target="http://www.mixer.com/SSGohpom" TargetMode="External"/><Relationship Id="rId2703" Type="http://schemas.openxmlformats.org/officeDocument/2006/relationships/hyperlink" Target="https://buff.ly/30t2POm" TargetMode="External"/><Relationship Id="rId2704" Type="http://schemas.openxmlformats.org/officeDocument/2006/relationships/hyperlink" Target="https://pbs.twimg.com/media/EOWx9WOWoAAbUUq.jpg" TargetMode="External"/><Relationship Id="rId2705" Type="http://schemas.openxmlformats.org/officeDocument/2006/relationships/hyperlink" Target="http://ontheline.org.au" TargetMode="External"/><Relationship Id="rId2706" Type="http://schemas.openxmlformats.org/officeDocument/2006/relationships/hyperlink" Target="https://smokefree.gov/challenges-when-" TargetMode="External"/><Relationship Id="rId2707" Type="http://schemas.openxmlformats.org/officeDocument/2006/relationships/hyperlink" Target="https://pbs.twimg.com/media/EOWxUOuUYAAOrIn.jpg" TargetMode="External"/><Relationship Id="rId2708" Type="http://schemas.openxmlformats.org/officeDocument/2006/relationships/hyperlink" Target="https://www.compadreslac.org/" TargetMode="External"/><Relationship Id="rId2709" Type="http://schemas.openxmlformats.org/officeDocument/2006/relationships/hyperlink" Target="https://neurosciencenews.com/burnout-heartbeat-15484/" TargetMode="External"/><Relationship Id="rId2720" Type="http://schemas.openxmlformats.org/officeDocument/2006/relationships/hyperlink" Target="https://alliedhealthprograms.com/" TargetMode="External"/><Relationship Id="rId2721" Type="http://schemas.openxmlformats.org/officeDocument/2006/relationships/hyperlink" Target="https://buff.ly/39Y8gtw" TargetMode="External"/><Relationship Id="rId2722" Type="http://schemas.openxmlformats.org/officeDocument/2006/relationships/hyperlink" Target="https://pbs.twimg.com/media/EOWqoYiWoAwz80T.jpg" TargetMode="External"/><Relationship Id="rId2723" Type="http://schemas.openxmlformats.org/officeDocument/2006/relationships/hyperlink" Target="http://www.kra.com/" TargetMode="External"/><Relationship Id="rId2724" Type="http://schemas.openxmlformats.org/officeDocument/2006/relationships/hyperlink" Target="https://new.hindawi.com/journals/omcl/2017/7313090/" TargetMode="External"/><Relationship Id="rId2725" Type="http://schemas.openxmlformats.org/officeDocument/2006/relationships/hyperlink" Target="https://pbs.twimg.com/media/EOWqaD_UcAArq-j.jpg" TargetMode="External"/><Relationship Id="rId2726" Type="http://schemas.openxmlformats.org/officeDocument/2006/relationships/hyperlink" Target="https://www.immunotec.com/masterantioxidant/products" TargetMode="External"/><Relationship Id="rId2727" Type="http://schemas.openxmlformats.org/officeDocument/2006/relationships/hyperlink" Target="http://bit.ly/GM-bp" TargetMode="External"/><Relationship Id="rId2728" Type="http://schemas.openxmlformats.org/officeDocument/2006/relationships/hyperlink" Target="https://pbs.twimg.com/media/EOWpDdGXsAAWfJd.jpg" TargetMode="External"/><Relationship Id="rId2729" Type="http://schemas.openxmlformats.org/officeDocument/2006/relationships/hyperlink" Target="http://gracemed.org" TargetMode="External"/><Relationship Id="rId2710" Type="http://schemas.openxmlformats.org/officeDocument/2006/relationships/hyperlink" Target="http://www.kristelvanwingerden.com" TargetMode="External"/><Relationship Id="rId2711" Type="http://schemas.openxmlformats.org/officeDocument/2006/relationships/hyperlink" Target="http://theartistsmassage.com" TargetMode="External"/><Relationship Id="rId2712" Type="http://schemas.openxmlformats.org/officeDocument/2006/relationships/hyperlink" Target="https://pbs.twimg.com/media/EOWsCoPXUAMBtIf.jpg" TargetMode="External"/><Relationship Id="rId2713" Type="http://schemas.openxmlformats.org/officeDocument/2006/relationships/hyperlink" Target="http://theartistsmassage.com" TargetMode="External"/><Relationship Id="rId2714" Type="http://schemas.openxmlformats.org/officeDocument/2006/relationships/hyperlink" Target="http://www.michaelpanar.com" TargetMode="External"/><Relationship Id="rId2715" Type="http://schemas.openxmlformats.org/officeDocument/2006/relationships/hyperlink" Target="https://zurl.co/XcCK" TargetMode="External"/><Relationship Id="rId2716" Type="http://schemas.openxmlformats.org/officeDocument/2006/relationships/hyperlink" Target="https://pbs.twimg.com/media/EOWreVfXkAAmpbX.jpg" TargetMode="External"/><Relationship Id="rId2717" Type="http://schemas.openxmlformats.org/officeDocument/2006/relationships/hyperlink" Target="https://youtu.be/pCdh9FBIpI0" TargetMode="External"/><Relationship Id="rId2718" Type="http://schemas.openxmlformats.org/officeDocument/2006/relationships/hyperlink" Target="http://www.danifiore.com" TargetMode="External"/><Relationship Id="rId2719" Type="http://schemas.openxmlformats.org/officeDocument/2006/relationships/hyperlink" Target="https://app.quuu.co/r/-nnrrb" TargetMode="External"/><Relationship Id="rId1455" Type="http://schemas.openxmlformats.org/officeDocument/2006/relationships/hyperlink" Target="http://ow.ly/xmyj301eI49" TargetMode="External"/><Relationship Id="rId2786" Type="http://schemas.openxmlformats.org/officeDocument/2006/relationships/hyperlink" Target="http://www.healthyplace.com" TargetMode="External"/><Relationship Id="rId1456" Type="http://schemas.openxmlformats.org/officeDocument/2006/relationships/hyperlink" Target="http://www.tranceformhypnosis.co.uk" TargetMode="External"/><Relationship Id="rId2787" Type="http://schemas.openxmlformats.org/officeDocument/2006/relationships/hyperlink" Target="http://ow.ly/jSmw50xVA0M" TargetMode="External"/><Relationship Id="rId1457" Type="http://schemas.openxmlformats.org/officeDocument/2006/relationships/hyperlink" Target="https://www.cmspubaccountancy.co.uk/" TargetMode="External"/><Relationship Id="rId2788" Type="http://schemas.openxmlformats.org/officeDocument/2006/relationships/hyperlink" Target="http://www.stress.org/stress-effects/" TargetMode="External"/><Relationship Id="rId1458" Type="http://schemas.openxmlformats.org/officeDocument/2006/relationships/hyperlink" Target="https://pbs.twimg.com/media/EOeKY0UWAAEy_py.jpg" TargetMode="External"/><Relationship Id="rId2789" Type="http://schemas.openxmlformats.org/officeDocument/2006/relationships/hyperlink" Target="https://pbs.twimg.com/media/EOWS54qX4AEtYQc.jpg" TargetMode="External"/><Relationship Id="rId1459" Type="http://schemas.openxmlformats.org/officeDocument/2006/relationships/hyperlink" Target="https://buff.ly/340gm0A" TargetMode="External"/><Relationship Id="rId629" Type="http://schemas.openxmlformats.org/officeDocument/2006/relationships/hyperlink" Target="https://mentalhealth.peersalleyconferences.com" TargetMode="External"/><Relationship Id="rId624" Type="http://schemas.openxmlformats.org/officeDocument/2006/relationships/hyperlink" Target="https://pbs.twimg.com/media/EOia94WW4AA0aRS.jpg" TargetMode="External"/><Relationship Id="rId623" Type="http://schemas.openxmlformats.org/officeDocument/2006/relationships/hyperlink" Target="http://bit.ly/37LKgb7" TargetMode="External"/><Relationship Id="rId622" Type="http://schemas.openxmlformats.org/officeDocument/2006/relationships/hyperlink" Target="https://qwikad.com" TargetMode="External"/><Relationship Id="rId621" Type="http://schemas.openxmlformats.org/officeDocument/2006/relationships/hyperlink" Target="https://qwikad.com/697/posts/20-Income-Opps/290-Affiliate-Marketing/853282-NO-RISK-NO-STRESS.html" TargetMode="External"/><Relationship Id="rId628" Type="http://schemas.openxmlformats.org/officeDocument/2006/relationships/hyperlink" Target="https://shar.es/a3zFzJ" TargetMode="External"/><Relationship Id="rId627" Type="http://schemas.openxmlformats.org/officeDocument/2006/relationships/hyperlink" Target="https://qwikad.com" TargetMode="External"/><Relationship Id="rId626" Type="http://schemas.openxmlformats.org/officeDocument/2006/relationships/hyperlink" Target="https://qwikad.com/697/posts/20-Income-Opps/290-Affiliate-Marketing/853282-NO-RISK-NO-STRESS.html" TargetMode="External"/><Relationship Id="rId625" Type="http://schemas.openxmlformats.org/officeDocument/2006/relationships/hyperlink" Target="https://kdfitnessandbodywork.com/" TargetMode="External"/><Relationship Id="rId2780" Type="http://schemas.openxmlformats.org/officeDocument/2006/relationships/hyperlink" Target="http://jeannieburlowski.com" TargetMode="External"/><Relationship Id="rId1450" Type="http://schemas.openxmlformats.org/officeDocument/2006/relationships/hyperlink" Target="http://www.croydon.ac.uk/ucc" TargetMode="External"/><Relationship Id="rId2781" Type="http://schemas.openxmlformats.org/officeDocument/2006/relationships/hyperlink" Target="https://twitter.com/carolmannagency/status/1217187792222027776" TargetMode="External"/><Relationship Id="rId620" Type="http://schemas.openxmlformats.org/officeDocument/2006/relationships/hyperlink" Target="https://pbs.twimg.com/media/EOidwxAWAAAA6BO.jpg" TargetMode="External"/><Relationship Id="rId1451" Type="http://schemas.openxmlformats.org/officeDocument/2006/relationships/hyperlink" Target="http://www.croydon.ac.uk" TargetMode="External"/><Relationship Id="rId2782" Type="http://schemas.openxmlformats.org/officeDocument/2006/relationships/hyperlink" Target="https://pbs.twimg.com/media/EORR10YW4AIQ4BA.png" TargetMode="External"/><Relationship Id="rId1452" Type="http://schemas.openxmlformats.org/officeDocument/2006/relationships/hyperlink" Target="https://pbs.twimg.com/media/EOeLeXBXkAEXazu.jpg" TargetMode="External"/><Relationship Id="rId2783" Type="http://schemas.openxmlformats.org/officeDocument/2006/relationships/hyperlink" Target="http://tamarchansky.com" TargetMode="External"/><Relationship Id="rId1453" Type="http://schemas.openxmlformats.org/officeDocument/2006/relationships/hyperlink" Target="https://open.spotify.com/episode/6TdGxMIjTNgeFSqXC4UTAH?si=r2LhSNIzTdemvnkru11yCQ" TargetMode="External"/><Relationship Id="rId2784" Type="http://schemas.openxmlformats.org/officeDocument/2006/relationships/hyperlink" Target="https://bit.ly/2TmO7ri" TargetMode="External"/><Relationship Id="rId1454" Type="http://schemas.openxmlformats.org/officeDocument/2006/relationships/hyperlink" Target="https://link.medium.com/Pw9QYt5Mj3" TargetMode="External"/><Relationship Id="rId2785" Type="http://schemas.openxmlformats.org/officeDocument/2006/relationships/hyperlink" Target="https://pbs.twimg.com/media/EOWWR-HWkAQv8dN.jpg" TargetMode="External"/><Relationship Id="rId1444" Type="http://schemas.openxmlformats.org/officeDocument/2006/relationships/hyperlink" Target="https://pbs.twimg.com/media/EOeNb2NX0AAks5v.jpg" TargetMode="External"/><Relationship Id="rId2775" Type="http://schemas.openxmlformats.org/officeDocument/2006/relationships/hyperlink" Target="https://pbs.twimg.com/media/EOWYWxkUEAIKb0f.jpg" TargetMode="External"/><Relationship Id="rId1445" Type="http://schemas.openxmlformats.org/officeDocument/2006/relationships/hyperlink" Target="http://www.dorothymartin.com" TargetMode="External"/><Relationship Id="rId2776" Type="http://schemas.openxmlformats.org/officeDocument/2006/relationships/hyperlink" Target="https://www.youtube.com/channel/UCi-pf_vutHWJmEY93LrIt7w?view_as=subscriber" TargetMode="External"/><Relationship Id="rId1446" Type="http://schemas.openxmlformats.org/officeDocument/2006/relationships/hyperlink" Target="http://www.dorsetmind.uk" TargetMode="External"/><Relationship Id="rId2777" Type="http://schemas.openxmlformats.org/officeDocument/2006/relationships/hyperlink" Target="https://www.instagram.com/p/B7Wp5vlh_vE/?igshid=1mlwefwryhggv" TargetMode="External"/><Relationship Id="rId1447" Type="http://schemas.openxmlformats.org/officeDocument/2006/relationships/hyperlink" Target="https://lttr.ai/MP04" TargetMode="External"/><Relationship Id="rId2778" Type="http://schemas.openxmlformats.org/officeDocument/2006/relationships/hyperlink" Target="http://www.facebook.com/cgmassageme" TargetMode="External"/><Relationship Id="rId1448" Type="http://schemas.openxmlformats.org/officeDocument/2006/relationships/hyperlink" Target="https://pbs.twimg.com/media/EOeL7XaWAAA8ReG.jpg" TargetMode="External"/><Relationship Id="rId2779" Type="http://schemas.openxmlformats.org/officeDocument/2006/relationships/hyperlink" Target="http://bit.ly/2QVBctI" TargetMode="External"/><Relationship Id="rId1449" Type="http://schemas.openxmlformats.org/officeDocument/2006/relationships/hyperlink" Target="https://hypnosisstudio.co.uk" TargetMode="External"/><Relationship Id="rId619" Type="http://schemas.openxmlformats.org/officeDocument/2006/relationships/hyperlink" Target="https://www.yogalotuspond.com/yoga-festival" TargetMode="External"/><Relationship Id="rId618" Type="http://schemas.openxmlformats.org/officeDocument/2006/relationships/hyperlink" Target="http://www.squidoo.com/shortcuts-to-happiness-lensography-" TargetMode="External"/><Relationship Id="rId613" Type="http://schemas.openxmlformats.org/officeDocument/2006/relationships/hyperlink" Target="http://www.kenokel.com" TargetMode="External"/><Relationship Id="rId612" Type="http://schemas.openxmlformats.org/officeDocument/2006/relationships/hyperlink" Target="https://www.kenokel.com/workplace-stress-survey/" TargetMode="External"/><Relationship Id="rId611" Type="http://schemas.openxmlformats.org/officeDocument/2006/relationships/hyperlink" Target="https://pbs.twimg.com/media/EOihK83XsAAOVrK.jpg" TargetMode="External"/><Relationship Id="rId610" Type="http://schemas.openxmlformats.org/officeDocument/2006/relationships/hyperlink" Target="http://cbdoilcast.com" TargetMode="External"/><Relationship Id="rId617" Type="http://schemas.openxmlformats.org/officeDocument/2006/relationships/hyperlink" Target="http://bit.ly/TapEFT" TargetMode="External"/><Relationship Id="rId616" Type="http://schemas.openxmlformats.org/officeDocument/2006/relationships/hyperlink" Target="http://www.makeeverythingfun.com" TargetMode="External"/><Relationship Id="rId615" Type="http://schemas.openxmlformats.org/officeDocument/2006/relationships/hyperlink" Target="https://pbs.twimg.com/media/EOie66-XUAEjoRc.jpg" TargetMode="External"/><Relationship Id="rId614" Type="http://schemas.openxmlformats.org/officeDocument/2006/relationships/hyperlink" Target="https://makeeverythingfun.com/radio/e35-overcome-fear-stress-emotional-freedom-technique-eft-deb-finch/" TargetMode="External"/><Relationship Id="rId2770" Type="http://schemas.openxmlformats.org/officeDocument/2006/relationships/hyperlink" Target="http://rave.ohiolink.edu/etdc/view?acc_num=ohiou1572553054250324" TargetMode="External"/><Relationship Id="rId1440" Type="http://schemas.openxmlformats.org/officeDocument/2006/relationships/hyperlink" Target="https://bit.ly/2QZtyj4" TargetMode="External"/><Relationship Id="rId2771" Type="http://schemas.openxmlformats.org/officeDocument/2006/relationships/hyperlink" Target="http://etd.ohiolink.edu/" TargetMode="External"/><Relationship Id="rId1441" Type="http://schemas.openxmlformats.org/officeDocument/2006/relationships/hyperlink" Target="https://pbs.twimg.com/media/EOeN-oeWAAAchve.jpg" TargetMode="External"/><Relationship Id="rId2772" Type="http://schemas.openxmlformats.org/officeDocument/2006/relationships/hyperlink" Target="https://pbs.twimg.com/media/EOWYj4WX4AU88CZ.jpg" TargetMode="External"/><Relationship Id="rId1442" Type="http://schemas.openxmlformats.org/officeDocument/2006/relationships/hyperlink" Target="http://www.actiononhearingloss.org.uk" TargetMode="External"/><Relationship Id="rId2773" Type="http://schemas.openxmlformats.org/officeDocument/2006/relationships/hyperlink" Target="http://about.me/julian_hall" TargetMode="External"/><Relationship Id="rId1443" Type="http://schemas.openxmlformats.org/officeDocument/2006/relationships/hyperlink" Target="https://dorothymartin.com/how-to-reduce-stress/" TargetMode="External"/><Relationship Id="rId2774" Type="http://schemas.openxmlformats.org/officeDocument/2006/relationships/hyperlink" Target="https://youtu.be/dR9EXxzHopw" TargetMode="External"/><Relationship Id="rId1477" Type="http://schemas.openxmlformats.org/officeDocument/2006/relationships/hyperlink" Target="https://medicalxpress.com/news/2020-01-stress-air-pollution-cognitive-difficulties.html" TargetMode="External"/><Relationship Id="rId4503" Type="http://schemas.openxmlformats.org/officeDocument/2006/relationships/hyperlink" Target="https://www.soisfibromyalgiareal.com/dont-sweat-the-small-stuffand-its-all-small-stuff-and-fibromyalgia-book-share-i/" TargetMode="External"/><Relationship Id="rId1478" Type="http://schemas.openxmlformats.org/officeDocument/2006/relationships/hyperlink" Target="http://medicalxpress.com" TargetMode="External"/><Relationship Id="rId4502" Type="http://schemas.openxmlformats.org/officeDocument/2006/relationships/hyperlink" Target="http://www.theplanethealthtv.com" TargetMode="External"/><Relationship Id="rId1479" Type="http://schemas.openxmlformats.org/officeDocument/2006/relationships/hyperlink" Target="http://www.selfcareisntselfish.com" TargetMode="External"/><Relationship Id="rId4505" Type="http://schemas.openxmlformats.org/officeDocument/2006/relationships/hyperlink" Target="https://bit.ly/2Sj5xEy" TargetMode="External"/><Relationship Id="rId4504" Type="http://schemas.openxmlformats.org/officeDocument/2006/relationships/hyperlink" Target="http://www.soisfibromyalgiareal.com" TargetMode="External"/><Relationship Id="rId4507" Type="http://schemas.openxmlformats.org/officeDocument/2006/relationships/hyperlink" Target="https://kratomtemple.com/" TargetMode="External"/><Relationship Id="rId4506" Type="http://schemas.openxmlformats.org/officeDocument/2006/relationships/hyperlink" Target="https://pbs.twimg.com/media/EONxqxpUwAAZbgP.jpg" TargetMode="External"/><Relationship Id="rId4509" Type="http://schemas.openxmlformats.org/officeDocument/2006/relationships/hyperlink" Target="https://pbs.twimg.com/media/EONtGjvWkAAEXYf.jpg" TargetMode="External"/><Relationship Id="rId4508" Type="http://schemas.openxmlformats.org/officeDocument/2006/relationships/hyperlink" Target="https://pbs.twimg.com/media/EONttFnU4AAvNsX.jpg" TargetMode="External"/><Relationship Id="rId646" Type="http://schemas.openxmlformats.org/officeDocument/2006/relationships/hyperlink" Target="http://www.kokilabenhospital.com" TargetMode="External"/><Relationship Id="rId645" Type="http://schemas.openxmlformats.org/officeDocument/2006/relationships/hyperlink" Target="https://pbs.twimg.com/media/EOaDaGqVAAAgLKz.jpg" TargetMode="External"/><Relationship Id="rId644" Type="http://schemas.openxmlformats.org/officeDocument/2006/relationships/hyperlink" Target="http://teamawesomism.com" TargetMode="External"/><Relationship Id="rId643" Type="http://schemas.openxmlformats.org/officeDocument/2006/relationships/hyperlink" Target="http://pic.twitter.com/tTcVOUnmUr" TargetMode="External"/><Relationship Id="rId649" Type="http://schemas.openxmlformats.org/officeDocument/2006/relationships/hyperlink" Target="http://www.wjso.com" TargetMode="External"/><Relationship Id="rId648" Type="http://schemas.openxmlformats.org/officeDocument/2006/relationships/hyperlink" Target="https://pbs.twimg.com/media/EOiFbc7VUAEaxna.jpg" TargetMode="External"/><Relationship Id="rId647" Type="http://schemas.openxmlformats.org/officeDocument/2006/relationships/hyperlink" Target="http://pic.twitter.com/Q3jJkvhex4" TargetMode="External"/><Relationship Id="rId1470" Type="http://schemas.openxmlformats.org/officeDocument/2006/relationships/hyperlink" Target="https://pbs.twimg.com/media/EOeIz20WAAAL1im.jpg" TargetMode="External"/><Relationship Id="rId1471" Type="http://schemas.openxmlformats.org/officeDocument/2006/relationships/hyperlink" Target="https://expatchild.com" TargetMode="External"/><Relationship Id="rId1472" Type="http://schemas.openxmlformats.org/officeDocument/2006/relationships/hyperlink" Target="http://ow.ly/pkPI50xXGqf" TargetMode="External"/><Relationship Id="rId642" Type="http://schemas.openxmlformats.org/officeDocument/2006/relationships/hyperlink" Target="http://www.undergradeasier.com" TargetMode="External"/><Relationship Id="rId1473" Type="http://schemas.openxmlformats.org/officeDocument/2006/relationships/hyperlink" Target="https://jdelaneyjoann.wordpress.com/" TargetMode="External"/><Relationship Id="rId641" Type="http://schemas.openxmlformats.org/officeDocument/2006/relationships/hyperlink" Target="https://pbs.twimg.com/media/EOiNAhNXkAE_na1.jpg" TargetMode="External"/><Relationship Id="rId1474" Type="http://schemas.openxmlformats.org/officeDocument/2006/relationships/hyperlink" Target="https://lttr.ai/MPxJ" TargetMode="External"/><Relationship Id="rId640" Type="http://schemas.openxmlformats.org/officeDocument/2006/relationships/hyperlink" Target="https://buff.ly/2HHgT0m" TargetMode="External"/><Relationship Id="rId1475" Type="http://schemas.openxmlformats.org/officeDocument/2006/relationships/hyperlink" Target="https://pbs.twimg.com/media/EOeIv0SXUAEm4vL.jpg" TargetMode="External"/><Relationship Id="rId4501" Type="http://schemas.openxmlformats.org/officeDocument/2006/relationships/hyperlink" Target="http://www.heartcongress.conferenceseries.com" TargetMode="External"/><Relationship Id="rId1476" Type="http://schemas.openxmlformats.org/officeDocument/2006/relationships/hyperlink" Target="https://expatability.net" TargetMode="External"/><Relationship Id="rId4500" Type="http://schemas.openxmlformats.org/officeDocument/2006/relationships/hyperlink" Target="https://pbs.twimg.com/media/EON80LmVAAcYYlr.jpg" TargetMode="External"/><Relationship Id="rId1466" Type="http://schemas.openxmlformats.org/officeDocument/2006/relationships/hyperlink" Target="http://professionalconferences.org/meet-us/psychosomatic-2020-562" TargetMode="External"/><Relationship Id="rId2797" Type="http://schemas.openxmlformats.org/officeDocument/2006/relationships/hyperlink" Target="https://loom.ly/g3N3c7U" TargetMode="External"/><Relationship Id="rId1467" Type="http://schemas.openxmlformats.org/officeDocument/2006/relationships/hyperlink" Target="https://mindfulnessmeditationinstitute.org/2013/03/18/how-to-slow-your-racing-mind/" TargetMode="External"/><Relationship Id="rId2798" Type="http://schemas.openxmlformats.org/officeDocument/2006/relationships/hyperlink" Target="http://www.tritiumdx.com" TargetMode="External"/><Relationship Id="rId1468" Type="http://schemas.openxmlformats.org/officeDocument/2006/relationships/hyperlink" Target="http://www.mindfulnessmeditationinstitute.org/" TargetMode="External"/><Relationship Id="rId2799" Type="http://schemas.openxmlformats.org/officeDocument/2006/relationships/hyperlink" Target="https://youtu.be/_SlQAeiGRso" TargetMode="External"/><Relationship Id="rId1469" Type="http://schemas.openxmlformats.org/officeDocument/2006/relationships/hyperlink" Target="https://lttr.ai/MPxp" TargetMode="External"/><Relationship Id="rId635" Type="http://schemas.openxmlformats.org/officeDocument/2006/relationships/hyperlink" Target="http://jjsponge120.deviantart.com/" TargetMode="External"/><Relationship Id="rId634" Type="http://schemas.openxmlformats.org/officeDocument/2006/relationships/hyperlink" Target="https://pbs.twimg.com/media/EOiWPXTUYAAEb-9.jpg" TargetMode="External"/><Relationship Id="rId633" Type="http://schemas.openxmlformats.org/officeDocument/2006/relationships/hyperlink" Target="http://www.artemishospitals.com/" TargetMode="External"/><Relationship Id="rId632" Type="http://schemas.openxmlformats.org/officeDocument/2006/relationships/hyperlink" Target="https://pbs.twimg.com/media/EOiW_6aUcAAtRFH.jpg" TargetMode="External"/><Relationship Id="rId639" Type="http://schemas.openxmlformats.org/officeDocument/2006/relationships/hyperlink" Target="http://www.mindfulnessmeditationinstitute.org/" TargetMode="External"/><Relationship Id="rId638" Type="http://schemas.openxmlformats.org/officeDocument/2006/relationships/hyperlink" Target="https://innerself.com/content/personal/spirituality-mindfulness/inspiration/10164-five-hindrances.html" TargetMode="External"/><Relationship Id="rId637" Type="http://schemas.openxmlformats.org/officeDocument/2006/relationships/hyperlink" Target="https://linktr.ee/padhamhealthnews" TargetMode="External"/><Relationship Id="rId636" Type="http://schemas.openxmlformats.org/officeDocument/2006/relationships/hyperlink" Target="http://padhamhealthnews.org/easy-ways-to-relieve-stress-lead-a-happy-life/" TargetMode="External"/><Relationship Id="rId2790" Type="http://schemas.openxmlformats.org/officeDocument/2006/relationships/hyperlink" Target="http://www.wellnessinmotion.ca" TargetMode="External"/><Relationship Id="rId1460" Type="http://schemas.openxmlformats.org/officeDocument/2006/relationships/hyperlink" Target="https://pbs.twimg.com/media/EOeKXzbX4AAKYIn.png" TargetMode="External"/><Relationship Id="rId2791" Type="http://schemas.openxmlformats.org/officeDocument/2006/relationships/hyperlink" Target="https://healthyfit07.blogspot.com/2018/11/lifestyle-changes-to-improve-fertility.html" TargetMode="External"/><Relationship Id="rId1461" Type="http://schemas.openxmlformats.org/officeDocument/2006/relationships/hyperlink" Target="http://www.mojow.com" TargetMode="External"/><Relationship Id="rId2792" Type="http://schemas.openxmlformats.org/officeDocument/2006/relationships/hyperlink" Target="https://pbs.twimg.com/media/EOWS2hKXkAIaTo2.jpg" TargetMode="External"/><Relationship Id="rId631" Type="http://schemas.openxmlformats.org/officeDocument/2006/relationships/hyperlink" Target="https://mentalhealth.peersalleyconferences.com/" TargetMode="External"/><Relationship Id="rId1462" Type="http://schemas.openxmlformats.org/officeDocument/2006/relationships/hyperlink" Target="https://qwikad.com/697/posts/20-Income-Opps/129-Business-Opportunities/853282-NO-RISK-NO-STRESS.html" TargetMode="External"/><Relationship Id="rId2793" Type="http://schemas.openxmlformats.org/officeDocument/2006/relationships/hyperlink" Target="https://healthyfit07.blogspot.com" TargetMode="External"/><Relationship Id="rId630" Type="http://schemas.openxmlformats.org/officeDocument/2006/relationships/hyperlink" Target="https://pbs.twimg.com/media/EOiYGXHU8AUrkaV.jpg" TargetMode="External"/><Relationship Id="rId1463" Type="http://schemas.openxmlformats.org/officeDocument/2006/relationships/hyperlink" Target="https://qwikad.com" TargetMode="External"/><Relationship Id="rId2794" Type="http://schemas.openxmlformats.org/officeDocument/2006/relationships/hyperlink" Target="https://www.instagram.com/p/B7Wm7WalxNj6p8yvh8TcxfkierA22l_E5hBLzI0/?igshid=pii90e9eia45" TargetMode="External"/><Relationship Id="rId1464" Type="http://schemas.openxmlformats.org/officeDocument/2006/relationships/hyperlink" Target="http://professionalconferences.org/meet-us/psychosomatic-2020-562" TargetMode="External"/><Relationship Id="rId2795" Type="http://schemas.openxmlformats.org/officeDocument/2006/relationships/hyperlink" Target="https://www.livestrong.com/article/13715223-how-to-deal-with-stress-at-work/" TargetMode="External"/><Relationship Id="rId1465" Type="http://schemas.openxmlformats.org/officeDocument/2006/relationships/hyperlink" Target="https://pbs.twimg.com/media/EOeJkXVU0AEQCDb.jpg" TargetMode="External"/><Relationship Id="rId2796" Type="http://schemas.openxmlformats.org/officeDocument/2006/relationships/hyperlink" Target="http://www.patriciabannan.com" TargetMode="External"/><Relationship Id="rId1411" Type="http://schemas.openxmlformats.org/officeDocument/2006/relationships/hyperlink" Target="http://www.aster.co.uk" TargetMode="External"/><Relationship Id="rId2742" Type="http://schemas.openxmlformats.org/officeDocument/2006/relationships/hyperlink" Target="http://kcsl.org/ParentTipCards.aspx" TargetMode="External"/><Relationship Id="rId1412" Type="http://schemas.openxmlformats.org/officeDocument/2006/relationships/hyperlink" Target="https://lttr.ai/MP8i" TargetMode="External"/><Relationship Id="rId2743" Type="http://schemas.openxmlformats.org/officeDocument/2006/relationships/hyperlink" Target="https://pbs.twimg.com/media/EOWkYLTWoAAjVWe.jpg" TargetMode="External"/><Relationship Id="rId1413" Type="http://schemas.openxmlformats.org/officeDocument/2006/relationships/hyperlink" Target="https://pbs.twimg.com/media/EOeUs8wX0AAJ4PJ.jpg" TargetMode="External"/><Relationship Id="rId2744" Type="http://schemas.openxmlformats.org/officeDocument/2006/relationships/hyperlink" Target="http://www.kcsl.org" TargetMode="External"/><Relationship Id="rId1414" Type="http://schemas.openxmlformats.org/officeDocument/2006/relationships/hyperlink" Target="https://expatchild.com/expatdirectory/" TargetMode="External"/><Relationship Id="rId2745" Type="http://schemas.openxmlformats.org/officeDocument/2006/relationships/hyperlink" Target="https://pbs.twimg.com/media/EOWkBQ_X4AA9Vua.jpg" TargetMode="External"/><Relationship Id="rId1415" Type="http://schemas.openxmlformats.org/officeDocument/2006/relationships/hyperlink" Target="https://pbs.twimg.com/media/EOeUOCxWsAAHhcq.jpg" TargetMode="External"/><Relationship Id="rId2746" Type="http://schemas.openxmlformats.org/officeDocument/2006/relationships/hyperlink" Target="http://www.emmaparsons.com.au" TargetMode="External"/><Relationship Id="rId1416" Type="http://schemas.openxmlformats.org/officeDocument/2006/relationships/hyperlink" Target="https://twitter.com/DrLeahLagos/status/1217944569876221952" TargetMode="External"/><Relationship Id="rId2747" Type="http://schemas.openxmlformats.org/officeDocument/2006/relationships/hyperlink" Target="https://pbs.twimg.com/media/EOWj_wRWAAIi3j6.jpg" TargetMode="External"/><Relationship Id="rId1417" Type="http://schemas.openxmlformats.org/officeDocument/2006/relationships/hyperlink" Target="http://pic.twitter.com/udHugGbvEu" TargetMode="External"/><Relationship Id="rId2748" Type="http://schemas.openxmlformats.org/officeDocument/2006/relationships/hyperlink" Target="https://www.lyfemarketing.com" TargetMode="External"/><Relationship Id="rId1418" Type="http://schemas.openxmlformats.org/officeDocument/2006/relationships/hyperlink" Target="http://www.biofeedbacktech.com" TargetMode="External"/><Relationship Id="rId2749" Type="http://schemas.openxmlformats.org/officeDocument/2006/relationships/hyperlink" Target="https://www.puregreenexpress.ca/maui-wowie.html" TargetMode="External"/><Relationship Id="rId1419" Type="http://schemas.openxmlformats.org/officeDocument/2006/relationships/hyperlink" Target="https://bddy.me/2TDL65Q" TargetMode="External"/><Relationship Id="rId2740" Type="http://schemas.openxmlformats.org/officeDocument/2006/relationships/hyperlink" Target="http://www.mindfulnessmeditationinstitute.org/" TargetMode="External"/><Relationship Id="rId1410" Type="http://schemas.openxmlformats.org/officeDocument/2006/relationships/hyperlink" Target="http://www.pschemist.com" TargetMode="External"/><Relationship Id="rId2741" Type="http://schemas.openxmlformats.org/officeDocument/2006/relationships/hyperlink" Target="https://pbs.twimg.com/media/EOWlf_1WkAASwX1.jpg" TargetMode="External"/><Relationship Id="rId1400" Type="http://schemas.openxmlformats.org/officeDocument/2006/relationships/hyperlink" Target="http://www.therawrainbow.com" TargetMode="External"/><Relationship Id="rId2731" Type="http://schemas.openxmlformats.org/officeDocument/2006/relationships/hyperlink" Target="http://weston.gcsc.k12.in.us/" TargetMode="External"/><Relationship Id="rId1401" Type="http://schemas.openxmlformats.org/officeDocument/2006/relationships/hyperlink" Target="http://rikidavies.co.uk" TargetMode="External"/><Relationship Id="rId2732" Type="http://schemas.openxmlformats.org/officeDocument/2006/relationships/hyperlink" Target="https://pbs.twimg.com/media/EOWn6viX0AUIXp0.jpg" TargetMode="External"/><Relationship Id="rId1402" Type="http://schemas.openxmlformats.org/officeDocument/2006/relationships/hyperlink" Target="https://pbs.twimg.com/media/EOeYSJEX4AASseU.jpg" TargetMode="External"/><Relationship Id="rId2733" Type="http://schemas.openxmlformats.org/officeDocument/2006/relationships/hyperlink" Target="http://bit.ly/2uLjcdP" TargetMode="External"/><Relationship Id="rId1403" Type="http://schemas.openxmlformats.org/officeDocument/2006/relationships/hyperlink" Target="http://www.rikidavies.co.uk" TargetMode="External"/><Relationship Id="rId2734" Type="http://schemas.openxmlformats.org/officeDocument/2006/relationships/hyperlink" Target="https://pbs.twimg.com/media/EOTsAWYX0AA_Sm6.jpg" TargetMode="External"/><Relationship Id="rId1404" Type="http://schemas.openxmlformats.org/officeDocument/2006/relationships/hyperlink" Target="https://pbs.twimg.com/media/EOeYJUFU8AAb2A6.jpg" TargetMode="External"/><Relationship Id="rId2735" Type="http://schemas.openxmlformats.org/officeDocument/2006/relationships/hyperlink" Target="http://www.depressionforums.org" TargetMode="External"/><Relationship Id="rId1405" Type="http://schemas.openxmlformats.org/officeDocument/2006/relationships/hyperlink" Target="http://www.iith.ac.in" TargetMode="External"/><Relationship Id="rId2736" Type="http://schemas.openxmlformats.org/officeDocument/2006/relationships/hyperlink" Target="https://www.maxkirsten.com" TargetMode="External"/><Relationship Id="rId1406" Type="http://schemas.openxmlformats.org/officeDocument/2006/relationships/hyperlink" Target="http://bit.ly/AwareLSO" TargetMode="External"/><Relationship Id="rId2737" Type="http://schemas.openxmlformats.org/officeDocument/2006/relationships/hyperlink" Target="https://buff.ly/343hiBN" TargetMode="External"/><Relationship Id="rId1407" Type="http://schemas.openxmlformats.org/officeDocument/2006/relationships/hyperlink" Target="https://pbs.twimg.com/media/EOeWX5OXsAUUaWd.png" TargetMode="External"/><Relationship Id="rId2738" Type="http://schemas.openxmlformats.org/officeDocument/2006/relationships/hyperlink" Target="http://www.achronicvoice.com" TargetMode="External"/><Relationship Id="rId1408" Type="http://schemas.openxmlformats.org/officeDocument/2006/relationships/hyperlink" Target="http://www.aware.ie" TargetMode="External"/><Relationship Id="rId2739" Type="http://schemas.openxmlformats.org/officeDocument/2006/relationships/hyperlink" Target="https://innerself.com/content/personal/spirituality-mindfulness/inspiration/10164-five-hindrances.html" TargetMode="External"/><Relationship Id="rId1409" Type="http://schemas.openxmlformats.org/officeDocument/2006/relationships/hyperlink" Target="https://pbs.twimg.com/media/EOeWORoW4AAwphO.jpg" TargetMode="External"/><Relationship Id="rId2730" Type="http://schemas.openxmlformats.org/officeDocument/2006/relationships/hyperlink" Target="http://pic.twitter.com/HJ4uKzNXPw" TargetMode="External"/><Relationship Id="rId1433" Type="http://schemas.openxmlformats.org/officeDocument/2006/relationships/hyperlink" Target="https://pbs.twimg.com/media/EOePEieWkAABdQr.jpg" TargetMode="External"/><Relationship Id="rId2764" Type="http://schemas.openxmlformats.org/officeDocument/2006/relationships/hyperlink" Target="http://www.icpsr.umich.edu/NACDA" TargetMode="External"/><Relationship Id="rId1434" Type="http://schemas.openxmlformats.org/officeDocument/2006/relationships/hyperlink" Target="https://www.surveycircle.com/surveys" TargetMode="External"/><Relationship Id="rId2765" Type="http://schemas.openxmlformats.org/officeDocument/2006/relationships/hyperlink" Target="https://www.tomseamancoaching.com/do-you-live-in-protection-mode-because-of-your-pain/" TargetMode="External"/><Relationship Id="rId1435" Type="http://schemas.openxmlformats.org/officeDocument/2006/relationships/hyperlink" Target="https://buff.ly/2FSxpIf" TargetMode="External"/><Relationship Id="rId2766" Type="http://schemas.openxmlformats.org/officeDocument/2006/relationships/hyperlink" Target="https://www.facebook.com/PackHealth" TargetMode="External"/><Relationship Id="rId1436" Type="http://schemas.openxmlformats.org/officeDocument/2006/relationships/hyperlink" Target="https://pbs.twimg.com/media/EOeOwwnX4AEQ2YS.jpg" TargetMode="External"/><Relationship Id="rId2767" Type="http://schemas.openxmlformats.org/officeDocument/2006/relationships/hyperlink" Target="https://bit.ly/35yFoVr" TargetMode="External"/><Relationship Id="rId1437" Type="http://schemas.openxmlformats.org/officeDocument/2006/relationships/hyperlink" Target="http://www.dailywaffle.co.uk" TargetMode="External"/><Relationship Id="rId2768" Type="http://schemas.openxmlformats.org/officeDocument/2006/relationships/hyperlink" Target="http://pic.twitter.com/JczYuYprC3" TargetMode="External"/><Relationship Id="rId1438" Type="http://schemas.openxmlformats.org/officeDocument/2006/relationships/hyperlink" Target="https://lttr.ai/MP3M" TargetMode="External"/><Relationship Id="rId2769" Type="http://schemas.openxmlformats.org/officeDocument/2006/relationships/hyperlink" Target="http://www.masisstaffing.com" TargetMode="External"/><Relationship Id="rId1439" Type="http://schemas.openxmlformats.org/officeDocument/2006/relationships/hyperlink" Target="https://pbs.twimg.com/media/EOeORW9XUAAgwTu.png" TargetMode="External"/><Relationship Id="rId609" Type="http://schemas.openxmlformats.org/officeDocument/2006/relationships/hyperlink" Target="https://www.hopequre.com/" TargetMode="External"/><Relationship Id="rId608" Type="http://schemas.openxmlformats.org/officeDocument/2006/relationships/hyperlink" Target="https://pbs.twimg.com/media/EOii56-UwAASQXe.jpg" TargetMode="External"/><Relationship Id="rId607" Type="http://schemas.openxmlformats.org/officeDocument/2006/relationships/hyperlink" Target="http://anthonyclarkmusic.com" TargetMode="External"/><Relationship Id="rId602" Type="http://schemas.openxmlformats.org/officeDocument/2006/relationships/hyperlink" Target="https://www.amazon.com/Mindfulness-Meditation-Made-Simple-Finding/dp/0990840506/" TargetMode="External"/><Relationship Id="rId601" Type="http://schemas.openxmlformats.org/officeDocument/2006/relationships/hyperlink" Target="http://www.soisfibromyalgiareal.com" TargetMode="External"/><Relationship Id="rId600" Type="http://schemas.openxmlformats.org/officeDocument/2006/relationships/hyperlink" Target="http://www.soisfibromyalgiareal.com/i-have-fibromyalgiai-work-on-stressthe-fibromyalgia-and-stress-connection/" TargetMode="External"/><Relationship Id="rId606" Type="http://schemas.openxmlformats.org/officeDocument/2006/relationships/hyperlink" Target="https://pbs.twimg.com/media/EOikDgsWAAEJGKt.jpg" TargetMode="External"/><Relationship Id="rId605" Type="http://schemas.openxmlformats.org/officeDocument/2006/relationships/hyperlink" Target="http://snip.ly/49w6c" TargetMode="External"/><Relationship Id="rId604" Type="http://schemas.openxmlformats.org/officeDocument/2006/relationships/hyperlink" Target="https://www.kickstarter.com/projects/twiichii/thailand-the-floral-wonderland" TargetMode="External"/><Relationship Id="rId603" Type="http://schemas.openxmlformats.org/officeDocument/2006/relationships/hyperlink" Target="http://www.mindfulnessmeditationinstitute.org/" TargetMode="External"/><Relationship Id="rId2760" Type="http://schemas.openxmlformats.org/officeDocument/2006/relationships/hyperlink" Target="https://www.psychologytoday.com/us/blog/click-here-happiness/202001/how-reduce-stress-relieve-manage-and-overcome-stress" TargetMode="External"/><Relationship Id="rId1430" Type="http://schemas.openxmlformats.org/officeDocument/2006/relationships/hyperlink" Target="https://humanperformancepsychology.com/2020/01/14/competitive-stress/" TargetMode="External"/><Relationship Id="rId2761" Type="http://schemas.openxmlformats.org/officeDocument/2006/relationships/hyperlink" Target="http://transcendrecoverycommunity.com" TargetMode="External"/><Relationship Id="rId1431" Type="http://schemas.openxmlformats.org/officeDocument/2006/relationships/hyperlink" Target="https://humanperformancepsychology.com/" TargetMode="External"/><Relationship Id="rId2762" Type="http://schemas.openxmlformats.org/officeDocument/2006/relationships/hyperlink" Target="https://buff.ly/2QOZcj2" TargetMode="External"/><Relationship Id="rId1432" Type="http://schemas.openxmlformats.org/officeDocument/2006/relationships/hyperlink" Target="https://www.surveycircle.com/en/surveys/?cr=at" TargetMode="External"/><Relationship Id="rId2763" Type="http://schemas.openxmlformats.org/officeDocument/2006/relationships/hyperlink" Target="https://pbs.twimg.com/media/EOWdNEaXkAET22e.jpg" TargetMode="External"/><Relationship Id="rId1422" Type="http://schemas.openxmlformats.org/officeDocument/2006/relationships/hyperlink" Target="http://bit.ly/2NnGmxG" TargetMode="External"/><Relationship Id="rId2753" Type="http://schemas.openxmlformats.org/officeDocument/2006/relationships/hyperlink" Target="https://pbs.twimg.com/media/EOWezUWXkAU7xmc.jpg" TargetMode="External"/><Relationship Id="rId1423" Type="http://schemas.openxmlformats.org/officeDocument/2006/relationships/hyperlink" Target="https://pbs.twimg.com/media/EOZdeQzW4AA6swx.jpg" TargetMode="External"/><Relationship Id="rId2754" Type="http://schemas.openxmlformats.org/officeDocument/2006/relationships/hyperlink" Target="http://www.bailmeoutproductions.com" TargetMode="External"/><Relationship Id="rId1424" Type="http://schemas.openxmlformats.org/officeDocument/2006/relationships/hyperlink" Target="http://www.hrrevolution.co.uk" TargetMode="External"/><Relationship Id="rId2755" Type="http://schemas.openxmlformats.org/officeDocument/2006/relationships/hyperlink" Target="http://ow.ly/vumd30gOUgb" TargetMode="External"/><Relationship Id="rId1425" Type="http://schemas.openxmlformats.org/officeDocument/2006/relationships/hyperlink" Target="https://doug-sandler-3bnl.squarespace.com/news/anxietyattack" TargetMode="External"/><Relationship Id="rId2756" Type="http://schemas.openxmlformats.org/officeDocument/2006/relationships/hyperlink" Target="https://pbs.twimg.com/media/EOWdew_WkAEnCAG.jpg" TargetMode="External"/><Relationship Id="rId1426" Type="http://schemas.openxmlformats.org/officeDocument/2006/relationships/hyperlink" Target="https://pbs.twimg.com/media/EOeRuScX4AA5wbQ.jpg" TargetMode="External"/><Relationship Id="rId2757" Type="http://schemas.openxmlformats.org/officeDocument/2006/relationships/hyperlink" Target="https://www.travelshopgirl.com" TargetMode="External"/><Relationship Id="rId1427" Type="http://schemas.openxmlformats.org/officeDocument/2006/relationships/hyperlink" Target="http://healthcaretoday.com.my/deep-breathing-exercises-to-boost-focus-and-energy.html" TargetMode="External"/><Relationship Id="rId2758" Type="http://schemas.openxmlformats.org/officeDocument/2006/relationships/hyperlink" Target="http://ow.ly/Pq3I50xVHJK" TargetMode="External"/><Relationship Id="rId1428" Type="http://schemas.openxmlformats.org/officeDocument/2006/relationships/hyperlink" Target="https://pbs.twimg.com/media/EOeRRnlVUAAafRG.jpg" TargetMode="External"/><Relationship Id="rId2759" Type="http://schemas.openxmlformats.org/officeDocument/2006/relationships/hyperlink" Target="http://www.alcosales.com" TargetMode="External"/><Relationship Id="rId1429" Type="http://schemas.openxmlformats.org/officeDocument/2006/relationships/hyperlink" Target="http://healthcaretoday.com.my" TargetMode="External"/><Relationship Id="rId2750" Type="http://schemas.openxmlformats.org/officeDocument/2006/relationships/hyperlink" Target="https://www.puregreenexpress.ca" TargetMode="External"/><Relationship Id="rId1420" Type="http://schemas.openxmlformats.org/officeDocument/2006/relationships/hyperlink" Target="https://pbs.twimg.com/media/EOeSZcrWsAArBFu.jpg" TargetMode="External"/><Relationship Id="rId2751" Type="http://schemas.openxmlformats.org/officeDocument/2006/relationships/hyperlink" Target="http://myf.mg/9sRS" TargetMode="External"/><Relationship Id="rId1421" Type="http://schemas.openxmlformats.org/officeDocument/2006/relationships/hyperlink" Target="http://www.everywoman.com" TargetMode="External"/><Relationship Id="rId2752" Type="http://schemas.openxmlformats.org/officeDocument/2006/relationships/hyperlink" Target="https://www.youtube.com/watch?v=0iurfLxigS8" TargetMode="External"/><Relationship Id="rId3238" Type="http://schemas.openxmlformats.org/officeDocument/2006/relationships/hyperlink" Target="https://pbs.twimg.com/media/EOU4aumXsAExBiF.png" TargetMode="External"/><Relationship Id="rId4569" Type="http://schemas.openxmlformats.org/officeDocument/2006/relationships/hyperlink" Target="https://www.puregreenexpress.ca/cbd-dominant-0-1-capsules-10mg-cbd-30-count-bottle.html" TargetMode="External"/><Relationship Id="rId3237" Type="http://schemas.openxmlformats.org/officeDocument/2006/relationships/hyperlink" Target="https://lttr.ai/ML4r" TargetMode="External"/><Relationship Id="rId4568" Type="http://schemas.openxmlformats.org/officeDocument/2006/relationships/hyperlink" Target="https://www.puregreenexpress.ca" TargetMode="External"/><Relationship Id="rId3239" Type="http://schemas.openxmlformats.org/officeDocument/2006/relationships/hyperlink" Target="http://www.judejennison.com" TargetMode="External"/><Relationship Id="rId3230" Type="http://schemas.openxmlformats.org/officeDocument/2006/relationships/hyperlink" Target="https://pbs.twimg.com/media/EOU6QOOXkAA9ecX.jpg" TargetMode="External"/><Relationship Id="rId4561" Type="http://schemas.openxmlformats.org/officeDocument/2006/relationships/hyperlink" Target="https://www.profiletree.com/agency-services/" TargetMode="External"/><Relationship Id="rId4560" Type="http://schemas.openxmlformats.org/officeDocument/2006/relationships/hyperlink" Target="https://pbs.twimg.com/media/EMYqOH6XsAA0Jq1.jpg" TargetMode="External"/><Relationship Id="rId3232" Type="http://schemas.openxmlformats.org/officeDocument/2006/relationships/hyperlink" Target="https://buff.ly/2RmQgRd" TargetMode="External"/><Relationship Id="rId4563" Type="http://schemas.openxmlformats.org/officeDocument/2006/relationships/hyperlink" Target="https://pbs.twimg.com/media/EONTMI3UcAACThP.jpg" TargetMode="External"/><Relationship Id="rId3231" Type="http://schemas.openxmlformats.org/officeDocument/2006/relationships/hyperlink" Target="http://www.medicinenet.com" TargetMode="External"/><Relationship Id="rId4562" Type="http://schemas.openxmlformats.org/officeDocument/2006/relationships/hyperlink" Target="https://www.thehealthyrd.com/single-post-lavender-for-anxiety/" TargetMode="External"/><Relationship Id="rId3234" Type="http://schemas.openxmlformats.org/officeDocument/2006/relationships/hyperlink" Target="http://www.b-secur.com/" TargetMode="External"/><Relationship Id="rId4565" Type="http://schemas.openxmlformats.org/officeDocument/2006/relationships/hyperlink" Target="https://shop.ilovegrowingmarijuana.com/products/amnesia-haze-autoflower" TargetMode="External"/><Relationship Id="rId3233" Type="http://schemas.openxmlformats.org/officeDocument/2006/relationships/hyperlink" Target="https://pbs.twimg.com/media/EOU47TZX0AECG3o.jpg" TargetMode="External"/><Relationship Id="rId4564" Type="http://schemas.openxmlformats.org/officeDocument/2006/relationships/hyperlink" Target="https://www.thehealthyrd.com/" TargetMode="External"/><Relationship Id="rId3236" Type="http://schemas.openxmlformats.org/officeDocument/2006/relationships/hyperlink" Target="https://www.gowiththeflowmassage.net" TargetMode="External"/><Relationship Id="rId4567" Type="http://schemas.openxmlformats.org/officeDocument/2006/relationships/hyperlink" Target="https://www.puregreenexpress.ca/variety-sampler-6pack.html" TargetMode="External"/><Relationship Id="rId3235" Type="http://schemas.openxmlformats.org/officeDocument/2006/relationships/hyperlink" Target="https://www.instagram.com/p/B7V6IsQBhom/?igshid=1sjt45t0vfhjg" TargetMode="External"/><Relationship Id="rId4566" Type="http://schemas.openxmlformats.org/officeDocument/2006/relationships/hyperlink" Target="https://www.vetscp.org/" TargetMode="External"/><Relationship Id="rId3227" Type="http://schemas.openxmlformats.org/officeDocument/2006/relationships/hyperlink" Target="http://www.fgt-norfolk.co.uk" TargetMode="External"/><Relationship Id="rId4558" Type="http://schemas.openxmlformats.org/officeDocument/2006/relationships/hyperlink" Target="http://www.wellnessthatworks.com.au" TargetMode="External"/><Relationship Id="rId3226" Type="http://schemas.openxmlformats.org/officeDocument/2006/relationships/hyperlink" Target="https://pbs.twimg.com/media/EOU60QoXUAEWyMB.png" TargetMode="External"/><Relationship Id="rId4557" Type="http://schemas.openxmlformats.org/officeDocument/2006/relationships/hyperlink" Target="http://www.wjso.com" TargetMode="External"/><Relationship Id="rId3229" Type="http://schemas.openxmlformats.org/officeDocument/2006/relationships/hyperlink" Target="https://buff.ly/2Nkh03l" TargetMode="External"/><Relationship Id="rId3228" Type="http://schemas.openxmlformats.org/officeDocument/2006/relationships/hyperlink" Target="http://medicinenet.com" TargetMode="External"/><Relationship Id="rId4559" Type="http://schemas.openxmlformats.org/officeDocument/2006/relationships/hyperlink" Target="http://profiletree.com/how-to-deal-with-workplace-stress/" TargetMode="External"/><Relationship Id="rId699" Type="http://schemas.openxmlformats.org/officeDocument/2006/relationships/hyperlink" Target="http://www.timetamer.com.au" TargetMode="External"/><Relationship Id="rId698" Type="http://schemas.openxmlformats.org/officeDocument/2006/relationships/hyperlink" Target="http://www.timetamer.com.au" TargetMode="External"/><Relationship Id="rId693" Type="http://schemas.openxmlformats.org/officeDocument/2006/relationships/hyperlink" Target="http://www.americareny.com/" TargetMode="External"/><Relationship Id="rId4550" Type="http://schemas.openxmlformats.org/officeDocument/2006/relationships/hyperlink" Target="http://www.quick-good-fortune.com" TargetMode="External"/><Relationship Id="rId692" Type="http://schemas.openxmlformats.org/officeDocument/2006/relationships/hyperlink" Target="https://askdrganz.com" TargetMode="External"/><Relationship Id="rId691" Type="http://schemas.openxmlformats.org/officeDocument/2006/relationships/hyperlink" Target="https://pbs.twimg.com/media/EOhgXnnWoAAIK7g.jpg" TargetMode="External"/><Relationship Id="rId3221" Type="http://schemas.openxmlformats.org/officeDocument/2006/relationships/hyperlink" Target="http://relaxintuit.com" TargetMode="External"/><Relationship Id="rId4552" Type="http://schemas.openxmlformats.org/officeDocument/2006/relationships/hyperlink" Target="https://linktr.ee/entrancehypno" TargetMode="External"/><Relationship Id="rId690" Type="http://schemas.openxmlformats.org/officeDocument/2006/relationships/hyperlink" Target="https://askdrganz.com/blogs/podcast/askdrganz-podcast-episode-14" TargetMode="External"/><Relationship Id="rId3220" Type="http://schemas.openxmlformats.org/officeDocument/2006/relationships/hyperlink" Target="http://www.greenville-spartanburgrealestate.com" TargetMode="External"/><Relationship Id="rId4551" Type="http://schemas.openxmlformats.org/officeDocument/2006/relationships/hyperlink" Target="http://bit.ly/2y0ceiK" TargetMode="External"/><Relationship Id="rId697" Type="http://schemas.openxmlformats.org/officeDocument/2006/relationships/hyperlink" Target="http://www.rlharperstudio.com" TargetMode="External"/><Relationship Id="rId3223" Type="http://schemas.openxmlformats.org/officeDocument/2006/relationships/hyperlink" Target="https://pbs.twimg.com/media/EOU65Y0X4AAkBUE.jpg" TargetMode="External"/><Relationship Id="rId4554" Type="http://schemas.openxmlformats.org/officeDocument/2006/relationships/hyperlink" Target="https://pbs.twimg.com/media/EONaD5dX0AUTfft.jpg" TargetMode="External"/><Relationship Id="rId696" Type="http://schemas.openxmlformats.org/officeDocument/2006/relationships/hyperlink" Target="https://www.instagram.com/p/B7cLfntDcoQ/?igshid=1ttirbjaoj6pk" TargetMode="External"/><Relationship Id="rId3222" Type="http://schemas.openxmlformats.org/officeDocument/2006/relationships/hyperlink" Target="http://www.relaxintuit.com" TargetMode="External"/><Relationship Id="rId4553" Type="http://schemas.openxmlformats.org/officeDocument/2006/relationships/hyperlink" Target="https://drjenniferharrison.com/my-book/" TargetMode="External"/><Relationship Id="rId695" Type="http://schemas.openxmlformats.org/officeDocument/2006/relationships/hyperlink" Target="http://www.patreon.com/SkeinandStory" TargetMode="External"/><Relationship Id="rId3225" Type="http://schemas.openxmlformats.org/officeDocument/2006/relationships/hyperlink" Target="http://bit.ly/3acLRc3" TargetMode="External"/><Relationship Id="rId4556" Type="http://schemas.openxmlformats.org/officeDocument/2006/relationships/hyperlink" Target="https://pbs.twimg.com/media/EONZ91mUcAAacoQ.jpg" TargetMode="External"/><Relationship Id="rId694" Type="http://schemas.openxmlformats.org/officeDocument/2006/relationships/hyperlink" Target="https://pbs.twimg.com/media/EOgj8OEWAAAWwBp.jpg" TargetMode="External"/><Relationship Id="rId3224" Type="http://schemas.openxmlformats.org/officeDocument/2006/relationships/hyperlink" Target="http://www.relaxintuit.com" TargetMode="External"/><Relationship Id="rId4555" Type="http://schemas.openxmlformats.org/officeDocument/2006/relationships/hyperlink" Target="http://www.drjenniferharrison.com" TargetMode="External"/><Relationship Id="rId3259" Type="http://schemas.openxmlformats.org/officeDocument/2006/relationships/hyperlink" Target="https://pbs.twimg.com/media/EOUvYkvW4AMC4Xo.jpg" TargetMode="External"/><Relationship Id="rId3250" Type="http://schemas.openxmlformats.org/officeDocument/2006/relationships/hyperlink" Target="http://www.veteransnextstep.co.uk" TargetMode="External"/><Relationship Id="rId4581" Type="http://schemas.openxmlformats.org/officeDocument/2006/relationships/hyperlink" Target="http://www.careersingovernment.com" TargetMode="External"/><Relationship Id="rId4580" Type="http://schemas.openxmlformats.org/officeDocument/2006/relationships/hyperlink" Target="https://www.outsideonline.com/2406992/new-ways-to-relax" TargetMode="External"/><Relationship Id="rId3252" Type="http://schemas.openxmlformats.org/officeDocument/2006/relationships/hyperlink" Target="http://www.ohmywordsocialmedia.com" TargetMode="External"/><Relationship Id="rId4583" Type="http://schemas.openxmlformats.org/officeDocument/2006/relationships/hyperlink" Target="https://www.puregreenexpress.ca" TargetMode="External"/><Relationship Id="rId3251" Type="http://schemas.openxmlformats.org/officeDocument/2006/relationships/hyperlink" Target="https://www.ted.com/talks/guy_winch_how_to_turn_off_work_thoughts_during_your_free_time" TargetMode="External"/><Relationship Id="rId4582" Type="http://schemas.openxmlformats.org/officeDocument/2006/relationships/hyperlink" Target="https://www.puregreenexpress.ca/bc-vapes-cbd-cartridge-acdc-10-1-cbd-thc.html" TargetMode="External"/><Relationship Id="rId3254" Type="http://schemas.openxmlformats.org/officeDocument/2006/relationships/hyperlink" Target="http://bit.ly/2QSQGQq" TargetMode="External"/><Relationship Id="rId4585" Type="http://schemas.openxmlformats.org/officeDocument/2006/relationships/hyperlink" Target="http://www.mindfulnessmeditationinstitute.org/" TargetMode="External"/><Relationship Id="rId3253" Type="http://schemas.openxmlformats.org/officeDocument/2006/relationships/hyperlink" Target="http://www.hyunassociates.com" TargetMode="External"/><Relationship Id="rId4584" Type="http://schemas.openxmlformats.org/officeDocument/2006/relationships/hyperlink" Target="http://www.mindfulnessmeditationinstitute.org/2015/01/the-12-steps-of-the-mindfulness-meditation-practice/" TargetMode="External"/><Relationship Id="rId3256" Type="http://schemas.openxmlformats.org/officeDocument/2006/relationships/hyperlink" Target="http://bit.ly/AwareLSO" TargetMode="External"/><Relationship Id="rId4587" Type="http://schemas.openxmlformats.org/officeDocument/2006/relationships/hyperlink" Target="https://pbs.twimg.com/media/EONJ9DmWAAA2seG.jpg" TargetMode="External"/><Relationship Id="rId3255" Type="http://schemas.openxmlformats.org/officeDocument/2006/relationships/hyperlink" Target="https://www.thepathofme.com/" TargetMode="External"/><Relationship Id="rId4586" Type="http://schemas.openxmlformats.org/officeDocument/2006/relationships/hyperlink" Target="https://youtu.be/3exzd6PWyeI" TargetMode="External"/><Relationship Id="rId3258" Type="http://schemas.openxmlformats.org/officeDocument/2006/relationships/hyperlink" Target="http://www.aware.ie" TargetMode="External"/><Relationship Id="rId4589" Type="http://schemas.openxmlformats.org/officeDocument/2006/relationships/hyperlink" Target="https://lttr.ai/MIix" TargetMode="External"/><Relationship Id="rId3257" Type="http://schemas.openxmlformats.org/officeDocument/2006/relationships/hyperlink" Target="https://pbs.twimg.com/media/EOUveHUXkAA9MHF.png" TargetMode="External"/><Relationship Id="rId4588" Type="http://schemas.openxmlformats.org/officeDocument/2006/relationships/hyperlink" Target="http://linktr.ee/stephaniefowleryoga" TargetMode="External"/><Relationship Id="rId3249" Type="http://schemas.openxmlformats.org/officeDocument/2006/relationships/hyperlink" Target="https://pbs.twimg.com/media/EOUysvzWAAMLcV9.jpg" TargetMode="External"/><Relationship Id="rId3248" Type="http://schemas.openxmlformats.org/officeDocument/2006/relationships/hyperlink" Target="https://bit.ly/2P8BScL" TargetMode="External"/><Relationship Id="rId4579" Type="http://schemas.openxmlformats.org/officeDocument/2006/relationships/hyperlink" Target="https://enhancedwellbeing.com" TargetMode="External"/><Relationship Id="rId4570" Type="http://schemas.openxmlformats.org/officeDocument/2006/relationships/hyperlink" Target="https://www.puregreenexpress.ca" TargetMode="External"/><Relationship Id="rId3241" Type="http://schemas.openxmlformats.org/officeDocument/2006/relationships/hyperlink" Target="https://hbr.org/2019/12/how-to-stop-thinking-about-work-at-3am?utm_medium=email&amp;utm_source=newsletter_daily&amp;utm_campaign=mtod_notactsubs&amp;deliveryName=DM64153" TargetMode="External"/><Relationship Id="rId4572" Type="http://schemas.openxmlformats.org/officeDocument/2006/relationships/hyperlink" Target="https://pbs.twimg.com/media/EONO7LiXUAcX2a3.png" TargetMode="External"/><Relationship Id="rId3240" Type="http://schemas.openxmlformats.org/officeDocument/2006/relationships/hyperlink" Target="http://www.lifeextension.com" TargetMode="External"/><Relationship Id="rId4571" Type="http://schemas.openxmlformats.org/officeDocument/2006/relationships/hyperlink" Target="https://www.administrativeinfo.com/2019/03/stress-counseling.html" TargetMode="External"/><Relationship Id="rId3243" Type="http://schemas.openxmlformats.org/officeDocument/2006/relationships/hyperlink" Target="http://bit.ly/socanxietysystem" TargetMode="External"/><Relationship Id="rId4574" Type="http://schemas.openxmlformats.org/officeDocument/2006/relationships/hyperlink" Target="http://dld.bz/hbtz3" TargetMode="External"/><Relationship Id="rId3242" Type="http://schemas.openxmlformats.org/officeDocument/2006/relationships/hyperlink" Target="https://pbs.twimg.com/media/EOU0vYIX0AEtM4T.jpg" TargetMode="External"/><Relationship Id="rId4573" Type="http://schemas.openxmlformats.org/officeDocument/2006/relationships/hyperlink" Target="https://amazonhots.blogspot.com/" TargetMode="External"/><Relationship Id="rId3245" Type="http://schemas.openxmlformats.org/officeDocument/2006/relationships/hyperlink" Target="http://www.mindbodymen.co.uk" TargetMode="External"/><Relationship Id="rId4576" Type="http://schemas.openxmlformats.org/officeDocument/2006/relationships/hyperlink" Target="https://curepsoriasisholistically.com" TargetMode="External"/><Relationship Id="rId3244" Type="http://schemas.openxmlformats.org/officeDocument/2006/relationships/hyperlink" Target="http://tigri.in" TargetMode="External"/><Relationship Id="rId4575" Type="http://schemas.openxmlformats.org/officeDocument/2006/relationships/hyperlink" Target="https://pbs.twimg.com/media/EONO3YIX4AcxNeT.jpg" TargetMode="External"/><Relationship Id="rId3247" Type="http://schemas.openxmlformats.org/officeDocument/2006/relationships/hyperlink" Target="http://www.mindbodymen.co.uk" TargetMode="External"/><Relationship Id="rId4578" Type="http://schemas.openxmlformats.org/officeDocument/2006/relationships/hyperlink" Target="https://pbs.twimg.com/media/EONOsiWW4AE_KCK.jpg" TargetMode="External"/><Relationship Id="rId3246" Type="http://schemas.openxmlformats.org/officeDocument/2006/relationships/hyperlink" Target="http://pic.twitter.com/qjuoUnKXxQ" TargetMode="External"/><Relationship Id="rId4577" Type="http://schemas.openxmlformats.org/officeDocument/2006/relationships/hyperlink" Target="https://buff.ly/2p1VJyI" TargetMode="External"/><Relationship Id="rId1499" Type="http://schemas.openxmlformats.org/officeDocument/2006/relationships/hyperlink" Target="https://pbs.twimg.com/media/EOd28FAW4AIy2pz.jpg" TargetMode="External"/><Relationship Id="rId4525" Type="http://schemas.openxmlformats.org/officeDocument/2006/relationships/hyperlink" Target="http://tinyurl.com/y42f34l8" TargetMode="External"/><Relationship Id="rId4524" Type="http://schemas.openxmlformats.org/officeDocument/2006/relationships/hyperlink" Target="http://innerself.com" TargetMode="External"/><Relationship Id="rId4527" Type="http://schemas.openxmlformats.org/officeDocument/2006/relationships/hyperlink" Target="http://innerself.com" TargetMode="External"/><Relationship Id="rId4526" Type="http://schemas.openxmlformats.org/officeDocument/2006/relationships/hyperlink" Target="https://pbs.twimg.com/media/EONmdWlVUAArcPN.jpg" TargetMode="External"/><Relationship Id="rId4529" Type="http://schemas.openxmlformats.org/officeDocument/2006/relationships/hyperlink" Target="http://bit.ly/2iMAIn" TargetMode="External"/><Relationship Id="rId4528" Type="http://schemas.openxmlformats.org/officeDocument/2006/relationships/hyperlink" Target="https://pbs.twimg.com/media/EONknlAXsAETi6M.jpg" TargetMode="External"/><Relationship Id="rId668" Type="http://schemas.openxmlformats.org/officeDocument/2006/relationships/hyperlink" Target="http://www.jackiemd.com" TargetMode="External"/><Relationship Id="rId667" Type="http://schemas.openxmlformats.org/officeDocument/2006/relationships/hyperlink" Target="https://www.instagram.com/p/B7cSzPZBkN9/?igshid=1gu37zm6q2onf" TargetMode="External"/><Relationship Id="rId666" Type="http://schemas.openxmlformats.org/officeDocument/2006/relationships/hyperlink" Target="https://qwikad.com" TargetMode="External"/><Relationship Id="rId665" Type="http://schemas.openxmlformats.org/officeDocument/2006/relationships/hyperlink" Target="https://qwikad.com/1740/posts/1-Local-Life/5-Groups/846470-You-CAN-Be-STRESS-FREE-Now-400-Ways-For-YOU-Actually-.html" TargetMode="External"/><Relationship Id="rId669" Type="http://schemas.openxmlformats.org/officeDocument/2006/relationships/hyperlink" Target="https://bit.ly/2WpU3Or" TargetMode="External"/><Relationship Id="rId1490" Type="http://schemas.openxmlformats.org/officeDocument/2006/relationships/hyperlink" Target="http://www.angelspiritmessages.co.uk" TargetMode="External"/><Relationship Id="rId660" Type="http://schemas.openxmlformats.org/officeDocument/2006/relationships/hyperlink" Target="http://www.mindfulnessmeditationinstitute.org/" TargetMode="External"/><Relationship Id="rId1491" Type="http://schemas.openxmlformats.org/officeDocument/2006/relationships/hyperlink" Target="https://www.mpdonline.co.uk/stores/detail/car-parts-in-Redruth" TargetMode="External"/><Relationship Id="rId1492" Type="http://schemas.openxmlformats.org/officeDocument/2006/relationships/hyperlink" Target="https://whatcandacedidnext.co.uk/self-love/ease-stress/" TargetMode="External"/><Relationship Id="rId1493" Type="http://schemas.openxmlformats.org/officeDocument/2006/relationships/hyperlink" Target="https://pbs.twimg.com/media/EOd4xU3XUAEu-wr.jpg" TargetMode="External"/><Relationship Id="rId1494" Type="http://schemas.openxmlformats.org/officeDocument/2006/relationships/hyperlink" Target="http://bucketsoftea.co.uk" TargetMode="External"/><Relationship Id="rId664" Type="http://schemas.openxmlformats.org/officeDocument/2006/relationships/hyperlink" Target="https://worksmartlivesmart.com" TargetMode="External"/><Relationship Id="rId1495" Type="http://schemas.openxmlformats.org/officeDocument/2006/relationships/hyperlink" Target="https://bit.ly/384ub0j" TargetMode="External"/><Relationship Id="rId4521" Type="http://schemas.openxmlformats.org/officeDocument/2006/relationships/hyperlink" Target="http://tinyurl.com/y42f34l8" TargetMode="External"/><Relationship Id="rId663" Type="http://schemas.openxmlformats.org/officeDocument/2006/relationships/hyperlink" Target="https://www.podbean.com/eu/pb-t9bp8-cfde5f" TargetMode="External"/><Relationship Id="rId1496" Type="http://schemas.openxmlformats.org/officeDocument/2006/relationships/hyperlink" Target="https://pbs.twimg.com/media/EOd292FX0AAcLPE.jpg" TargetMode="External"/><Relationship Id="rId4520" Type="http://schemas.openxmlformats.org/officeDocument/2006/relationships/hyperlink" Target="http://www.mindfulnessmeditationinstitute.org/" TargetMode="External"/><Relationship Id="rId662" Type="http://schemas.openxmlformats.org/officeDocument/2006/relationships/hyperlink" Target="http://ecogold.us" TargetMode="External"/><Relationship Id="rId1497" Type="http://schemas.openxmlformats.org/officeDocument/2006/relationships/hyperlink" Target="https://health-wellbeing-academy.thinkific.com/" TargetMode="External"/><Relationship Id="rId4523" Type="http://schemas.openxmlformats.org/officeDocument/2006/relationships/hyperlink" Target="http://innerself.com/content/social.html" TargetMode="External"/><Relationship Id="rId661" Type="http://schemas.openxmlformats.org/officeDocument/2006/relationships/hyperlink" Target="https://pbs.twimg.com/media/EOhxFGSXkAAug2i.jpg" TargetMode="External"/><Relationship Id="rId1498" Type="http://schemas.openxmlformats.org/officeDocument/2006/relationships/hyperlink" Target="http://ow.ly/Lt9F50xRIcf" TargetMode="External"/><Relationship Id="rId4522" Type="http://schemas.openxmlformats.org/officeDocument/2006/relationships/hyperlink" Target="https://pbs.twimg.com/media/EONmdodU0AEIJW5.jpg" TargetMode="External"/><Relationship Id="rId1488" Type="http://schemas.openxmlformats.org/officeDocument/2006/relationships/hyperlink" Target="http://trystressmanagement.com" TargetMode="External"/><Relationship Id="rId4514" Type="http://schemas.openxmlformats.org/officeDocument/2006/relationships/hyperlink" Target="https://lnkd.in/eyuhxkN" TargetMode="External"/><Relationship Id="rId1489" Type="http://schemas.openxmlformats.org/officeDocument/2006/relationships/hyperlink" Target="https://www.instagram.com/p/B7acZgjH_x0/?igshid=12a7703qd6bhm" TargetMode="External"/><Relationship Id="rId4513" Type="http://schemas.openxmlformats.org/officeDocument/2006/relationships/hyperlink" Target="http://www.kathleenokeefekanavos.com" TargetMode="External"/><Relationship Id="rId4516" Type="http://schemas.openxmlformats.org/officeDocument/2006/relationships/hyperlink" Target="https://buff.ly/2HsqANZ" TargetMode="External"/><Relationship Id="rId4515" Type="http://schemas.openxmlformats.org/officeDocument/2006/relationships/hyperlink" Target="http://www.kathleenokeefekanavos.com" TargetMode="External"/><Relationship Id="rId4518" Type="http://schemas.openxmlformats.org/officeDocument/2006/relationships/hyperlink" Target="https://www.independentlyhappy.com/" TargetMode="External"/><Relationship Id="rId4517" Type="http://schemas.openxmlformats.org/officeDocument/2006/relationships/hyperlink" Target="https://pbs.twimg.com/media/EONm4FDX0Ag01p6.jpg" TargetMode="External"/><Relationship Id="rId4519" Type="http://schemas.openxmlformats.org/officeDocument/2006/relationships/hyperlink" Target="https://www.sonima.com/meditation/daily-meditation-practice/" TargetMode="External"/><Relationship Id="rId657" Type="http://schemas.openxmlformats.org/officeDocument/2006/relationships/hyperlink" Target="http://www.supportingstrategies.com/northern-virginia" TargetMode="External"/><Relationship Id="rId656" Type="http://schemas.openxmlformats.org/officeDocument/2006/relationships/hyperlink" Target="https://pbs.twimg.com/media/EOh3t-PWoAEEKIY.jpg" TargetMode="External"/><Relationship Id="rId655" Type="http://schemas.openxmlformats.org/officeDocument/2006/relationships/hyperlink" Target="https://buff.ly/2t30P36" TargetMode="External"/><Relationship Id="rId654" Type="http://schemas.openxmlformats.org/officeDocument/2006/relationships/hyperlink" Target="http://www.habitsforwellbeing.com/" TargetMode="External"/><Relationship Id="rId659" Type="http://schemas.openxmlformats.org/officeDocument/2006/relationships/hyperlink" Target="https://mindfulnessmeditationinstitute.org/2016/11/29/dont-have-time-for-sitting-meditation-try-mindfulness-driving-meditation/" TargetMode="External"/><Relationship Id="rId658" Type="http://schemas.openxmlformats.org/officeDocument/2006/relationships/hyperlink" Target="https://podcasts.apple.com/us/podcast/how-to-use-essential-oils-to-reduce-stress-improve/id1202449205?i=1000457992982" TargetMode="External"/><Relationship Id="rId1480" Type="http://schemas.openxmlformats.org/officeDocument/2006/relationships/hyperlink" Target="https://lttr.ai/MPpH" TargetMode="External"/><Relationship Id="rId1481" Type="http://schemas.openxmlformats.org/officeDocument/2006/relationships/hyperlink" Target="https://pbs.twimg.com/media/EOd_FC3WsAImBQx.png" TargetMode="External"/><Relationship Id="rId1482" Type="http://schemas.openxmlformats.org/officeDocument/2006/relationships/hyperlink" Target="https://medium.com/sciencenow" TargetMode="External"/><Relationship Id="rId1483" Type="http://schemas.openxmlformats.org/officeDocument/2006/relationships/hyperlink" Target="https://pbs.twimg.com/media/EOd-Bm8WkAA8d83.jpg" TargetMode="External"/><Relationship Id="rId653" Type="http://schemas.openxmlformats.org/officeDocument/2006/relationships/hyperlink" Target="https://pbs.twimg.com/media/EOh5GFbX4AAlmpu.png" TargetMode="External"/><Relationship Id="rId1484" Type="http://schemas.openxmlformats.org/officeDocument/2006/relationships/hyperlink" Target="http://www.maximusuk.co.uk/training" TargetMode="External"/><Relationship Id="rId4510" Type="http://schemas.openxmlformats.org/officeDocument/2006/relationships/hyperlink" Target="http://bit.ly/2PSQCzE" TargetMode="External"/><Relationship Id="rId652" Type="http://schemas.openxmlformats.org/officeDocument/2006/relationships/hyperlink" Target="https://buff.ly/2DUMdaA" TargetMode="External"/><Relationship Id="rId1485" Type="http://schemas.openxmlformats.org/officeDocument/2006/relationships/hyperlink" Target="https://fm100.com/2020/01/14/5-ways-to-reduce-stress-at-your-desk/" TargetMode="External"/><Relationship Id="rId651" Type="http://schemas.openxmlformats.org/officeDocument/2006/relationships/hyperlink" Target="https://services.kristenjakobitz.com/healthyhabitschallenge" TargetMode="External"/><Relationship Id="rId1486" Type="http://schemas.openxmlformats.org/officeDocument/2006/relationships/hyperlink" Target="https://pbs.twimg.com/media/EOd90vTWAAAb_St.jpg" TargetMode="External"/><Relationship Id="rId4512" Type="http://schemas.openxmlformats.org/officeDocument/2006/relationships/hyperlink" Target="https://www.youtube.com/watch?v=PgqtWPAUgy4" TargetMode="External"/><Relationship Id="rId650" Type="http://schemas.openxmlformats.org/officeDocument/2006/relationships/hyperlink" Target="https://pbs.twimg.com/media/EOh5P6wX4AAfHsM.jpg" TargetMode="External"/><Relationship Id="rId1487" Type="http://schemas.openxmlformats.org/officeDocument/2006/relationships/hyperlink" Target="https://www.medicalnewstoday.com/articles/327493.php" TargetMode="External"/><Relationship Id="rId4511" Type="http://schemas.openxmlformats.org/officeDocument/2006/relationships/hyperlink" Target="http://www.aboutmybrain.com" TargetMode="External"/><Relationship Id="rId3216" Type="http://schemas.openxmlformats.org/officeDocument/2006/relationships/hyperlink" Target="https://pbs.twimg.com/media/EOINbU4UcAAUL7N.jpg" TargetMode="External"/><Relationship Id="rId4547" Type="http://schemas.openxmlformats.org/officeDocument/2006/relationships/hyperlink" Target="https://www.cuimc.columbia.edu/news/stress-during-pregnancy-may-affect-babys-sex-risk-preterm-birth" TargetMode="External"/><Relationship Id="rId3215" Type="http://schemas.openxmlformats.org/officeDocument/2006/relationships/hyperlink" Target="http://edwardgwalters.com" TargetMode="External"/><Relationship Id="rId4546" Type="http://schemas.openxmlformats.org/officeDocument/2006/relationships/hyperlink" Target="http://www.psychotherapist-nyc.blogspot.com" TargetMode="External"/><Relationship Id="rId3218" Type="http://schemas.openxmlformats.org/officeDocument/2006/relationships/hyperlink" Target="http://ronhuxley.com" TargetMode="External"/><Relationship Id="rId4549" Type="http://schemas.openxmlformats.org/officeDocument/2006/relationships/hyperlink" Target="http://bit.ly/HlthWel" TargetMode="External"/><Relationship Id="rId3217" Type="http://schemas.openxmlformats.org/officeDocument/2006/relationships/hyperlink" Target="http://www.veneratecares.com/" TargetMode="External"/><Relationship Id="rId4548" Type="http://schemas.openxmlformats.org/officeDocument/2006/relationships/hyperlink" Target="http://www.columbiadoctors.org" TargetMode="External"/><Relationship Id="rId3219" Type="http://schemas.openxmlformats.org/officeDocument/2006/relationships/hyperlink" Target="https://pbs.twimg.com/media/EOU8MakXkAEKDnh.jpg" TargetMode="External"/><Relationship Id="rId689" Type="http://schemas.openxmlformats.org/officeDocument/2006/relationships/hyperlink" Target="http://askdrganz.com" TargetMode="External"/><Relationship Id="rId688" Type="http://schemas.openxmlformats.org/officeDocument/2006/relationships/hyperlink" Target="http://theloveshackboutique.com/" TargetMode="External"/><Relationship Id="rId687" Type="http://schemas.openxmlformats.org/officeDocument/2006/relationships/hyperlink" Target="https://pbs.twimg.com/media/EOhhJUXW4AA-Feb.jpg" TargetMode="External"/><Relationship Id="rId682" Type="http://schemas.openxmlformats.org/officeDocument/2006/relationships/hyperlink" Target="http://www.bosnarhealth.com" TargetMode="External"/><Relationship Id="rId681" Type="http://schemas.openxmlformats.org/officeDocument/2006/relationships/hyperlink" Target="https://pbs.twimg.com/media/EOhnRZHU4AAl2uW.jpg" TargetMode="External"/><Relationship Id="rId680" Type="http://schemas.openxmlformats.org/officeDocument/2006/relationships/hyperlink" Target="http://www.rufford-park-lodge.co.uk" TargetMode="External"/><Relationship Id="rId3210" Type="http://schemas.openxmlformats.org/officeDocument/2006/relationships/hyperlink" Target="https://recruitinggym.com" TargetMode="External"/><Relationship Id="rId4541" Type="http://schemas.openxmlformats.org/officeDocument/2006/relationships/hyperlink" Target="https://doppel.kckb.st/f15d52be" TargetMode="External"/><Relationship Id="rId4540" Type="http://schemas.openxmlformats.org/officeDocument/2006/relationships/hyperlink" Target="http://www.aboutmybrain.com" TargetMode="External"/><Relationship Id="rId686" Type="http://schemas.openxmlformats.org/officeDocument/2006/relationships/hyperlink" Target="http://www.alternativewaystoheal.com" TargetMode="External"/><Relationship Id="rId3212" Type="http://schemas.openxmlformats.org/officeDocument/2006/relationships/hyperlink" Target="https://pbs.twimg.com/media/EOU9FP1WkAAfpvJ.jpg" TargetMode="External"/><Relationship Id="rId4543" Type="http://schemas.openxmlformats.org/officeDocument/2006/relationships/hyperlink" Target="http://www.crowdranger.com" TargetMode="External"/><Relationship Id="rId685" Type="http://schemas.openxmlformats.org/officeDocument/2006/relationships/hyperlink" Target="https://pbs.twimg.com/media/EOhiRGKXkAAxuRx.jpg" TargetMode="External"/><Relationship Id="rId3211" Type="http://schemas.openxmlformats.org/officeDocument/2006/relationships/hyperlink" Target="https://books.hse.gov.uk/bookstore.asp?FO=1359081" TargetMode="External"/><Relationship Id="rId4542" Type="http://schemas.openxmlformats.org/officeDocument/2006/relationships/hyperlink" Target="https://pbs.twimg.com/media/EONcmn3XsAAi2Ma.jpg" TargetMode="External"/><Relationship Id="rId684" Type="http://schemas.openxmlformats.org/officeDocument/2006/relationships/hyperlink" Target="http://bit.ly/2bmfle8" TargetMode="External"/><Relationship Id="rId3214" Type="http://schemas.openxmlformats.org/officeDocument/2006/relationships/hyperlink" Target="https://sprou.tt/173jP3m76T6" TargetMode="External"/><Relationship Id="rId4545" Type="http://schemas.openxmlformats.org/officeDocument/2006/relationships/hyperlink" Target="https://pbs.twimg.com/media/EONcY1TWsAEuHvq.jpg" TargetMode="External"/><Relationship Id="rId683" Type="http://schemas.openxmlformats.org/officeDocument/2006/relationships/hyperlink" Target="https://pbs.twimg.com/media/EOhiTnbUUAAWoeb.png" TargetMode="External"/><Relationship Id="rId3213" Type="http://schemas.openxmlformats.org/officeDocument/2006/relationships/hyperlink" Target="http://www.essentialsiteskills.co.uk" TargetMode="External"/><Relationship Id="rId4544" Type="http://schemas.openxmlformats.org/officeDocument/2006/relationships/hyperlink" Target="https://buff.ly/2reIdt3" TargetMode="External"/><Relationship Id="rId3205" Type="http://schemas.openxmlformats.org/officeDocument/2006/relationships/hyperlink" Target="https://pbs.twimg.com/media/EOU9UKfX4AEhWWe.jpg" TargetMode="External"/><Relationship Id="rId4536" Type="http://schemas.openxmlformats.org/officeDocument/2006/relationships/hyperlink" Target="https://bit.ly/2sqnHKc" TargetMode="External"/><Relationship Id="rId3204" Type="http://schemas.openxmlformats.org/officeDocument/2006/relationships/hyperlink" Target="http://bit.ly/2VEAWV7" TargetMode="External"/><Relationship Id="rId4535" Type="http://schemas.openxmlformats.org/officeDocument/2006/relationships/hyperlink" Target="http://www.theologyforwomen.org" TargetMode="External"/><Relationship Id="rId3207" Type="http://schemas.openxmlformats.org/officeDocument/2006/relationships/hyperlink" Target="http://www.iamchrisgraff.com" TargetMode="External"/><Relationship Id="rId4538" Type="http://schemas.openxmlformats.org/officeDocument/2006/relationships/hyperlink" Target="http://www.timesofindia.com" TargetMode="External"/><Relationship Id="rId3206" Type="http://schemas.openxmlformats.org/officeDocument/2006/relationships/hyperlink" Target="http://www.navalent.com" TargetMode="External"/><Relationship Id="rId4537" Type="http://schemas.openxmlformats.org/officeDocument/2006/relationships/hyperlink" Target="https://pbs.twimg.com/media/EONhcn0X0AExQYT.jpg" TargetMode="External"/><Relationship Id="rId3209" Type="http://schemas.openxmlformats.org/officeDocument/2006/relationships/hyperlink" Target="https://pbs.twimg.com/media/EOU9FvXWkAAUV5Q.jpg" TargetMode="External"/><Relationship Id="rId3208" Type="http://schemas.openxmlformats.org/officeDocument/2006/relationships/hyperlink" Target="http://bit.ly/2FT3eka" TargetMode="External"/><Relationship Id="rId4539" Type="http://schemas.openxmlformats.org/officeDocument/2006/relationships/hyperlink" Target="http://bit.ly/33cXuMe" TargetMode="External"/><Relationship Id="rId679" Type="http://schemas.openxmlformats.org/officeDocument/2006/relationships/hyperlink" Target="https://pbs.twimg.com/media/EOhnR20W4AAfhyt.jpg" TargetMode="External"/><Relationship Id="rId678" Type="http://schemas.openxmlformats.org/officeDocument/2006/relationships/hyperlink" Target="http://bit.ly/east-wing" TargetMode="External"/><Relationship Id="rId677" Type="http://schemas.openxmlformats.org/officeDocument/2006/relationships/hyperlink" Target="http://www.lynnvannoy.com" TargetMode="External"/><Relationship Id="rId676" Type="http://schemas.openxmlformats.org/officeDocument/2006/relationships/hyperlink" Target="https://pbs.twimg.com/media/EOhnsKfXkAA1pEJ.jpg" TargetMode="External"/><Relationship Id="rId671" Type="http://schemas.openxmlformats.org/officeDocument/2006/relationships/hyperlink" Target="http://boironusa.com" TargetMode="External"/><Relationship Id="rId670" Type="http://schemas.openxmlformats.org/officeDocument/2006/relationships/hyperlink" Target="https://pbs.twimg.com/media/EOhphnfX0AcLiKN.jpg" TargetMode="External"/><Relationship Id="rId4530" Type="http://schemas.openxmlformats.org/officeDocument/2006/relationships/hyperlink" Target="https://pbs.twimg.com/media/EONjPlpU0AIVjmN.jpg" TargetMode="External"/><Relationship Id="rId675" Type="http://schemas.openxmlformats.org/officeDocument/2006/relationships/hyperlink" Target="http://www.yourwellnesscentre.com.au/" TargetMode="External"/><Relationship Id="rId3201" Type="http://schemas.openxmlformats.org/officeDocument/2006/relationships/hyperlink" Target="http://ow.ly/TOBe50xRuwe" TargetMode="External"/><Relationship Id="rId4532" Type="http://schemas.openxmlformats.org/officeDocument/2006/relationships/hyperlink" Target="http://bit.ly/2KCosYV" TargetMode="External"/><Relationship Id="rId674" Type="http://schemas.openxmlformats.org/officeDocument/2006/relationships/hyperlink" Target="https://pbs.twimg.com/media/EOhoKXLWoAInFCw.jpg" TargetMode="External"/><Relationship Id="rId3200" Type="http://schemas.openxmlformats.org/officeDocument/2006/relationships/hyperlink" Target="https://www.revealedprojects.org.uk/" TargetMode="External"/><Relationship Id="rId4531" Type="http://schemas.openxmlformats.org/officeDocument/2006/relationships/hyperlink" Target="http://www.nims.org.in" TargetMode="External"/><Relationship Id="rId673" Type="http://schemas.openxmlformats.org/officeDocument/2006/relationships/hyperlink" Target="http://nkvssp.smackjeeves.com/" TargetMode="External"/><Relationship Id="rId3203" Type="http://schemas.openxmlformats.org/officeDocument/2006/relationships/hyperlink" Target="http://www.horizonconnects.com" TargetMode="External"/><Relationship Id="rId4534" Type="http://schemas.openxmlformats.org/officeDocument/2006/relationships/hyperlink" Target="http://www.dougsandler.com" TargetMode="External"/><Relationship Id="rId672" Type="http://schemas.openxmlformats.org/officeDocument/2006/relationships/hyperlink" Target="https://www.smackjeeves.com/discover/detail?titleNo=84377&amp;articleNo=1919" TargetMode="External"/><Relationship Id="rId3202" Type="http://schemas.openxmlformats.org/officeDocument/2006/relationships/hyperlink" Target="https://pbs.twimg.com/media/EOU9iznWkAAwpE3.jpg" TargetMode="External"/><Relationship Id="rId4533" Type="http://schemas.openxmlformats.org/officeDocument/2006/relationships/hyperlink" Target="https://pbs.twimg.com/media/EONiwJIX4AEtfPP.jpg" TargetMode="External"/><Relationship Id="rId190" Type="http://schemas.openxmlformats.org/officeDocument/2006/relationships/hyperlink" Target="http://bit.ly/38kjPd5" TargetMode="External"/><Relationship Id="rId5019" Type="http://schemas.openxmlformats.org/officeDocument/2006/relationships/hyperlink" Target="http://ow.ly/1lRN30fuv9Q" TargetMode="External"/><Relationship Id="rId194" Type="http://schemas.openxmlformats.org/officeDocument/2006/relationships/hyperlink" Target="http://www.timemanagementninja.com" TargetMode="External"/><Relationship Id="rId193" Type="http://schemas.openxmlformats.org/officeDocument/2006/relationships/hyperlink" Target="https://pbs.twimg.com/media/EOlh3lqUUAAk3sK.jpg" TargetMode="External"/><Relationship Id="rId192" Type="http://schemas.openxmlformats.org/officeDocument/2006/relationships/hyperlink" Target="https://amzn.to/30OzTA5" TargetMode="External"/><Relationship Id="rId191" Type="http://schemas.openxmlformats.org/officeDocument/2006/relationships/hyperlink" Target="http://www.laurieweiss.com/" TargetMode="External"/><Relationship Id="rId5010" Type="http://schemas.openxmlformats.org/officeDocument/2006/relationships/hyperlink" Target="http://www.mindfulnessmeditationinstitute.org/" TargetMode="External"/><Relationship Id="rId187" Type="http://schemas.openxmlformats.org/officeDocument/2006/relationships/hyperlink" Target="https://brianthomas.me" TargetMode="External"/><Relationship Id="rId5013" Type="http://schemas.openxmlformats.org/officeDocument/2006/relationships/hyperlink" Target="http://happyhands.toys" TargetMode="External"/><Relationship Id="rId186" Type="http://schemas.openxmlformats.org/officeDocument/2006/relationships/hyperlink" Target="https://buff.ly/2Ox4DlW" TargetMode="External"/><Relationship Id="rId5014" Type="http://schemas.openxmlformats.org/officeDocument/2006/relationships/hyperlink" Target="http://www.healthylife.com/blog/short-days-long-nights-bright-news-your-employees-can-use/" TargetMode="External"/><Relationship Id="rId185" Type="http://schemas.openxmlformats.org/officeDocument/2006/relationships/hyperlink" Target="http://www.healthyplace.com" TargetMode="External"/><Relationship Id="rId5011" Type="http://schemas.openxmlformats.org/officeDocument/2006/relationships/hyperlink" Target="https://happyhands.toys/collections/featured-fidgets" TargetMode="External"/><Relationship Id="rId184" Type="http://schemas.openxmlformats.org/officeDocument/2006/relationships/hyperlink" Target="https://pbs.twimg.com/media/EOlovAIX0AErbe3.jpg" TargetMode="External"/><Relationship Id="rId5012" Type="http://schemas.openxmlformats.org/officeDocument/2006/relationships/hyperlink" Target="https://pbs.twimg.com/media/EOLAtrKWoAMYztI.jpg" TargetMode="External"/><Relationship Id="rId5017" Type="http://schemas.openxmlformats.org/officeDocument/2006/relationships/hyperlink" Target="http://bit.ly/3a6CIlq" TargetMode="External"/><Relationship Id="rId5018" Type="http://schemas.openxmlformats.org/officeDocument/2006/relationships/hyperlink" Target="http://jazzkang.com/" TargetMode="External"/><Relationship Id="rId189" Type="http://schemas.openxmlformats.org/officeDocument/2006/relationships/hyperlink" Target="http://www.njhypno.com" TargetMode="External"/><Relationship Id="rId5015" Type="http://schemas.openxmlformats.org/officeDocument/2006/relationships/hyperlink" Target="https://pbs.twimg.com/media/EOK_gyXXkAAqAe7.jpg" TargetMode="External"/><Relationship Id="rId188" Type="http://schemas.openxmlformats.org/officeDocument/2006/relationships/hyperlink" Target="https://www.instagram.com/p/B7eRklxgWNk/?igshid=1x4cxdkxgixal" TargetMode="External"/><Relationship Id="rId5016" Type="http://schemas.openxmlformats.org/officeDocument/2006/relationships/hyperlink" Target="http://www.healthylife.com/blog" TargetMode="External"/><Relationship Id="rId5008" Type="http://schemas.openxmlformats.org/officeDocument/2006/relationships/hyperlink" Target="http://daysofadomesticdad.com/" TargetMode="External"/><Relationship Id="rId5009" Type="http://schemas.openxmlformats.org/officeDocument/2006/relationships/hyperlink" Target="https://innerself.com/content/personal/spirituality-mindfulness/inspiration/10164-five-hindrances.html" TargetMode="External"/><Relationship Id="rId183" Type="http://schemas.openxmlformats.org/officeDocument/2006/relationships/hyperlink" Target="https://bit.ly/2TmO7ri" TargetMode="External"/><Relationship Id="rId182" Type="http://schemas.openxmlformats.org/officeDocument/2006/relationships/hyperlink" Target="http://theaprildiaries.blog" TargetMode="External"/><Relationship Id="rId181" Type="http://schemas.openxmlformats.org/officeDocument/2006/relationships/hyperlink" Target="http://drugandalcoholtreatmentservices.com" TargetMode="External"/><Relationship Id="rId180" Type="http://schemas.openxmlformats.org/officeDocument/2006/relationships/hyperlink" Target="https://ecs.page.link/bnGz9" TargetMode="External"/><Relationship Id="rId176" Type="http://schemas.openxmlformats.org/officeDocument/2006/relationships/hyperlink" Target="https://www.emotionatwork.co.uk" TargetMode="External"/><Relationship Id="rId5002" Type="http://schemas.openxmlformats.org/officeDocument/2006/relationships/hyperlink" Target="https://pbs.twimg.com/media/EOLCwjFXsAE7lR-.jpg" TargetMode="External"/><Relationship Id="rId175" Type="http://schemas.openxmlformats.org/officeDocument/2006/relationships/hyperlink" Target="https://pbs.twimg.com/media/EOlsdcsW4AEvH6v.png" TargetMode="External"/><Relationship Id="rId5003" Type="http://schemas.openxmlformats.org/officeDocument/2006/relationships/hyperlink" Target="http://www.redbarnblankets.com" TargetMode="External"/><Relationship Id="rId174" Type="http://schemas.openxmlformats.org/officeDocument/2006/relationships/hyperlink" Target="http://www.loulaggancoaching.co.uk" TargetMode="External"/><Relationship Id="rId5000" Type="http://schemas.openxmlformats.org/officeDocument/2006/relationships/hyperlink" Target="http://www.quick-good-fortune.com" TargetMode="External"/><Relationship Id="rId173" Type="http://schemas.openxmlformats.org/officeDocument/2006/relationships/hyperlink" Target="http://ow.ly/tXCJ30q5muw" TargetMode="External"/><Relationship Id="rId5001" Type="http://schemas.openxmlformats.org/officeDocument/2006/relationships/hyperlink" Target="https://pbs.twimg.com/media/EOLDXwdXsAAAmqr.jpg" TargetMode="External"/><Relationship Id="rId5006" Type="http://schemas.openxmlformats.org/officeDocument/2006/relationships/hyperlink" Target="https://lttr.ai/MHEL" TargetMode="External"/><Relationship Id="rId179" Type="http://schemas.openxmlformats.org/officeDocument/2006/relationships/hyperlink" Target="https://www.simplysmashingrageroom.com" TargetMode="External"/><Relationship Id="rId5007" Type="http://schemas.openxmlformats.org/officeDocument/2006/relationships/hyperlink" Target="https://pbs.twimg.com/media/EOLCOp3WkAkdues.png" TargetMode="External"/><Relationship Id="rId178" Type="http://schemas.openxmlformats.org/officeDocument/2006/relationships/hyperlink" Target="https://pbs.twimg.com/media/EOlsO5CVAAA8Rs2.jpg" TargetMode="External"/><Relationship Id="rId5004" Type="http://schemas.openxmlformats.org/officeDocument/2006/relationships/hyperlink" Target="http://pic.twitter.com/AApTp5K0JU" TargetMode="External"/><Relationship Id="rId177" Type="http://schemas.openxmlformats.org/officeDocument/2006/relationships/hyperlink" Target="http://www.managingmadesimple.com/about-us/" TargetMode="External"/><Relationship Id="rId5005" Type="http://schemas.openxmlformats.org/officeDocument/2006/relationships/hyperlink" Target="http://www.dieatto.com" TargetMode="External"/><Relationship Id="rId5031" Type="http://schemas.openxmlformats.org/officeDocument/2006/relationships/hyperlink" Target="http://microstepstherapy.com" TargetMode="External"/><Relationship Id="rId5032" Type="http://schemas.openxmlformats.org/officeDocument/2006/relationships/hyperlink" Target="https://bit.ly/2LyzkGh" TargetMode="External"/><Relationship Id="rId5030" Type="http://schemas.openxmlformats.org/officeDocument/2006/relationships/hyperlink" Target="http://www.amazon.com/dp/0986441805/ref=cm_sw_r_tw_dp_vQM.ub1KG4G0W" TargetMode="External"/><Relationship Id="rId5035" Type="http://schemas.openxmlformats.org/officeDocument/2006/relationships/hyperlink" Target="http://www.succeedwithoutburnout.com" TargetMode="External"/><Relationship Id="rId5036" Type="http://schemas.openxmlformats.org/officeDocument/2006/relationships/hyperlink" Target="http://www.workingsmarternotlonger.com" TargetMode="External"/><Relationship Id="rId5033" Type="http://schemas.openxmlformats.org/officeDocument/2006/relationships/hyperlink" Target="https://pbs.twimg.com/media/EOK7eknX4Ao02m_.jpg" TargetMode="External"/><Relationship Id="rId5034" Type="http://schemas.openxmlformats.org/officeDocument/2006/relationships/hyperlink" Target="http://www.knowgogrow.com" TargetMode="External"/><Relationship Id="rId5039" Type="http://schemas.openxmlformats.org/officeDocument/2006/relationships/hyperlink" Target="http://hrmagazine.co.uk/article-details/intrapersonal-skills-as-a-proactive-way-to-personal-sustainability" TargetMode="External"/><Relationship Id="rId5037" Type="http://schemas.openxmlformats.org/officeDocument/2006/relationships/hyperlink" Target="https://pbs.twimg.com/media/EOK7Fq0XkAIn6bC.jpg" TargetMode="External"/><Relationship Id="rId5038" Type="http://schemas.openxmlformats.org/officeDocument/2006/relationships/hyperlink" Target="https://www.helenesegura.com" TargetMode="External"/><Relationship Id="rId5020" Type="http://schemas.openxmlformats.org/officeDocument/2006/relationships/hyperlink" Target="https://pbs.twimg.com/media/EOK-cnJWAAEgoGG.jpg" TargetMode="External"/><Relationship Id="rId5021" Type="http://schemas.openxmlformats.org/officeDocument/2006/relationships/hyperlink" Target="http://www.skinrenewal.co.za" TargetMode="External"/><Relationship Id="rId198" Type="http://schemas.openxmlformats.org/officeDocument/2006/relationships/hyperlink" Target="https://buff.ly/2RSv7Aa" TargetMode="External"/><Relationship Id="rId5024" Type="http://schemas.openxmlformats.org/officeDocument/2006/relationships/hyperlink" Target="https://onlinelibrary.wiley.com/doi/10.1111/jcpp.13189" TargetMode="External"/><Relationship Id="rId197" Type="http://schemas.openxmlformats.org/officeDocument/2006/relationships/hyperlink" Target="https://organiclivefood.com" TargetMode="External"/><Relationship Id="rId5025" Type="http://schemas.openxmlformats.org/officeDocument/2006/relationships/hyperlink" Target="https://wp.me/p9ipTI-b6u" TargetMode="External"/><Relationship Id="rId196" Type="http://schemas.openxmlformats.org/officeDocument/2006/relationships/hyperlink" Target="https://pbs.twimg.com/media/EOlhumnWkAocULr.jpg" TargetMode="External"/><Relationship Id="rId5022" Type="http://schemas.openxmlformats.org/officeDocument/2006/relationships/hyperlink" Target="https://www.inc.com/bill-murphy-jr/want-to-be-happier-at-work-a-new-study-in-a-truly-terrible-work-environment-says-employees-who-do-this-are-significantly-less-stressed.html" TargetMode="External"/><Relationship Id="rId195" Type="http://schemas.openxmlformats.org/officeDocument/2006/relationships/hyperlink" Target="http://seattleorganicrestaurants.com/vegan-whole-foods/herbal-healing-secrets/" TargetMode="External"/><Relationship Id="rId5023" Type="http://schemas.openxmlformats.org/officeDocument/2006/relationships/hyperlink" Target="http://www.suefirthltd.com" TargetMode="External"/><Relationship Id="rId5028" Type="http://schemas.openxmlformats.org/officeDocument/2006/relationships/hyperlink" Target="http://ow.ly/WPIU50xRtHp" TargetMode="External"/><Relationship Id="rId5029" Type="http://schemas.openxmlformats.org/officeDocument/2006/relationships/hyperlink" Target="https://www.facebook.com/MNCAssociatesOnLine/" TargetMode="External"/><Relationship Id="rId5026" Type="http://schemas.openxmlformats.org/officeDocument/2006/relationships/hyperlink" Target="https://pbs.twimg.com/media/EOK9RYHWoAA7Cel.jpg" TargetMode="External"/><Relationship Id="rId199" Type="http://schemas.openxmlformats.org/officeDocument/2006/relationships/hyperlink" Target="https://brianthomas.me" TargetMode="External"/><Relationship Id="rId5027" Type="http://schemas.openxmlformats.org/officeDocument/2006/relationships/hyperlink" Target="http://www.naturalproductsonline.co.uk" TargetMode="External"/><Relationship Id="rId150" Type="http://schemas.openxmlformats.org/officeDocument/2006/relationships/hyperlink" Target="https://virtualorator.com" TargetMode="External"/><Relationship Id="rId149" Type="http://schemas.openxmlformats.org/officeDocument/2006/relationships/hyperlink" Target="https://pbs.twimg.com/media/EOeX6PZWoAApNLt.jpg" TargetMode="External"/><Relationship Id="rId148" Type="http://schemas.openxmlformats.org/officeDocument/2006/relationships/hyperlink" Target="https://www.wellandgood.com/good-advice/how-to-stay-calm-under-pressure/" TargetMode="External"/><Relationship Id="rId3270" Type="http://schemas.openxmlformats.org/officeDocument/2006/relationships/hyperlink" Target="https://www.theguardian.com/society/2020/jan/15/researchers-facing-shocking-levels-of-stress-survey-reveals?CMP=share_btn_tw" TargetMode="External"/><Relationship Id="rId3272" Type="http://schemas.openxmlformats.org/officeDocument/2006/relationships/hyperlink" Target="https://techedo.com/" TargetMode="External"/><Relationship Id="rId3271" Type="http://schemas.openxmlformats.org/officeDocument/2006/relationships/hyperlink" Target="http://studychandigarh.com/stress-management-for-students/" TargetMode="External"/><Relationship Id="rId143" Type="http://schemas.openxmlformats.org/officeDocument/2006/relationships/hyperlink" Target="http://sohappyintown.com/shop/" TargetMode="External"/><Relationship Id="rId3274" Type="http://schemas.openxmlformats.org/officeDocument/2006/relationships/hyperlink" Target="https://pbs.twimg.com/media/EOUpEZKXUAM5Ld6.jpg" TargetMode="External"/><Relationship Id="rId142" Type="http://schemas.openxmlformats.org/officeDocument/2006/relationships/hyperlink" Target="http://wp.me/p8anIU-8a" TargetMode="External"/><Relationship Id="rId3273" Type="http://schemas.openxmlformats.org/officeDocument/2006/relationships/hyperlink" Target="https://wellnessorbit.com/trainings/free-mini-training-focus-stress-reduction" TargetMode="External"/><Relationship Id="rId141" Type="http://schemas.openxmlformats.org/officeDocument/2006/relationships/hyperlink" Target="http://www.interventionalurology.com" TargetMode="External"/><Relationship Id="rId3276" Type="http://schemas.openxmlformats.org/officeDocument/2006/relationships/hyperlink" Target="https://alysonyoga.wordpress.com/workshops/" TargetMode="External"/><Relationship Id="rId140" Type="http://schemas.openxmlformats.org/officeDocument/2006/relationships/hyperlink" Target="https://pbs.twimg.com/media/EOmAwMWXUAEtECh.jpg" TargetMode="External"/><Relationship Id="rId3275" Type="http://schemas.openxmlformats.org/officeDocument/2006/relationships/hyperlink" Target="http://www.wellnessorbit.com" TargetMode="External"/><Relationship Id="rId147" Type="http://schemas.openxmlformats.org/officeDocument/2006/relationships/hyperlink" Target="https://pbs.twimg.com/media/EOl9ZQNWAAAzGzT.png" TargetMode="External"/><Relationship Id="rId3278" Type="http://schemas.openxmlformats.org/officeDocument/2006/relationships/hyperlink" Target="https://alysonyoga.wordpress.com/" TargetMode="External"/><Relationship Id="rId146" Type="http://schemas.openxmlformats.org/officeDocument/2006/relationships/hyperlink" Target="http://floatdenver.com" TargetMode="External"/><Relationship Id="rId3277" Type="http://schemas.openxmlformats.org/officeDocument/2006/relationships/hyperlink" Target="https://pbs.twimg.com/media/EOUogbYWkAAhf_h.jpg" TargetMode="External"/><Relationship Id="rId145" Type="http://schemas.openxmlformats.org/officeDocument/2006/relationships/hyperlink" Target="https://www.veteranscharity.org.uk" TargetMode="External"/><Relationship Id="rId144" Type="http://schemas.openxmlformats.org/officeDocument/2006/relationships/hyperlink" Target="https://pbs.twimg.com/media/EOl-8gaVUAEF4-Q.jpg" TargetMode="External"/><Relationship Id="rId3279" Type="http://schemas.openxmlformats.org/officeDocument/2006/relationships/hyperlink" Target="https://bddy.me/2tjJGTt" TargetMode="External"/><Relationship Id="rId139" Type="http://schemas.openxmlformats.org/officeDocument/2006/relationships/hyperlink" Target="https://twitter.com/shubhamdotgupta/status/1218646747905478661" TargetMode="External"/><Relationship Id="rId138" Type="http://schemas.openxmlformats.org/officeDocument/2006/relationships/hyperlink" Target="http://eardleydesigns.etsy.com" TargetMode="External"/><Relationship Id="rId137" Type="http://schemas.openxmlformats.org/officeDocument/2006/relationships/hyperlink" Target="https://pbs.twimg.com/media/EOmB-Y1X0AIHksv.jpg" TargetMode="External"/><Relationship Id="rId4590" Type="http://schemas.openxmlformats.org/officeDocument/2006/relationships/hyperlink" Target="https://pbs.twimg.com/media/EONJ1qwWoAA6VYA.jpg" TargetMode="External"/><Relationship Id="rId3261" Type="http://schemas.openxmlformats.org/officeDocument/2006/relationships/hyperlink" Target="https://pbs.twimg.com/media/EOTt9_hXkAM1tZh.jpg" TargetMode="External"/><Relationship Id="rId4592" Type="http://schemas.openxmlformats.org/officeDocument/2006/relationships/hyperlink" Target="https://www.dividenddiplomats.com/how-dividend-investing-reduces-stress/" TargetMode="External"/><Relationship Id="rId3260" Type="http://schemas.openxmlformats.org/officeDocument/2006/relationships/hyperlink" Target="http://www.facebook.com/pg/Carers-in-Bristol-242186219595548" TargetMode="External"/><Relationship Id="rId4591" Type="http://schemas.openxmlformats.org/officeDocument/2006/relationships/hyperlink" Target="https://dailyhealthpost.com" TargetMode="External"/><Relationship Id="rId132" Type="http://schemas.openxmlformats.org/officeDocument/2006/relationships/hyperlink" Target="https://pbs.twimg.com/media/EOmDDlYUYAAlF-w.jpg" TargetMode="External"/><Relationship Id="rId3263" Type="http://schemas.openxmlformats.org/officeDocument/2006/relationships/hyperlink" Target="https://www.tandfonline.com/doi/abs/10.1080/17461391.2020.1716855" TargetMode="External"/><Relationship Id="rId4594" Type="http://schemas.openxmlformats.org/officeDocument/2006/relationships/hyperlink" Target="http://itsgardeningtime.com/?p=338&amp;utm_source=ReviveOldPost&amp;utm_medium=social&amp;utm_campaign=ReviveOldPost" TargetMode="External"/><Relationship Id="rId131" Type="http://schemas.openxmlformats.org/officeDocument/2006/relationships/hyperlink" Target="https://www.popsugarmoney.com/Tips-De-Stress-Work-22310420" TargetMode="External"/><Relationship Id="rId3262" Type="http://schemas.openxmlformats.org/officeDocument/2006/relationships/hyperlink" Target="http://www.wehearyou.co.za/" TargetMode="External"/><Relationship Id="rId4593" Type="http://schemas.openxmlformats.org/officeDocument/2006/relationships/hyperlink" Target="http://www.dividenddiplomats.com/" TargetMode="External"/><Relationship Id="rId130" Type="http://schemas.openxmlformats.org/officeDocument/2006/relationships/hyperlink" Target="https://www.veteranscharity.org.uk" TargetMode="External"/><Relationship Id="rId3265" Type="http://schemas.openxmlformats.org/officeDocument/2006/relationships/hyperlink" Target="https://pbs.twimg.com/media/EOUurBDWkAIOvfL.jpg" TargetMode="External"/><Relationship Id="rId4596" Type="http://schemas.openxmlformats.org/officeDocument/2006/relationships/hyperlink" Target="http://bit.ly/2WKGMkN" TargetMode="External"/><Relationship Id="rId3264" Type="http://schemas.openxmlformats.org/officeDocument/2006/relationships/hyperlink" Target="https://www.researchgate.net/profile/Carsten_Mueller2" TargetMode="External"/><Relationship Id="rId4595" Type="http://schemas.openxmlformats.org/officeDocument/2006/relationships/hyperlink" Target="http://itsgardeningtime.com" TargetMode="External"/><Relationship Id="rId136" Type="http://schemas.openxmlformats.org/officeDocument/2006/relationships/hyperlink" Target="http://eardleydesigns.etsy.com" TargetMode="External"/><Relationship Id="rId3267" Type="http://schemas.openxmlformats.org/officeDocument/2006/relationships/hyperlink" Target="https://links.nolabel.studio/1AWr" TargetMode="External"/><Relationship Id="rId4598" Type="http://schemas.openxmlformats.org/officeDocument/2006/relationships/hyperlink" Target="https://www.instagram.com/p/B7SA9S1A58t/?igshid=1tnphv45iwbh4" TargetMode="External"/><Relationship Id="rId135" Type="http://schemas.openxmlformats.org/officeDocument/2006/relationships/hyperlink" Target="https://news.microsoft.com/features/how-the-xbox-adaptive-controller-is-helping-va-medical-centers-support-veterans/" TargetMode="External"/><Relationship Id="rId3266" Type="http://schemas.openxmlformats.org/officeDocument/2006/relationships/hyperlink" Target="http://www.finnovate.in" TargetMode="External"/><Relationship Id="rId4597" Type="http://schemas.openxmlformats.org/officeDocument/2006/relationships/hyperlink" Target="http://www.aboutmybrain.com/i4methodology" TargetMode="External"/><Relationship Id="rId134" Type="http://schemas.openxmlformats.org/officeDocument/2006/relationships/hyperlink" Target="http://altruistparty.org" TargetMode="External"/><Relationship Id="rId3269" Type="http://schemas.openxmlformats.org/officeDocument/2006/relationships/hyperlink" Target="https://nolabelstudios.co.uk" TargetMode="External"/><Relationship Id="rId133" Type="http://schemas.openxmlformats.org/officeDocument/2006/relationships/hyperlink" Target="https://theconversation.com/why-we-are-hard-wired-to-worry-and-what-we-can-do-to-calm-down-127674" TargetMode="External"/><Relationship Id="rId3268" Type="http://schemas.openxmlformats.org/officeDocument/2006/relationships/hyperlink" Target="https://pbs.twimg.com/media/EOUsgKCW4AELgcc.jpg" TargetMode="External"/><Relationship Id="rId4599" Type="http://schemas.openxmlformats.org/officeDocument/2006/relationships/hyperlink" Target="http://www.mindurance.org" TargetMode="External"/><Relationship Id="rId172" Type="http://schemas.openxmlformats.org/officeDocument/2006/relationships/hyperlink" Target="http://www.mindfulnessmeditationinstitute.org/" TargetMode="External"/><Relationship Id="rId171" Type="http://schemas.openxmlformats.org/officeDocument/2006/relationships/hyperlink" Target="https://mindfulnessmeditationinstitute.org/2019/07/26/teach-your-child-important-life-skills-through-family-meditation/" TargetMode="External"/><Relationship Id="rId170" Type="http://schemas.openxmlformats.org/officeDocument/2006/relationships/hyperlink" Target="http://www.managingmadesimple.com/about-us/" TargetMode="External"/><Relationship Id="rId3290" Type="http://schemas.openxmlformats.org/officeDocument/2006/relationships/hyperlink" Target="https://pbs.twimg.com/media/EOUlBdTX0AM0Aat.jpg" TargetMode="External"/><Relationship Id="rId3292" Type="http://schemas.openxmlformats.org/officeDocument/2006/relationships/hyperlink" Target="https://pbs.twimg.com/media/EOUiR9IXUAAAJSj.jpg" TargetMode="External"/><Relationship Id="rId3291" Type="http://schemas.openxmlformats.org/officeDocument/2006/relationships/hyperlink" Target="https://www.counselling-directory.org.uk/" TargetMode="External"/><Relationship Id="rId3294" Type="http://schemas.openxmlformats.org/officeDocument/2006/relationships/hyperlink" Target="https://pbs.twimg.com/media/EOUiPPMWkAYzWJw.jpg" TargetMode="External"/><Relationship Id="rId3293" Type="http://schemas.openxmlformats.org/officeDocument/2006/relationships/hyperlink" Target="https://sites.google.com/view/islaflood/home" TargetMode="External"/><Relationship Id="rId165" Type="http://schemas.openxmlformats.org/officeDocument/2006/relationships/hyperlink" Target="https://pbs.twimg.com/media/EOlzkEZW4Ag-Fzo.jpg" TargetMode="External"/><Relationship Id="rId3296" Type="http://schemas.openxmlformats.org/officeDocument/2006/relationships/hyperlink" Target="https://bit.ly/2u00bnF" TargetMode="External"/><Relationship Id="rId164" Type="http://schemas.openxmlformats.org/officeDocument/2006/relationships/hyperlink" Target="http://www.diy-hypno.com" TargetMode="External"/><Relationship Id="rId3295" Type="http://schemas.openxmlformats.org/officeDocument/2006/relationships/hyperlink" Target="http://www.thethriveteam.co.uk" TargetMode="External"/><Relationship Id="rId163" Type="http://schemas.openxmlformats.org/officeDocument/2006/relationships/hyperlink" Target="https://pbs.twimg.com/media/EOlz1srU4AAWsD-.jpg" TargetMode="External"/><Relationship Id="rId3298" Type="http://schemas.openxmlformats.org/officeDocument/2006/relationships/hyperlink" Target="https://larimarmassagewellness.com/" TargetMode="External"/><Relationship Id="rId162" Type="http://schemas.openxmlformats.org/officeDocument/2006/relationships/hyperlink" Target="http://bit.ly/club-mnp" TargetMode="External"/><Relationship Id="rId3297" Type="http://schemas.openxmlformats.org/officeDocument/2006/relationships/hyperlink" Target="https://pbs.twimg.com/media/EOUiFL6U4AEN0rA.jpg" TargetMode="External"/><Relationship Id="rId169" Type="http://schemas.openxmlformats.org/officeDocument/2006/relationships/hyperlink" Target="http://ow.ly/2pEn30qai1C" TargetMode="External"/><Relationship Id="rId168" Type="http://schemas.openxmlformats.org/officeDocument/2006/relationships/hyperlink" Target="http://www.luckyhousemysticalstore.com" TargetMode="External"/><Relationship Id="rId3299" Type="http://schemas.openxmlformats.org/officeDocument/2006/relationships/hyperlink" Target="http://www.getaheadva.com/5-top-tips-managing-stress/" TargetMode="External"/><Relationship Id="rId167" Type="http://schemas.openxmlformats.org/officeDocument/2006/relationships/hyperlink" Target="https://pbs.twimg.com/media/EOlzHEZWoAUaxTQ.jpg" TargetMode="External"/><Relationship Id="rId166" Type="http://schemas.openxmlformats.org/officeDocument/2006/relationships/hyperlink" Target="http://www.diy-hypno.com" TargetMode="External"/><Relationship Id="rId161" Type="http://schemas.openxmlformats.org/officeDocument/2006/relationships/hyperlink" Target="https://pbs.twimg.com/media/EOl1UmLWAAAOCBt.jpg" TargetMode="External"/><Relationship Id="rId160" Type="http://schemas.openxmlformats.org/officeDocument/2006/relationships/hyperlink" Target="http://bit.ly/2s5jmvE" TargetMode="External"/><Relationship Id="rId159" Type="http://schemas.openxmlformats.org/officeDocument/2006/relationships/hyperlink" Target="https://omensol.wordpress.com/" TargetMode="External"/><Relationship Id="rId3281" Type="http://schemas.openxmlformats.org/officeDocument/2006/relationships/hyperlink" Target="http://www.everywoman.com" TargetMode="External"/><Relationship Id="rId3280" Type="http://schemas.openxmlformats.org/officeDocument/2006/relationships/hyperlink" Target="https://pbs.twimg.com/media/EOUobb1WsAEf3PP.jpg" TargetMode="External"/><Relationship Id="rId3283" Type="http://schemas.openxmlformats.org/officeDocument/2006/relationships/hyperlink" Target="http://www.wellnessorbit.com" TargetMode="External"/><Relationship Id="rId3282" Type="http://schemas.openxmlformats.org/officeDocument/2006/relationships/hyperlink" Target="https://pbs.twimg.com/media/EOUoaT0XsAEEOzG.jpg" TargetMode="External"/><Relationship Id="rId154" Type="http://schemas.openxmlformats.org/officeDocument/2006/relationships/hyperlink" Target="https://pbs.twimg.com/media/EOl8taIUwAAnKWg.jpg" TargetMode="External"/><Relationship Id="rId3285" Type="http://schemas.openxmlformats.org/officeDocument/2006/relationships/hyperlink" Target="http://www.wellnessorbit.com" TargetMode="External"/><Relationship Id="rId153" Type="http://schemas.openxmlformats.org/officeDocument/2006/relationships/hyperlink" Target="http://hnc-today.weebly.com" TargetMode="External"/><Relationship Id="rId3284" Type="http://schemas.openxmlformats.org/officeDocument/2006/relationships/hyperlink" Target="https://psychologicalscience.org/observer/burnout-and-the-brain" TargetMode="External"/><Relationship Id="rId152" Type="http://schemas.openxmlformats.org/officeDocument/2006/relationships/hyperlink" Target="https://pbs.twimg.com/media/EOl8xhWU4AA7U-r.jpg" TargetMode="External"/><Relationship Id="rId3287" Type="http://schemas.openxmlformats.org/officeDocument/2006/relationships/hyperlink" Target="https://www.thepinkvelvetblog.com/2020/01/prevent-financial-stress.html" TargetMode="External"/><Relationship Id="rId151" Type="http://schemas.openxmlformats.org/officeDocument/2006/relationships/hyperlink" Target="http://www.lulu.com/shop/stephen-w-barham/happiness-is-no-charge-2-target-your-emotions/paperback/product-24217399.html" TargetMode="External"/><Relationship Id="rId3286" Type="http://schemas.openxmlformats.org/officeDocument/2006/relationships/hyperlink" Target="https://www.inc.com/peter-economy/one-amazingly-powerful-way-to-beat-stress-at-work.html" TargetMode="External"/><Relationship Id="rId158" Type="http://schemas.openxmlformats.org/officeDocument/2006/relationships/hyperlink" Target="https://buff.ly/2tyMsUS" TargetMode="External"/><Relationship Id="rId3289" Type="http://schemas.openxmlformats.org/officeDocument/2006/relationships/hyperlink" Target="https://www.counselling-directory.org.uk/stress.html" TargetMode="External"/><Relationship Id="rId157" Type="http://schemas.openxmlformats.org/officeDocument/2006/relationships/hyperlink" Target="http://thesnoozebutton.com" TargetMode="External"/><Relationship Id="rId3288" Type="http://schemas.openxmlformats.org/officeDocument/2006/relationships/hyperlink" Target="https://highstylife.com/" TargetMode="External"/><Relationship Id="rId156" Type="http://schemas.openxmlformats.org/officeDocument/2006/relationships/hyperlink" Target="https://bit.ly/2M4a4XE" TargetMode="External"/><Relationship Id="rId155" Type="http://schemas.openxmlformats.org/officeDocument/2006/relationships/hyperlink" Target="http://brendanmyers.net" TargetMode="External"/><Relationship Id="rId2820" Type="http://schemas.openxmlformats.org/officeDocument/2006/relationships/hyperlink" Target="https://pbs.twimg.com/media/EOWImxCW4AAN-WC.jpg" TargetMode="External"/><Relationship Id="rId2821" Type="http://schemas.openxmlformats.org/officeDocument/2006/relationships/hyperlink" Target="https://www.juliagracehealer.com" TargetMode="External"/><Relationship Id="rId2822" Type="http://schemas.openxmlformats.org/officeDocument/2006/relationships/hyperlink" Target="http://bit.ly/2kaU8my?utm_campaign=coschedule&amp;utm_source=twitter&amp;utm_medium=hanna_higher" TargetMode="External"/><Relationship Id="rId2823" Type="http://schemas.openxmlformats.org/officeDocument/2006/relationships/hyperlink" Target="http://www.charleshannahigher.com" TargetMode="External"/><Relationship Id="rId2824" Type="http://schemas.openxmlformats.org/officeDocument/2006/relationships/hyperlink" Target="https://buff.ly/2nPBN5c" TargetMode="External"/><Relationship Id="rId2825" Type="http://schemas.openxmlformats.org/officeDocument/2006/relationships/hyperlink" Target="http://www.karlschaphorst.sandler.com" TargetMode="External"/><Relationship Id="rId2826" Type="http://schemas.openxmlformats.org/officeDocument/2006/relationships/hyperlink" Target="https://calmpreneur.vipmembervault.com/products" TargetMode="External"/><Relationship Id="rId2827" Type="http://schemas.openxmlformats.org/officeDocument/2006/relationships/hyperlink" Target="https://pbs.twimg.com/media/EOWHXZmW4AEgUos.jpg" TargetMode="External"/><Relationship Id="rId2828" Type="http://schemas.openxmlformats.org/officeDocument/2006/relationships/hyperlink" Target="https://campsite.bio/calmpreneur" TargetMode="External"/><Relationship Id="rId2829" Type="http://schemas.openxmlformats.org/officeDocument/2006/relationships/hyperlink" Target="https://go.costplus-nutrition.com/df873320" TargetMode="External"/><Relationship Id="rId5093" Type="http://schemas.openxmlformats.org/officeDocument/2006/relationships/table" Target="../tables/table1.xml"/><Relationship Id="rId5091" Type="http://schemas.openxmlformats.org/officeDocument/2006/relationships/drawing" Target="../drawings/drawing1.xml"/><Relationship Id="rId2810" Type="http://schemas.openxmlformats.org/officeDocument/2006/relationships/hyperlink" Target="http://www.mindfulnessmeditationinstitute.org/" TargetMode="External"/><Relationship Id="rId2811" Type="http://schemas.openxmlformats.org/officeDocument/2006/relationships/hyperlink" Target="https://www.wholehealtheducation.com/living/2020/01/what-exactly-is-stress-and-where-does-it-come-from/" TargetMode="External"/><Relationship Id="rId2812" Type="http://schemas.openxmlformats.org/officeDocument/2006/relationships/hyperlink" Target="https://pbs.twimg.com/media/EOWLCnHX0AIlXXt.jpg" TargetMode="External"/><Relationship Id="rId2813" Type="http://schemas.openxmlformats.org/officeDocument/2006/relationships/hyperlink" Target="http://www.wholehealtheducation.com/" TargetMode="External"/><Relationship Id="rId2814" Type="http://schemas.openxmlformats.org/officeDocument/2006/relationships/hyperlink" Target="http://ow.ly/wdU850xWdas" TargetMode="External"/><Relationship Id="rId2815" Type="http://schemas.openxmlformats.org/officeDocument/2006/relationships/hyperlink" Target="https://pbs.twimg.com/media/EOWK1ADXUAApQ7l.jpg" TargetMode="External"/><Relationship Id="rId2816" Type="http://schemas.openxmlformats.org/officeDocument/2006/relationships/hyperlink" Target="http://rejuvenated.com" TargetMode="External"/><Relationship Id="rId2817" Type="http://schemas.openxmlformats.org/officeDocument/2006/relationships/hyperlink" Target="https://pbs.twimg.com/media/EOWIs_cWAAAJ_qO.jpg" TargetMode="External"/><Relationship Id="rId2818" Type="http://schemas.openxmlformats.org/officeDocument/2006/relationships/hyperlink" Target="https://tonyburkinshaw.co.uk/contact" TargetMode="External"/><Relationship Id="rId2819" Type="http://schemas.openxmlformats.org/officeDocument/2006/relationships/hyperlink" Target="http://bit.ly/35FLR0M" TargetMode="External"/><Relationship Id="rId5090" Type="http://schemas.openxmlformats.org/officeDocument/2006/relationships/hyperlink" Target="http://www.kateyogaryan.com" TargetMode="External"/><Relationship Id="rId5082" Type="http://schemas.openxmlformats.org/officeDocument/2006/relationships/hyperlink" Target="https://bit.ly/2PzBsPp" TargetMode="External"/><Relationship Id="rId5083" Type="http://schemas.openxmlformats.org/officeDocument/2006/relationships/hyperlink" Target="https://pbs.twimg.com/media/EOK0ktfX0AA3hd-.jpg" TargetMode="External"/><Relationship Id="rId5080" Type="http://schemas.openxmlformats.org/officeDocument/2006/relationships/hyperlink" Target="https://www.newsgram.com/diet-tips-kids-health-exam-season/" TargetMode="External"/><Relationship Id="rId5081" Type="http://schemas.openxmlformats.org/officeDocument/2006/relationships/hyperlink" Target="http://www.newsgram.com/" TargetMode="External"/><Relationship Id="rId5086" Type="http://schemas.openxmlformats.org/officeDocument/2006/relationships/hyperlink" Target="https://doppel.kckb.st/f15d52be" TargetMode="External"/><Relationship Id="rId5087" Type="http://schemas.openxmlformats.org/officeDocument/2006/relationships/hyperlink" Target="https://pbs.twimg.com/media/EOKz5SrU4AIXwK7.jpg" TargetMode="External"/><Relationship Id="rId5084" Type="http://schemas.openxmlformats.org/officeDocument/2006/relationships/hyperlink" Target="http://www.masisstaffing.com" TargetMode="External"/><Relationship Id="rId5085" Type="http://schemas.openxmlformats.org/officeDocument/2006/relationships/hyperlink" Target="http://know-stress-zone.com" TargetMode="External"/><Relationship Id="rId5088" Type="http://schemas.openxmlformats.org/officeDocument/2006/relationships/hyperlink" Target="https://crowdranger.com" TargetMode="External"/><Relationship Id="rId5089" Type="http://schemas.openxmlformats.org/officeDocument/2006/relationships/hyperlink" Target="https://www.independent.co.uk/life-style/happy-place-daily-stress-poll-countryside-pub-a8984826.html?utm_source=twitter&amp;utm_medium=social&amp;utm_campaign=tweepsmap-Kate1" TargetMode="External"/><Relationship Id="rId1510" Type="http://schemas.openxmlformats.org/officeDocument/2006/relationships/hyperlink" Target="https://pbs.twimg.com/media/EOdwMlsU4AEoX5b.jpg" TargetMode="External"/><Relationship Id="rId2841" Type="http://schemas.openxmlformats.org/officeDocument/2006/relationships/hyperlink" Target="https://brianthomas.me" TargetMode="External"/><Relationship Id="rId1511" Type="http://schemas.openxmlformats.org/officeDocument/2006/relationships/hyperlink" Target="http://ow.ly/8opr30q9gYG" TargetMode="External"/><Relationship Id="rId2842" Type="http://schemas.openxmlformats.org/officeDocument/2006/relationships/hyperlink" Target="https://houseoflaurelle1980.com/blog/Get-Out" TargetMode="External"/><Relationship Id="rId1512" Type="http://schemas.openxmlformats.org/officeDocument/2006/relationships/hyperlink" Target="http://www.seasanctuary.org.uk" TargetMode="External"/><Relationship Id="rId2843" Type="http://schemas.openxmlformats.org/officeDocument/2006/relationships/hyperlink" Target="http://www.houseoflaurelle1980.com" TargetMode="External"/><Relationship Id="rId1513" Type="http://schemas.openxmlformats.org/officeDocument/2006/relationships/hyperlink" Target="http://bit.ly/2u8w6SO" TargetMode="External"/><Relationship Id="rId2844" Type="http://schemas.openxmlformats.org/officeDocument/2006/relationships/hyperlink" Target="http://ow.ly/3qTg50xWip2" TargetMode="External"/><Relationship Id="rId1514" Type="http://schemas.openxmlformats.org/officeDocument/2006/relationships/hyperlink" Target="https://pbs.twimg.com/media/EOdswtrUEAEHmFN.jpg" TargetMode="External"/><Relationship Id="rId2845" Type="http://schemas.openxmlformats.org/officeDocument/2006/relationships/hyperlink" Target="http://www.synergyneurofeedback.com" TargetMode="External"/><Relationship Id="rId1515" Type="http://schemas.openxmlformats.org/officeDocument/2006/relationships/hyperlink" Target="https://www.theinsightpartners.com/" TargetMode="External"/><Relationship Id="rId2846" Type="http://schemas.openxmlformats.org/officeDocument/2006/relationships/hyperlink" Target="http://pic.twitter.com/8P6d5hkmEa" TargetMode="External"/><Relationship Id="rId1516" Type="http://schemas.openxmlformats.org/officeDocument/2006/relationships/hyperlink" Target="https://www.mattindia.com/ayurveda-therapy-for-stress-management/" TargetMode="External"/><Relationship Id="rId2847" Type="http://schemas.openxmlformats.org/officeDocument/2006/relationships/hyperlink" Target="https://buff.ly/2QU5hLi" TargetMode="External"/><Relationship Id="rId1517" Type="http://schemas.openxmlformats.org/officeDocument/2006/relationships/hyperlink" Target="https://pbs.twimg.com/media/EOdq9wYUEAEOgvS.jpg" TargetMode="External"/><Relationship Id="rId2848" Type="http://schemas.openxmlformats.org/officeDocument/2006/relationships/hyperlink" Target="http://www.stylist.co.uk" TargetMode="External"/><Relationship Id="rId1518" Type="http://schemas.openxmlformats.org/officeDocument/2006/relationships/hyperlink" Target="https://www.mattindia.com/" TargetMode="External"/><Relationship Id="rId2849" Type="http://schemas.openxmlformats.org/officeDocument/2006/relationships/hyperlink" Target="http://bit.ly/2N6ejCD" TargetMode="External"/><Relationship Id="rId1519" Type="http://schemas.openxmlformats.org/officeDocument/2006/relationships/hyperlink" Target="https://pbs.twimg.com/media/EOdpy_IX0AA5Ws0.jpg" TargetMode="External"/><Relationship Id="rId2840" Type="http://schemas.openxmlformats.org/officeDocument/2006/relationships/hyperlink" Target="https://buff.ly/2RSv7Aa" TargetMode="External"/><Relationship Id="rId2830" Type="http://schemas.openxmlformats.org/officeDocument/2006/relationships/hyperlink" Target="https://pbs.twimg.com/media/EOWGIySX4AYz0Az.jpg" TargetMode="External"/><Relationship Id="rId1500" Type="http://schemas.openxmlformats.org/officeDocument/2006/relationships/hyperlink" Target="https://wildheartmedia.com" TargetMode="External"/><Relationship Id="rId2831" Type="http://schemas.openxmlformats.org/officeDocument/2006/relationships/hyperlink" Target="https://www.facebook.com/costplusnutrition/" TargetMode="External"/><Relationship Id="rId1501" Type="http://schemas.openxmlformats.org/officeDocument/2006/relationships/hyperlink" Target="http://www.bouldernuadthaispa.com" TargetMode="External"/><Relationship Id="rId2832" Type="http://schemas.openxmlformats.org/officeDocument/2006/relationships/hyperlink" Target="https://achieveawarenesshypnosis.com" TargetMode="External"/><Relationship Id="rId1502" Type="http://schemas.openxmlformats.org/officeDocument/2006/relationships/hyperlink" Target="http://www.drmichaelmol.com" TargetMode="External"/><Relationship Id="rId2833" Type="http://schemas.openxmlformats.org/officeDocument/2006/relationships/hyperlink" Target="https://pbs.twimg.com/media/EOWFSl3U4AAYmHM.png" TargetMode="External"/><Relationship Id="rId1503" Type="http://schemas.openxmlformats.org/officeDocument/2006/relationships/hyperlink" Target="https://twitter.com/northantschief/status/1217557646762500097" TargetMode="External"/><Relationship Id="rId2834" Type="http://schemas.openxmlformats.org/officeDocument/2006/relationships/hyperlink" Target="http://achieveawarenesshypnosis.com" TargetMode="External"/><Relationship Id="rId1504" Type="http://schemas.openxmlformats.org/officeDocument/2006/relationships/hyperlink" Target="https://pbs.twimg.com/media/EOWiOKFXkAMTWQj.jpg" TargetMode="External"/><Relationship Id="rId2835" Type="http://schemas.openxmlformats.org/officeDocument/2006/relationships/hyperlink" Target="https://doi.org/10.1093/femsyr/foz085" TargetMode="External"/><Relationship Id="rId1505" Type="http://schemas.openxmlformats.org/officeDocument/2006/relationships/hyperlink" Target="http://www.gowiseonline.co.uk" TargetMode="External"/><Relationship Id="rId2836" Type="http://schemas.openxmlformats.org/officeDocument/2006/relationships/hyperlink" Target="https://pbs.twimg.com/media/EOWBe5DXsAM7iDQ.jpg" TargetMode="External"/><Relationship Id="rId1506" Type="http://schemas.openxmlformats.org/officeDocument/2006/relationships/hyperlink" Target="https://www.instagram.com/the2020hustle/" TargetMode="External"/><Relationship Id="rId2837" Type="http://schemas.openxmlformats.org/officeDocument/2006/relationships/hyperlink" Target="http://www.fems-microbiology.org" TargetMode="External"/><Relationship Id="rId1507" Type="http://schemas.openxmlformats.org/officeDocument/2006/relationships/hyperlink" Target="https://www.podbean.com/eau/pb-t9bp8-cfde5f" TargetMode="External"/><Relationship Id="rId2838" Type="http://schemas.openxmlformats.org/officeDocument/2006/relationships/hyperlink" Target="https://pbs.twimg.com/media/EOWD-9kWoAAVSnQ.jpg" TargetMode="External"/><Relationship Id="rId1508" Type="http://schemas.openxmlformats.org/officeDocument/2006/relationships/hyperlink" Target="https://worksmartlivesmart.com" TargetMode="External"/><Relationship Id="rId2839" Type="http://schemas.openxmlformats.org/officeDocument/2006/relationships/hyperlink" Target="http://www.neuroflowsolution.com/" TargetMode="External"/><Relationship Id="rId1509" Type="http://schemas.openxmlformats.org/officeDocument/2006/relationships/hyperlink" Target="http://www.iinlife.in/" TargetMode="External"/><Relationship Id="rId5050" Type="http://schemas.openxmlformats.org/officeDocument/2006/relationships/hyperlink" Target="https://pbs.twimg.com/media/EOK5DQfWkAMzgIP.png" TargetMode="External"/><Relationship Id="rId5053" Type="http://schemas.openxmlformats.org/officeDocument/2006/relationships/hyperlink" Target="https://tonyburkinshaw.co.uk/contact" TargetMode="External"/><Relationship Id="rId5054" Type="http://schemas.openxmlformats.org/officeDocument/2006/relationships/hyperlink" Target="https://pbs.twimg.com/media/EOK3l4CX0AI9rdv.jpg" TargetMode="External"/><Relationship Id="rId5051" Type="http://schemas.openxmlformats.org/officeDocument/2006/relationships/hyperlink" Target="http://ow.ly/A5PD30q83SC" TargetMode="External"/><Relationship Id="rId5052" Type="http://schemas.openxmlformats.org/officeDocument/2006/relationships/hyperlink" Target="https://pbs.twimg.com/media/EOK3-eSXkAUpUq_.jpg" TargetMode="External"/><Relationship Id="rId5057" Type="http://schemas.openxmlformats.org/officeDocument/2006/relationships/hyperlink" Target="https://pbs.twimg.com/media/EOK3rEDWoAMfVKL.jpg" TargetMode="External"/><Relationship Id="rId5058" Type="http://schemas.openxmlformats.org/officeDocument/2006/relationships/hyperlink" Target="https://www.twitter.com/Design2Fashion" TargetMode="External"/><Relationship Id="rId5055" Type="http://schemas.openxmlformats.org/officeDocument/2006/relationships/hyperlink" Target="https://buff.ly/2Nmio5J" TargetMode="External"/><Relationship Id="rId5056" Type="http://schemas.openxmlformats.org/officeDocument/2006/relationships/hyperlink" Target="http://www.danielfryer.com" TargetMode="External"/><Relationship Id="rId5059" Type="http://schemas.openxmlformats.org/officeDocument/2006/relationships/hyperlink" Target="https://lttr.ai/MHAZ" TargetMode="External"/><Relationship Id="rId5042" Type="http://schemas.openxmlformats.org/officeDocument/2006/relationships/hyperlink" Target="https://www.ziffdavisb2b.co.uk/rank-workplace-stress/" TargetMode="External"/><Relationship Id="rId5043" Type="http://schemas.openxmlformats.org/officeDocument/2006/relationships/hyperlink" Target="http://www.ziffdavisb2b.com" TargetMode="External"/><Relationship Id="rId5040" Type="http://schemas.openxmlformats.org/officeDocument/2006/relationships/hyperlink" Target="https://pbs.twimg.com/media/EOK67MoWAAMhHb_.png" TargetMode="External"/><Relationship Id="rId5041" Type="http://schemas.openxmlformats.org/officeDocument/2006/relationships/hyperlink" Target="http://www.wellnessorbit.com" TargetMode="External"/><Relationship Id="rId5046" Type="http://schemas.openxmlformats.org/officeDocument/2006/relationships/hyperlink" Target="https://pbs.twimg.com/media/EOK5ZWnWoAAyFyM.jpg" TargetMode="External"/><Relationship Id="rId5047" Type="http://schemas.openxmlformats.org/officeDocument/2006/relationships/hyperlink" Target="http://www.lifeasyoga.com" TargetMode="External"/><Relationship Id="rId5044" Type="http://schemas.openxmlformats.org/officeDocument/2006/relationships/hyperlink" Target="https://www.brainpickings.org/2015/10/07/esther-sternberg-stress-relationships/" TargetMode="External"/><Relationship Id="rId5045" Type="http://schemas.openxmlformats.org/officeDocument/2006/relationships/hyperlink" Target="https://mdsc.ca/" TargetMode="External"/><Relationship Id="rId5048" Type="http://schemas.openxmlformats.org/officeDocument/2006/relationships/hyperlink" Target="https://pbs.twimg.com/media/EOK5Hx8XkAA7gS_.jpg" TargetMode="External"/><Relationship Id="rId5049" Type="http://schemas.openxmlformats.org/officeDocument/2006/relationships/hyperlink" Target="https://qoo.ly/33tur3" TargetMode="External"/><Relationship Id="rId2800" Type="http://schemas.openxmlformats.org/officeDocument/2006/relationships/hyperlink" Target="https://linktr.ee/anandaleeke" TargetMode="External"/><Relationship Id="rId2801" Type="http://schemas.openxmlformats.org/officeDocument/2006/relationships/hyperlink" Target="https://pbs.twimg.com/media/EOWOTKLW4AYSM8x.jpg" TargetMode="External"/><Relationship Id="rId2802" Type="http://schemas.openxmlformats.org/officeDocument/2006/relationships/hyperlink" Target="https://pbs.twimg.com/media/EOWL_pHWkAEXdtt.png" TargetMode="External"/><Relationship Id="rId2803" Type="http://schemas.openxmlformats.org/officeDocument/2006/relationships/hyperlink" Target="http://sites.google.com/view/mindvisioncoaching" TargetMode="External"/><Relationship Id="rId2804" Type="http://schemas.openxmlformats.org/officeDocument/2006/relationships/hyperlink" Target="https://goo.gl/3xve37" TargetMode="External"/><Relationship Id="rId2805" Type="http://schemas.openxmlformats.org/officeDocument/2006/relationships/hyperlink" Target="https://pbs.twimg.com/media/EOWL_JDUYAA3gDF.png" TargetMode="External"/><Relationship Id="rId2806" Type="http://schemas.openxmlformats.org/officeDocument/2006/relationships/hyperlink" Target="http://www.lisakaplin.com" TargetMode="External"/><Relationship Id="rId2807" Type="http://schemas.openxmlformats.org/officeDocument/2006/relationships/hyperlink" Target="https://buff.ly/2Ox4DlW" TargetMode="External"/><Relationship Id="rId2808" Type="http://schemas.openxmlformats.org/officeDocument/2006/relationships/hyperlink" Target="https://brianthomas.me" TargetMode="External"/><Relationship Id="rId2809" Type="http://schemas.openxmlformats.org/officeDocument/2006/relationships/hyperlink" Target="https://mindfulnessmeditationinstitute.org/2016/11/29/dont-have-time-for-sitting-meditation-try-mindfulness-driving-meditation/" TargetMode="External"/><Relationship Id="rId5071" Type="http://schemas.openxmlformats.org/officeDocument/2006/relationships/hyperlink" Target="http://thepethemp.store" TargetMode="External"/><Relationship Id="rId5072" Type="http://schemas.openxmlformats.org/officeDocument/2006/relationships/hyperlink" Target="https://www.facebook.com/100000616129931/posts/2914105608619948/?d=n" TargetMode="External"/><Relationship Id="rId5070" Type="http://schemas.openxmlformats.org/officeDocument/2006/relationships/hyperlink" Target="https://www.petfoodindustry.com/articles/8785-dog-owners-may-spend-us42-on-cbd-oil-for-pets-per-month" TargetMode="External"/><Relationship Id="rId5075" Type="http://schemas.openxmlformats.org/officeDocument/2006/relationships/hyperlink" Target="https://pbs.twimg.com/media/EOK1cnaWsAA2v1R.jpg" TargetMode="External"/><Relationship Id="rId5076" Type="http://schemas.openxmlformats.org/officeDocument/2006/relationships/hyperlink" Target="http://www.napsnet.com" TargetMode="External"/><Relationship Id="rId5073" Type="http://schemas.openxmlformats.org/officeDocument/2006/relationships/hyperlink" Target="https://pbs.twimg.com/media/EOK1-LYWkAcxwh6.jpg" TargetMode="External"/><Relationship Id="rId5074" Type="http://schemas.openxmlformats.org/officeDocument/2006/relationships/hyperlink" Target="http://bit.ly/2Fy1Pzh" TargetMode="External"/><Relationship Id="rId5079" Type="http://schemas.openxmlformats.org/officeDocument/2006/relationships/hyperlink" Target="http://pic.twitter.com/BmBkrpLBxq" TargetMode="External"/><Relationship Id="rId5077" Type="http://schemas.openxmlformats.org/officeDocument/2006/relationships/hyperlink" Target="http://ow.ly/ncpl50xTXMm" TargetMode="External"/><Relationship Id="rId5078" Type="http://schemas.openxmlformats.org/officeDocument/2006/relationships/hyperlink" Target="http://learntolive.com" TargetMode="External"/><Relationship Id="rId5060" Type="http://schemas.openxmlformats.org/officeDocument/2006/relationships/hyperlink" Target="https://pbs.twimg.com/media/EOK3q3nW4AQB4oI.png" TargetMode="External"/><Relationship Id="rId5061" Type="http://schemas.openxmlformats.org/officeDocument/2006/relationships/hyperlink" Target="http://www.lifenotestofile.com" TargetMode="External"/><Relationship Id="rId5064" Type="http://schemas.openxmlformats.org/officeDocument/2006/relationships/hyperlink" Target="https://keepfitkingdom.com/5-psychological-benefits-of-martial-arts-training/" TargetMode="External"/><Relationship Id="rId5065" Type="http://schemas.openxmlformats.org/officeDocument/2006/relationships/hyperlink" Target="https://pbs.twimg.com/media/EOK2gTGW4AEbwBv.jpg" TargetMode="External"/><Relationship Id="rId5062" Type="http://schemas.openxmlformats.org/officeDocument/2006/relationships/hyperlink" Target="http://dld.bz/h5uVb" TargetMode="External"/><Relationship Id="rId5063" Type="http://schemas.openxmlformats.org/officeDocument/2006/relationships/hyperlink" Target="https://drmiriamkin.contently.com/" TargetMode="External"/><Relationship Id="rId5068" Type="http://schemas.openxmlformats.org/officeDocument/2006/relationships/hyperlink" Target="https://scentfill.com/" TargetMode="External"/><Relationship Id="rId5069" Type="http://schemas.openxmlformats.org/officeDocument/2006/relationships/hyperlink" Target="https://pbs.twimg.com/media/EOK2OCtX0AE-FlX.jpg" TargetMode="External"/><Relationship Id="rId5066" Type="http://schemas.openxmlformats.org/officeDocument/2006/relationships/hyperlink" Target="http://keepfitkingdom.com" TargetMode="External"/><Relationship Id="rId5067" Type="http://schemas.openxmlformats.org/officeDocument/2006/relationships/hyperlink" Target="https://pbs.twimg.com/media/EOK2fw7X0AA2jVi.jpg" TargetMode="External"/><Relationship Id="rId1576" Type="http://schemas.openxmlformats.org/officeDocument/2006/relationships/hyperlink" Target="https://pbs.twimg.com/media/EOdHCWpVAAMrn7a.jpg" TargetMode="External"/><Relationship Id="rId4602" Type="http://schemas.openxmlformats.org/officeDocument/2006/relationships/hyperlink" Target="http://lifeextensioneurope.com" TargetMode="External"/><Relationship Id="rId1577" Type="http://schemas.openxmlformats.org/officeDocument/2006/relationships/hyperlink" Target="http://www.brewathought.com" TargetMode="External"/><Relationship Id="rId4601" Type="http://schemas.openxmlformats.org/officeDocument/2006/relationships/hyperlink" Target="http://www.hpluscreative.com" TargetMode="External"/><Relationship Id="rId1578" Type="http://schemas.openxmlformats.org/officeDocument/2006/relationships/hyperlink" Target="https://buff.ly/2xbjNpY" TargetMode="External"/><Relationship Id="rId4604" Type="http://schemas.openxmlformats.org/officeDocument/2006/relationships/hyperlink" Target="https://pbs.twimg.com/media/EONFKHhXsAAHfBu.jpg" TargetMode="External"/><Relationship Id="rId1579" Type="http://schemas.openxmlformats.org/officeDocument/2006/relationships/hyperlink" Target="http://www.franksonnenbergonline.com" TargetMode="External"/><Relationship Id="rId4603" Type="http://schemas.openxmlformats.org/officeDocument/2006/relationships/hyperlink" Target="https://pbs.twimg.com/media/EONFT7-XkAYTUaa.jpg" TargetMode="External"/><Relationship Id="rId4606" Type="http://schemas.openxmlformats.org/officeDocument/2006/relationships/hyperlink" Target="https://catherinecarrigan.com/natural-healing-show/" TargetMode="External"/><Relationship Id="rId4605" Type="http://schemas.openxmlformats.org/officeDocument/2006/relationships/hyperlink" Target="https://catherinecarrigan.com/what-your-circadian-rhythms-reveal-about-you/" TargetMode="External"/><Relationship Id="rId4608" Type="http://schemas.openxmlformats.org/officeDocument/2006/relationships/hyperlink" Target="http://businessofwriting.net" TargetMode="External"/><Relationship Id="rId4607" Type="http://schemas.openxmlformats.org/officeDocument/2006/relationships/hyperlink" Target="https://catherinecarrigan.com/what-your-circadian-rhythms-reveal-about-you/" TargetMode="External"/><Relationship Id="rId4609" Type="http://schemas.openxmlformats.org/officeDocument/2006/relationships/hyperlink" Target="https://catherinecarrigan.com/what-your-circadian-rhythms-reveal-about-you/" TargetMode="External"/><Relationship Id="rId987" Type="http://schemas.openxmlformats.org/officeDocument/2006/relationships/hyperlink" Target="http://www.flyingstarttuition.co.uk" TargetMode="External"/><Relationship Id="rId986" Type="http://schemas.openxmlformats.org/officeDocument/2006/relationships/hyperlink" Target="https://pbs.twimg.com/media/EOgCwqTW4AY9BXe.jpg" TargetMode="External"/><Relationship Id="rId985" Type="http://schemas.openxmlformats.org/officeDocument/2006/relationships/hyperlink" Target="https://pbs.twimg.com/media/EOgC0jDWsAEWOw2.jpg" TargetMode="External"/><Relationship Id="rId984" Type="http://schemas.openxmlformats.org/officeDocument/2006/relationships/hyperlink" Target="https://soundcloud.com/thecuriosityhourpodcast/s03-e055-erin-burton" TargetMode="External"/><Relationship Id="rId989" Type="http://schemas.openxmlformats.org/officeDocument/2006/relationships/hyperlink" Target="https://pbs.twimg.com/media/EOgCu8FX0AI7r1k.jpg" TargetMode="External"/><Relationship Id="rId988" Type="http://schemas.openxmlformats.org/officeDocument/2006/relationships/hyperlink" Target="https://cutt.ly/orc46tr" TargetMode="External"/><Relationship Id="rId1570" Type="http://schemas.openxmlformats.org/officeDocument/2006/relationships/hyperlink" Target="https://mailchi.mp/ccd5ec8b547b/5stepstosuccess" TargetMode="External"/><Relationship Id="rId1571" Type="http://schemas.openxmlformats.org/officeDocument/2006/relationships/hyperlink" Target="https://brainlessblogger.net/2020/01/16/chronic-stress-and-the-body/" TargetMode="External"/><Relationship Id="rId983" Type="http://schemas.openxmlformats.org/officeDocument/2006/relationships/hyperlink" Target="http://www.noblebeastdogtraining.com" TargetMode="External"/><Relationship Id="rId1572" Type="http://schemas.openxmlformats.org/officeDocument/2006/relationships/hyperlink" Target="https://brainlessblogger.net/" TargetMode="External"/><Relationship Id="rId982" Type="http://schemas.openxmlformats.org/officeDocument/2006/relationships/hyperlink" Target="https://pbs.twimg.com/media/EOgDsNiX0AIPEtB.jpg" TargetMode="External"/><Relationship Id="rId1573" Type="http://schemas.openxmlformats.org/officeDocument/2006/relationships/hyperlink" Target="http://amzn.to/2ka1pEb" TargetMode="External"/><Relationship Id="rId981" Type="http://schemas.openxmlformats.org/officeDocument/2006/relationships/hyperlink" Target="http://www.shadowplaycounselling.co.uk" TargetMode="External"/><Relationship Id="rId1574" Type="http://schemas.openxmlformats.org/officeDocument/2006/relationships/hyperlink" Target="https://pbs.twimg.com/media/EOdHIQBWsAAGECl.jpg" TargetMode="External"/><Relationship Id="rId4600" Type="http://schemas.openxmlformats.org/officeDocument/2006/relationships/hyperlink" Target="https://pbs.twimg.com/media/EONFeSHXUAApEdW.jpg" TargetMode="External"/><Relationship Id="rId980" Type="http://schemas.openxmlformats.org/officeDocument/2006/relationships/hyperlink" Target="https://pbs.twimg.com/media/EOgDtSBXUAES6nC.jpg" TargetMode="External"/><Relationship Id="rId1575" Type="http://schemas.openxmlformats.org/officeDocument/2006/relationships/hyperlink" Target="http://www.kaylajwmarnach.com" TargetMode="External"/><Relationship Id="rId1565" Type="http://schemas.openxmlformats.org/officeDocument/2006/relationships/hyperlink" Target="https://www.thepinkvelvetblog.com" TargetMode="External"/><Relationship Id="rId2896" Type="http://schemas.openxmlformats.org/officeDocument/2006/relationships/hyperlink" Target="https://www.youtube.com/user/usolympicfan1" TargetMode="External"/><Relationship Id="rId1566" Type="http://schemas.openxmlformats.org/officeDocument/2006/relationships/hyperlink" Target="https://pbs.twimg.com/media/EOZNFk1U4AAMCCb.png" TargetMode="External"/><Relationship Id="rId2897" Type="http://schemas.openxmlformats.org/officeDocument/2006/relationships/hyperlink" Target="http://zzedibles.com" TargetMode="External"/><Relationship Id="rId1567" Type="http://schemas.openxmlformats.org/officeDocument/2006/relationships/hyperlink" Target="http://www.ahanahospitals.in" TargetMode="External"/><Relationship Id="rId2898" Type="http://schemas.openxmlformats.org/officeDocument/2006/relationships/hyperlink" Target="http://pic.twitter.com/Hr2GJC2HfQ" TargetMode="External"/><Relationship Id="rId1568" Type="http://schemas.openxmlformats.org/officeDocument/2006/relationships/hyperlink" Target="https://buff.ly/2NCMSAX" TargetMode="External"/><Relationship Id="rId2899" Type="http://schemas.openxmlformats.org/officeDocument/2006/relationships/hyperlink" Target="http://www.zzedibles.com" TargetMode="External"/><Relationship Id="rId1569" Type="http://schemas.openxmlformats.org/officeDocument/2006/relationships/hyperlink" Target="http://pic.twitter.com/6SQysTHUPR" TargetMode="External"/><Relationship Id="rId976" Type="http://schemas.openxmlformats.org/officeDocument/2006/relationships/hyperlink" Target="http://www.trafficjam.mobi/" TargetMode="External"/><Relationship Id="rId975" Type="http://schemas.openxmlformats.org/officeDocument/2006/relationships/hyperlink" Target="https://pbs.twimg.com/media/EOgEyoEWsAAAQOY.jpg" TargetMode="External"/><Relationship Id="rId974" Type="http://schemas.openxmlformats.org/officeDocument/2006/relationships/hyperlink" Target="http://zpr.io/guka2" TargetMode="External"/><Relationship Id="rId973" Type="http://schemas.openxmlformats.org/officeDocument/2006/relationships/hyperlink" Target="https://www.therelationshiptherapycenter.com" TargetMode="External"/><Relationship Id="rId979" Type="http://schemas.openxmlformats.org/officeDocument/2006/relationships/hyperlink" Target="http://www.zzedibles.com" TargetMode="External"/><Relationship Id="rId978" Type="http://schemas.openxmlformats.org/officeDocument/2006/relationships/hyperlink" Target="http://pic.twitter.com/cWmA1KufjQ" TargetMode="External"/><Relationship Id="rId977" Type="http://schemas.openxmlformats.org/officeDocument/2006/relationships/hyperlink" Target="http://zzedibles.com" TargetMode="External"/><Relationship Id="rId2890" Type="http://schemas.openxmlformats.org/officeDocument/2006/relationships/hyperlink" Target="https://pbs.twimg.com/media/EOV5s80WsAAPZwp.jpg" TargetMode="External"/><Relationship Id="rId1560" Type="http://schemas.openxmlformats.org/officeDocument/2006/relationships/hyperlink" Target="https://www.quora.com/How-can-one-avoid-life-overload?ch=2&amp;share=b7d9ffa6&amp;srid=5T2Vf" TargetMode="External"/><Relationship Id="rId2891" Type="http://schemas.openxmlformats.org/officeDocument/2006/relationships/hyperlink" Target="http://anthonyclarkmusic.com" TargetMode="External"/><Relationship Id="rId972" Type="http://schemas.openxmlformats.org/officeDocument/2006/relationships/hyperlink" Target="https://pbs.twimg.com/media/EOgE1WAWkAI6QXc.jpg" TargetMode="External"/><Relationship Id="rId1561" Type="http://schemas.openxmlformats.org/officeDocument/2006/relationships/hyperlink" Target="http://soniaoliviawilliams.com/order-page/" TargetMode="External"/><Relationship Id="rId2892" Type="http://schemas.openxmlformats.org/officeDocument/2006/relationships/hyperlink" Target="https://buff.ly/2TrXjuo" TargetMode="External"/><Relationship Id="rId971" Type="http://schemas.openxmlformats.org/officeDocument/2006/relationships/hyperlink" Target="https://pbs.twimg.com/media/EOdXHikUcAEY6E5.jpg" TargetMode="External"/><Relationship Id="rId1562" Type="http://schemas.openxmlformats.org/officeDocument/2006/relationships/hyperlink" Target="https://pbs.twimg.com/media/EOdNt8IWoAA_f-2.jpg" TargetMode="External"/><Relationship Id="rId2893" Type="http://schemas.openxmlformats.org/officeDocument/2006/relationships/hyperlink" Target="https://pbs.twimg.com/media/EOV4RzWXUAEIYrT.jpg" TargetMode="External"/><Relationship Id="rId970" Type="http://schemas.openxmlformats.org/officeDocument/2006/relationships/hyperlink" Target="https://twitter.com/dr_kewalkrishan/status/1218038021515177984" TargetMode="External"/><Relationship Id="rId1563" Type="http://schemas.openxmlformats.org/officeDocument/2006/relationships/hyperlink" Target="http://www.sesderma.co.in/" TargetMode="External"/><Relationship Id="rId2894" Type="http://schemas.openxmlformats.org/officeDocument/2006/relationships/hyperlink" Target="https://linktr.ee/bfastleadership" TargetMode="External"/><Relationship Id="rId1564" Type="http://schemas.openxmlformats.org/officeDocument/2006/relationships/hyperlink" Target="https://buff.ly/2tdCGrp" TargetMode="External"/><Relationship Id="rId2895" Type="http://schemas.openxmlformats.org/officeDocument/2006/relationships/hyperlink" Target="https://bit.ly/35Si05v" TargetMode="External"/><Relationship Id="rId1598" Type="http://schemas.openxmlformats.org/officeDocument/2006/relationships/hyperlink" Target="http://creatormagazine.com" TargetMode="External"/><Relationship Id="rId4624" Type="http://schemas.openxmlformats.org/officeDocument/2006/relationships/hyperlink" Target="https://pbs.twimg.com/media/EOM9hcSWoAIwLV_.png" TargetMode="External"/><Relationship Id="rId1599" Type="http://schemas.openxmlformats.org/officeDocument/2006/relationships/hyperlink" Target="https://pbs.twimg.com/media/EOc5IvHXkAAjoeZ.jpg" TargetMode="External"/><Relationship Id="rId4623" Type="http://schemas.openxmlformats.org/officeDocument/2006/relationships/hyperlink" Target="http://www.pdhealth.mil" TargetMode="External"/><Relationship Id="rId4626" Type="http://schemas.openxmlformats.org/officeDocument/2006/relationships/hyperlink" Target="https://pbs.twimg.com/media/EOM8_P1XkAINGYk.jpg" TargetMode="External"/><Relationship Id="rId4625" Type="http://schemas.openxmlformats.org/officeDocument/2006/relationships/hyperlink" Target="http://www.acelestebooks.com" TargetMode="External"/><Relationship Id="rId4628" Type="http://schemas.openxmlformats.org/officeDocument/2006/relationships/hyperlink" Target="https://pbs.twimg.com/media/EOM4YRQUcAIjcOi.jpg" TargetMode="External"/><Relationship Id="rId4627" Type="http://schemas.openxmlformats.org/officeDocument/2006/relationships/hyperlink" Target="http://bit.ly/BestCoffeeInAmerica" TargetMode="External"/><Relationship Id="rId4629" Type="http://schemas.openxmlformats.org/officeDocument/2006/relationships/hyperlink" Target="http://www.shereekirby.com" TargetMode="External"/><Relationship Id="rId1590" Type="http://schemas.openxmlformats.org/officeDocument/2006/relationships/hyperlink" Target="http://www.wjso.com" TargetMode="External"/><Relationship Id="rId1591" Type="http://schemas.openxmlformats.org/officeDocument/2006/relationships/hyperlink" Target="https://qwikad.com/697/posts/20-Income-Opps/129-Business-Opportunities/853282-NO-RISK-NO-STRESS.html" TargetMode="External"/><Relationship Id="rId1592" Type="http://schemas.openxmlformats.org/officeDocument/2006/relationships/hyperlink" Target="https://qwikad.com" TargetMode="External"/><Relationship Id="rId1593" Type="http://schemas.openxmlformats.org/officeDocument/2006/relationships/hyperlink" Target="https://ift.tt/2svF3Fp" TargetMode="External"/><Relationship Id="rId1594" Type="http://schemas.openxmlformats.org/officeDocument/2006/relationships/hyperlink" Target="https://pbs.twimg.com/media/EOc5ozKXkAEoxAW.jpg" TargetMode="External"/><Relationship Id="rId4620" Type="http://schemas.openxmlformats.org/officeDocument/2006/relationships/hyperlink" Target="https://linktr.ee/entrancehypno" TargetMode="External"/><Relationship Id="rId1595" Type="http://schemas.openxmlformats.org/officeDocument/2006/relationships/hyperlink" Target="http://hubpages.com/@wiserworld" TargetMode="External"/><Relationship Id="rId1596" Type="http://schemas.openxmlformats.org/officeDocument/2006/relationships/hyperlink" Target="http://cmag.ws/o1" TargetMode="External"/><Relationship Id="rId4622" Type="http://schemas.openxmlformats.org/officeDocument/2006/relationships/hyperlink" Target="https://pbs.twimg.com/media/EOMqE9sWAAAxnly.jpg" TargetMode="External"/><Relationship Id="rId1597" Type="http://schemas.openxmlformats.org/officeDocument/2006/relationships/hyperlink" Target="https://pbs.twimg.com/media/EOc5ZbFWsAE74QM.png" TargetMode="External"/><Relationship Id="rId4621" Type="http://schemas.openxmlformats.org/officeDocument/2006/relationships/hyperlink" Target="https://www.pdhealth.mil/news/blog/helping-military-teams-manage-acute-stress-when-it-matters-most" TargetMode="External"/><Relationship Id="rId1587" Type="http://schemas.openxmlformats.org/officeDocument/2006/relationships/hyperlink" Target="https://news.harvard.edu/gazette/story/2011/01/eight-weeks-to-a-better-brain/" TargetMode="External"/><Relationship Id="rId4613" Type="http://schemas.openxmlformats.org/officeDocument/2006/relationships/hyperlink" Target="https://pbs.twimg.com/media/EONEE-5WkAEBJYP.jpg" TargetMode="External"/><Relationship Id="rId1588" Type="http://schemas.openxmlformats.org/officeDocument/2006/relationships/hyperlink" Target="http://linkedin.com/in/josephsantoro" TargetMode="External"/><Relationship Id="rId4612" Type="http://schemas.openxmlformats.org/officeDocument/2006/relationships/hyperlink" Target="https://lttr.ai/MIhG" TargetMode="External"/><Relationship Id="rId1589" Type="http://schemas.openxmlformats.org/officeDocument/2006/relationships/hyperlink" Target="https://pbs.twimg.com/media/EOc7NZAUUAMcld2.jpg" TargetMode="External"/><Relationship Id="rId4615" Type="http://schemas.openxmlformats.org/officeDocument/2006/relationships/hyperlink" Target="https://pbs.twimg.com/media/EONBVvmX0AIXrAn.jpg" TargetMode="External"/><Relationship Id="rId4614" Type="http://schemas.openxmlformats.org/officeDocument/2006/relationships/hyperlink" Target="https://buff.ly/2I9uw5X" TargetMode="External"/><Relationship Id="rId4617" Type="http://schemas.openxmlformats.org/officeDocument/2006/relationships/hyperlink" Target="https://www.nytimes.com/2020/01/10/opinion/how-to-help-climate-change.html" TargetMode="External"/><Relationship Id="rId4616" Type="http://schemas.openxmlformats.org/officeDocument/2006/relationships/hyperlink" Target="http://jamesnussbaumer.com/my-blog/" TargetMode="External"/><Relationship Id="rId4619" Type="http://schemas.openxmlformats.org/officeDocument/2006/relationships/hyperlink" Target="http://bit.ly/2ytGZ2y" TargetMode="External"/><Relationship Id="rId4618" Type="http://schemas.openxmlformats.org/officeDocument/2006/relationships/hyperlink" Target="http://www.texaspsr.org" TargetMode="External"/><Relationship Id="rId998" Type="http://schemas.openxmlformats.org/officeDocument/2006/relationships/hyperlink" Target="http://snip.ly/xsg7u" TargetMode="External"/><Relationship Id="rId997" Type="http://schemas.openxmlformats.org/officeDocument/2006/relationships/hyperlink" Target="http://www.zzedibles.com" TargetMode="External"/><Relationship Id="rId996" Type="http://schemas.openxmlformats.org/officeDocument/2006/relationships/hyperlink" Target="https://pbs.twimg.com/media/EOgCewbWAAAdJCr.png" TargetMode="External"/><Relationship Id="rId995" Type="http://schemas.openxmlformats.org/officeDocument/2006/relationships/hyperlink" Target="http://zzedibles.com" TargetMode="External"/><Relationship Id="rId999" Type="http://schemas.openxmlformats.org/officeDocument/2006/relationships/hyperlink" Target="https://pbs.twimg.com/media/EOgCGSgWsAAr-IE.jpg" TargetMode="External"/><Relationship Id="rId990" Type="http://schemas.openxmlformats.org/officeDocument/2006/relationships/hyperlink" Target="http://www.cancerandcareers.org" TargetMode="External"/><Relationship Id="rId1580" Type="http://schemas.openxmlformats.org/officeDocument/2006/relationships/hyperlink" Target="https://pbs.twimg.com/media/EOdDD_bWkAAb0ax.jpg" TargetMode="External"/><Relationship Id="rId1581" Type="http://schemas.openxmlformats.org/officeDocument/2006/relationships/hyperlink" Target="http://www.yourwellnesscentre.com.au/" TargetMode="External"/><Relationship Id="rId1582" Type="http://schemas.openxmlformats.org/officeDocument/2006/relationships/hyperlink" Target="https://buff.ly/2RecZPg" TargetMode="External"/><Relationship Id="rId994" Type="http://schemas.openxmlformats.org/officeDocument/2006/relationships/hyperlink" Target="http://www.georgetownmarket.com" TargetMode="External"/><Relationship Id="rId1583" Type="http://schemas.openxmlformats.org/officeDocument/2006/relationships/hyperlink" Target="https://pbs.twimg.com/media/EOdCRjWU4AACWUB.jpg" TargetMode="External"/><Relationship Id="rId993" Type="http://schemas.openxmlformats.org/officeDocument/2006/relationships/hyperlink" Target="https://pbs.twimg.com/media/EOgChMoX4AEvkxE.jpg" TargetMode="External"/><Relationship Id="rId1584" Type="http://schemas.openxmlformats.org/officeDocument/2006/relationships/hyperlink" Target="http://ontheline.org.au" TargetMode="External"/><Relationship Id="rId992" Type="http://schemas.openxmlformats.org/officeDocument/2006/relationships/hyperlink" Target="http://pic.twitter.com/Bv2yaeJiIt" TargetMode="External"/><Relationship Id="rId1585" Type="http://schemas.openxmlformats.org/officeDocument/2006/relationships/hyperlink" Target="https://mindfulnessmeditationinstitute.org/the-mindfulness-meditation-practice/writing-meditation/" TargetMode="External"/><Relationship Id="rId4611" Type="http://schemas.openxmlformats.org/officeDocument/2006/relationships/hyperlink" Target="https://pbs.twimg.com/media/EONEWQzXkAEqEkH.jpg" TargetMode="External"/><Relationship Id="rId991" Type="http://schemas.openxmlformats.org/officeDocument/2006/relationships/hyperlink" Target="https://twitter.com/sintop_gg/status/1218167227435741184" TargetMode="External"/><Relationship Id="rId1586" Type="http://schemas.openxmlformats.org/officeDocument/2006/relationships/hyperlink" Target="http://www.mindfulnessmeditationinstitute.org/" TargetMode="External"/><Relationship Id="rId4610" Type="http://schemas.openxmlformats.org/officeDocument/2006/relationships/hyperlink" Target="https://www.catherinecarrigan.com" TargetMode="External"/><Relationship Id="rId1532" Type="http://schemas.openxmlformats.org/officeDocument/2006/relationships/hyperlink" Target="http://www.nrronline.org/text.asp?2020/15/2/212/265560" TargetMode="External"/><Relationship Id="rId2863" Type="http://schemas.openxmlformats.org/officeDocument/2006/relationships/hyperlink" Target="https://lnkd.in/e8FwdjP" TargetMode="External"/><Relationship Id="rId1533" Type="http://schemas.openxmlformats.org/officeDocument/2006/relationships/hyperlink" Target="https://pbs.twimg.com/media/EOdiTfOVUAAyY9I.jpg" TargetMode="External"/><Relationship Id="rId2864" Type="http://schemas.openxmlformats.org/officeDocument/2006/relationships/hyperlink" Target="https://kingsumo.com/g/9agctd/giveaway-january-2020/m869okv" TargetMode="External"/><Relationship Id="rId1534" Type="http://schemas.openxmlformats.org/officeDocument/2006/relationships/hyperlink" Target="http://www.nrronline.org" TargetMode="External"/><Relationship Id="rId2865" Type="http://schemas.openxmlformats.org/officeDocument/2006/relationships/hyperlink" Target="https://youtu.be/CFVEdp_8scY" TargetMode="External"/><Relationship Id="rId1535" Type="http://schemas.openxmlformats.org/officeDocument/2006/relationships/hyperlink" Target="https://pbs.twimg.com/media/EOdiT_zX4AAFB-M.jpg" TargetMode="External"/><Relationship Id="rId2866" Type="http://schemas.openxmlformats.org/officeDocument/2006/relationships/hyperlink" Target="http://www.gettinunbusybook.com" TargetMode="External"/><Relationship Id="rId1536" Type="http://schemas.openxmlformats.org/officeDocument/2006/relationships/hyperlink" Target="http://www.ehhc.co.za" TargetMode="External"/><Relationship Id="rId2867" Type="http://schemas.openxmlformats.org/officeDocument/2006/relationships/hyperlink" Target="https://amzn.to/30OzTA5" TargetMode="External"/><Relationship Id="rId1537" Type="http://schemas.openxmlformats.org/officeDocument/2006/relationships/hyperlink" Target="https://mentalhealth.peersalleyconferences.com" TargetMode="External"/><Relationship Id="rId2868" Type="http://schemas.openxmlformats.org/officeDocument/2006/relationships/hyperlink" Target="https://pbs.twimg.com/media/EOV9FpnXUAcoy5v.jpg" TargetMode="External"/><Relationship Id="rId1538" Type="http://schemas.openxmlformats.org/officeDocument/2006/relationships/hyperlink" Target="https://pbs.twimg.com/media/EOdiS9QUEAIZTrJ.jpg" TargetMode="External"/><Relationship Id="rId2869" Type="http://schemas.openxmlformats.org/officeDocument/2006/relationships/hyperlink" Target="http://www.timemanagementninja.com" TargetMode="External"/><Relationship Id="rId1539" Type="http://schemas.openxmlformats.org/officeDocument/2006/relationships/hyperlink" Target="https://mentalhealth.peersalleyconferences.com/" TargetMode="External"/><Relationship Id="rId949" Type="http://schemas.openxmlformats.org/officeDocument/2006/relationships/hyperlink" Target="https://doctorsoncbd.com/buy-cbd-products/free-cbd-samples" TargetMode="External"/><Relationship Id="rId948" Type="http://schemas.openxmlformats.org/officeDocument/2006/relationships/hyperlink" Target="http://www.developgoodhabits.com/" TargetMode="External"/><Relationship Id="rId943" Type="http://schemas.openxmlformats.org/officeDocument/2006/relationships/hyperlink" Target="http://youtube.com/c/MingOnFilm" TargetMode="External"/><Relationship Id="rId942" Type="http://schemas.openxmlformats.org/officeDocument/2006/relationships/hyperlink" Target="http://pic.twitter.com/6zywEnsMms" TargetMode="External"/><Relationship Id="rId941" Type="http://schemas.openxmlformats.org/officeDocument/2006/relationships/hyperlink" Target="https://youtu.be/HLG83FDUjR8" TargetMode="External"/><Relationship Id="rId940" Type="http://schemas.openxmlformats.org/officeDocument/2006/relationships/hyperlink" Target="https://pbs.twimg.com/media/EOgM-EHWsAIHRgE.jpg" TargetMode="External"/><Relationship Id="rId947" Type="http://schemas.openxmlformats.org/officeDocument/2006/relationships/hyperlink" Target="https://buff.ly/2DeDksA" TargetMode="External"/><Relationship Id="rId946" Type="http://schemas.openxmlformats.org/officeDocument/2006/relationships/hyperlink" Target="http://www.nexus8.co.uk" TargetMode="External"/><Relationship Id="rId945" Type="http://schemas.openxmlformats.org/officeDocument/2006/relationships/hyperlink" Target="https://youtu.be/0EjSCBfzldE" TargetMode="External"/><Relationship Id="rId944" Type="http://schemas.openxmlformats.org/officeDocument/2006/relationships/hyperlink" Target="http://www.leetchi.com/c/devenir-developpeur" TargetMode="External"/><Relationship Id="rId2860" Type="http://schemas.openxmlformats.org/officeDocument/2006/relationships/hyperlink" Target="http://www.edocamerica.com" TargetMode="External"/><Relationship Id="rId1530" Type="http://schemas.openxmlformats.org/officeDocument/2006/relationships/hyperlink" Target="https://pbs.twimg.com/media/EOdiVDSXsAA9_Yx.jpg" TargetMode="External"/><Relationship Id="rId2861" Type="http://schemas.openxmlformats.org/officeDocument/2006/relationships/hyperlink" Target="https://pbs.twimg.com/media/EOV-P3vXsAIbApF.jpg" TargetMode="External"/><Relationship Id="rId1531" Type="http://schemas.openxmlformats.org/officeDocument/2006/relationships/hyperlink" Target="http://www.lenmedhealth.co.za" TargetMode="External"/><Relationship Id="rId2862" Type="http://schemas.openxmlformats.org/officeDocument/2006/relationships/hyperlink" Target="http://www.yvonnemartin.co.uk" TargetMode="External"/><Relationship Id="rId1521" Type="http://schemas.openxmlformats.org/officeDocument/2006/relationships/hyperlink" Target="http://www.konbini.com/ng/lifestyle/rendoll-millennial-womenswear-brand-closet-needs/" TargetMode="External"/><Relationship Id="rId2852" Type="http://schemas.openxmlformats.org/officeDocument/2006/relationships/hyperlink" Target="http://www.greenleafmc.ca" TargetMode="External"/><Relationship Id="rId1522" Type="http://schemas.openxmlformats.org/officeDocument/2006/relationships/hyperlink" Target="http://bit.ly/2n2DSuk" TargetMode="External"/><Relationship Id="rId2853" Type="http://schemas.openxmlformats.org/officeDocument/2006/relationships/hyperlink" Target="https://bit.ly/2TmO7ri" TargetMode="External"/><Relationship Id="rId1523" Type="http://schemas.openxmlformats.org/officeDocument/2006/relationships/hyperlink" Target="https://pbs.twimg.com/media/EOdnMU5U8AA8oFr.jpg" TargetMode="External"/><Relationship Id="rId2854" Type="http://schemas.openxmlformats.org/officeDocument/2006/relationships/hyperlink" Target="https://pbs.twimg.com/media/EOWBvnLW4AEbKue.jpg" TargetMode="External"/><Relationship Id="rId1524" Type="http://schemas.openxmlformats.org/officeDocument/2006/relationships/hyperlink" Target="http://bit.ly/2nbF26J" TargetMode="External"/><Relationship Id="rId2855" Type="http://schemas.openxmlformats.org/officeDocument/2006/relationships/hyperlink" Target="http://www.healthyplace.com" TargetMode="External"/><Relationship Id="rId1525" Type="http://schemas.openxmlformats.org/officeDocument/2006/relationships/hyperlink" Target="https://www.nature.com/articles/d41586-020-00101-9" TargetMode="External"/><Relationship Id="rId2856" Type="http://schemas.openxmlformats.org/officeDocument/2006/relationships/hyperlink" Target="https://www.drdiane.com/product-category/cranial-electrotherapy-stimulation-machines/" TargetMode="External"/><Relationship Id="rId1526" Type="http://schemas.openxmlformats.org/officeDocument/2006/relationships/hyperlink" Target="http://mariabaias.com" TargetMode="External"/><Relationship Id="rId2857" Type="http://schemas.openxmlformats.org/officeDocument/2006/relationships/hyperlink" Target="https://www.drdiane.com" TargetMode="External"/><Relationship Id="rId1527" Type="http://schemas.openxmlformats.org/officeDocument/2006/relationships/hyperlink" Target="https://www.independent.co.uk/news/uk/home-news/disabled-benefits-underpaid-dwp-esa-died-payment-a9287371.html" TargetMode="External"/><Relationship Id="rId2858" Type="http://schemas.openxmlformats.org/officeDocument/2006/relationships/hyperlink" Target="http://www.dorleemichaeli.com" TargetMode="External"/><Relationship Id="rId1528" Type="http://schemas.openxmlformats.org/officeDocument/2006/relationships/hyperlink" Target="https://pbs.twimg.com/media/EOdkBAYXkAAf2dl.jpg" TargetMode="External"/><Relationship Id="rId2859" Type="http://schemas.openxmlformats.org/officeDocument/2006/relationships/hyperlink" Target="https://www.wsj.com/articles/physician-burnout-widespread-especially-among-those-midcareer-report-says-11579086008" TargetMode="External"/><Relationship Id="rId1529" Type="http://schemas.openxmlformats.org/officeDocument/2006/relationships/hyperlink" Target="http://www.hoxbe.co.uk" TargetMode="External"/><Relationship Id="rId939" Type="http://schemas.openxmlformats.org/officeDocument/2006/relationships/hyperlink" Target="https://pbs.twimg.com/media/EOgNh59XkAITgsY.jpg" TargetMode="External"/><Relationship Id="rId938" Type="http://schemas.openxmlformats.org/officeDocument/2006/relationships/hyperlink" Target="http://www.theherbalgardens.com" TargetMode="External"/><Relationship Id="rId937" Type="http://schemas.openxmlformats.org/officeDocument/2006/relationships/hyperlink" Target="http://www.mhans.org/" TargetMode="External"/><Relationship Id="rId932" Type="http://schemas.openxmlformats.org/officeDocument/2006/relationships/hyperlink" Target="https://pbs.twimg.com/media/EOgOBeKXsAEQuIB.jpg" TargetMode="External"/><Relationship Id="rId931" Type="http://schemas.openxmlformats.org/officeDocument/2006/relationships/hyperlink" Target="https://soo.nr/J74u" TargetMode="External"/><Relationship Id="rId930" Type="http://schemas.openxmlformats.org/officeDocument/2006/relationships/hyperlink" Target="https://askdrganz.com" TargetMode="External"/><Relationship Id="rId936" Type="http://schemas.openxmlformats.org/officeDocument/2006/relationships/hyperlink" Target="http://bit.ly/ExamStressResourcePack" TargetMode="External"/><Relationship Id="rId935" Type="http://schemas.openxmlformats.org/officeDocument/2006/relationships/hyperlink" Target="https://pbs.twimg.com/media/EOgOEHqXkAUpcGU.jpg" TargetMode="External"/><Relationship Id="rId934" Type="http://schemas.openxmlformats.org/officeDocument/2006/relationships/hyperlink" Target="http://ow.ly/mTae30q8jIT" TargetMode="External"/><Relationship Id="rId933" Type="http://schemas.openxmlformats.org/officeDocument/2006/relationships/hyperlink" Target="https://shor.by/HHH" TargetMode="External"/><Relationship Id="rId2850" Type="http://schemas.openxmlformats.org/officeDocument/2006/relationships/hyperlink" Target="https://plansource.com" TargetMode="External"/><Relationship Id="rId1520" Type="http://schemas.openxmlformats.org/officeDocument/2006/relationships/hyperlink" Target="http://www.cosatu.org.za" TargetMode="External"/><Relationship Id="rId2851" Type="http://schemas.openxmlformats.org/officeDocument/2006/relationships/hyperlink" Target="http://ow.ly/oaxz50xVzqX" TargetMode="External"/><Relationship Id="rId1554" Type="http://schemas.openxmlformats.org/officeDocument/2006/relationships/hyperlink" Target="http://www.nickycullen.com" TargetMode="External"/><Relationship Id="rId2885" Type="http://schemas.openxmlformats.org/officeDocument/2006/relationships/hyperlink" Target="http://www.theherbalgardens.com" TargetMode="External"/><Relationship Id="rId1555" Type="http://schemas.openxmlformats.org/officeDocument/2006/relationships/hyperlink" Target="http://bit.ly/2Tgh4oD" TargetMode="External"/><Relationship Id="rId2886" Type="http://schemas.openxmlformats.org/officeDocument/2006/relationships/hyperlink" Target="https://bit.ly/2FRtRWL" TargetMode="External"/><Relationship Id="rId1556" Type="http://schemas.openxmlformats.org/officeDocument/2006/relationships/hyperlink" Target="https://pbs.twimg.com/media/EOdSSwQWoAAmwXs.jpg" TargetMode="External"/><Relationship Id="rId2887" Type="http://schemas.openxmlformats.org/officeDocument/2006/relationships/hyperlink" Target="https://pbs.twimg.com/media/EOV6vnlWAAArWEp.jpg" TargetMode="External"/><Relationship Id="rId1557" Type="http://schemas.openxmlformats.org/officeDocument/2006/relationships/hyperlink" Target="http://www.techjunkieblog.com" TargetMode="External"/><Relationship Id="rId2888" Type="http://schemas.openxmlformats.org/officeDocument/2006/relationships/hyperlink" Target="http://ownyourdestinycoaching.com" TargetMode="External"/><Relationship Id="rId1558" Type="http://schemas.openxmlformats.org/officeDocument/2006/relationships/hyperlink" Target="https://fm100.com/2020/01/14/5-ways-to-reduce-stress-at-your-desk/" TargetMode="External"/><Relationship Id="rId2889" Type="http://schemas.openxmlformats.org/officeDocument/2006/relationships/hyperlink" Target="http://snip.ly/5gpbh" TargetMode="External"/><Relationship Id="rId1559" Type="http://schemas.openxmlformats.org/officeDocument/2006/relationships/hyperlink" Target="http://teamawesomism.com" TargetMode="External"/><Relationship Id="rId965" Type="http://schemas.openxmlformats.org/officeDocument/2006/relationships/hyperlink" Target="http://ow.ly/jGzZ30qag5p" TargetMode="External"/><Relationship Id="rId964" Type="http://schemas.openxmlformats.org/officeDocument/2006/relationships/hyperlink" Target="http://www.thecfc.org.uk" TargetMode="External"/><Relationship Id="rId963" Type="http://schemas.openxmlformats.org/officeDocument/2006/relationships/hyperlink" Target="https://pbs.twimg.com/media/EOgHgMMW4AApcNZ.jpg" TargetMode="External"/><Relationship Id="rId962" Type="http://schemas.openxmlformats.org/officeDocument/2006/relationships/hyperlink" Target="https://debigoldben.com/" TargetMode="External"/><Relationship Id="rId969" Type="http://schemas.openxmlformats.org/officeDocument/2006/relationships/hyperlink" Target="http://bit.ly/efttapping1" TargetMode="External"/><Relationship Id="rId968" Type="http://schemas.openxmlformats.org/officeDocument/2006/relationships/hyperlink" Target="http://www.completehealthclinic.co.uk" TargetMode="External"/><Relationship Id="rId967" Type="http://schemas.openxmlformats.org/officeDocument/2006/relationships/hyperlink" Target="https://zurl.co/65wW" TargetMode="External"/><Relationship Id="rId966" Type="http://schemas.openxmlformats.org/officeDocument/2006/relationships/hyperlink" Target="http://www.rootsofaction.com" TargetMode="External"/><Relationship Id="rId2880" Type="http://schemas.openxmlformats.org/officeDocument/2006/relationships/hyperlink" Target="http://myprofsr.com/" TargetMode="External"/><Relationship Id="rId961" Type="http://schemas.openxmlformats.org/officeDocument/2006/relationships/hyperlink" Target="https://pbs.twimg.com/media/EOgHlOmWAAQZk67.jpg" TargetMode="External"/><Relationship Id="rId1550" Type="http://schemas.openxmlformats.org/officeDocument/2006/relationships/hyperlink" Target="http://www.makeeverythingfun.com/radio/mantras-managing-toxic-stress-dr-sheila-walker/" TargetMode="External"/><Relationship Id="rId2881" Type="http://schemas.openxmlformats.org/officeDocument/2006/relationships/hyperlink" Target="https://www.bbc.co.uk/news/business-51085719" TargetMode="External"/><Relationship Id="rId960" Type="http://schemas.openxmlformats.org/officeDocument/2006/relationships/hyperlink" Target="https://buff.ly/2QW0EAp" TargetMode="External"/><Relationship Id="rId1551" Type="http://schemas.openxmlformats.org/officeDocument/2006/relationships/hyperlink" Target="https://pbs.twimg.com/media/EOdVUTsXUAE13oc.jpg" TargetMode="External"/><Relationship Id="rId2882" Type="http://schemas.openxmlformats.org/officeDocument/2006/relationships/hyperlink" Target="http://www.key-stream.com" TargetMode="External"/><Relationship Id="rId1552" Type="http://schemas.openxmlformats.org/officeDocument/2006/relationships/hyperlink" Target="http://www.makeeverythingfun.com" TargetMode="External"/><Relationship Id="rId2883" Type="http://schemas.openxmlformats.org/officeDocument/2006/relationships/hyperlink" Target="http://bit.ly/2tb5mRR" TargetMode="External"/><Relationship Id="rId1553" Type="http://schemas.openxmlformats.org/officeDocument/2006/relationships/hyperlink" Target="https://www.nickycullen.com/articles/when-is-it-time-to-quit" TargetMode="External"/><Relationship Id="rId2884" Type="http://schemas.openxmlformats.org/officeDocument/2006/relationships/hyperlink" Target="http://mytutor.com/" TargetMode="External"/><Relationship Id="rId1543" Type="http://schemas.openxmlformats.org/officeDocument/2006/relationships/hyperlink" Target="http://www.theplanethealthtv.com" TargetMode="External"/><Relationship Id="rId2874" Type="http://schemas.openxmlformats.org/officeDocument/2006/relationships/hyperlink" Target="https://www.theguardian.com/society/2020/jan/15/researchers-facing-shocking-levels-of-stress-survey-reveals" TargetMode="External"/><Relationship Id="rId1544" Type="http://schemas.openxmlformats.org/officeDocument/2006/relationships/hyperlink" Target="https://isrg.me/Vbda0B" TargetMode="External"/><Relationship Id="rId2875" Type="http://schemas.openxmlformats.org/officeDocument/2006/relationships/hyperlink" Target="https://pbs.twimg.com/media/EOV8VP4XUAIKJon.jpg" TargetMode="External"/><Relationship Id="rId1545" Type="http://schemas.openxmlformats.org/officeDocument/2006/relationships/hyperlink" Target="https://pbs.twimg.com/media/EOdbbDOWkAE9XZn.jpg" TargetMode="External"/><Relationship Id="rId2876" Type="http://schemas.openxmlformats.org/officeDocument/2006/relationships/hyperlink" Target="https://www.instagram.com/p/B7WX4iqAGWa/" TargetMode="External"/><Relationship Id="rId1546" Type="http://schemas.openxmlformats.org/officeDocument/2006/relationships/hyperlink" Target="http://isrg.me" TargetMode="External"/><Relationship Id="rId2877" Type="http://schemas.openxmlformats.org/officeDocument/2006/relationships/hyperlink" Target="https://pbs.twimg.com/media/EOV63aZWoAAyHSB.jpg" TargetMode="External"/><Relationship Id="rId1547" Type="http://schemas.openxmlformats.org/officeDocument/2006/relationships/hyperlink" Target="https://kingsumo.com/g/9agctd/giveaway-january-2020/198ddex" TargetMode="External"/><Relationship Id="rId2878" Type="http://schemas.openxmlformats.org/officeDocument/2006/relationships/hyperlink" Target="https://apps.apple.com/us/app/personal-zen/id689013447" TargetMode="External"/><Relationship Id="rId1548" Type="http://schemas.openxmlformats.org/officeDocument/2006/relationships/hyperlink" Target="https://www.pri.org/stories/2012-04-27/turkey-sufi-music-used-decrease-patient-stress" TargetMode="External"/><Relationship Id="rId2879" Type="http://schemas.openxmlformats.org/officeDocument/2006/relationships/hyperlink" Target="https://pbs.twimg.com/media/EOV62DrWkAEuOpC.jpg" TargetMode="External"/><Relationship Id="rId1549" Type="http://schemas.openxmlformats.org/officeDocument/2006/relationships/hyperlink" Target="https://www.bbc.com/persian" TargetMode="External"/><Relationship Id="rId959" Type="http://schemas.openxmlformats.org/officeDocument/2006/relationships/hyperlink" Target="http://tvlvideo.com" TargetMode="External"/><Relationship Id="rId954" Type="http://schemas.openxmlformats.org/officeDocument/2006/relationships/hyperlink" Target="http://www.tmshelps.com" TargetMode="External"/><Relationship Id="rId953" Type="http://schemas.openxmlformats.org/officeDocument/2006/relationships/hyperlink" Target="https://pbs.twimg.com/media/EOgIQZiWoAQSwII.jpg" TargetMode="External"/><Relationship Id="rId952" Type="http://schemas.openxmlformats.org/officeDocument/2006/relationships/hyperlink" Target="https://pbs.twimg.com/media/EOgIUEyWoAAr88k.jpg" TargetMode="External"/><Relationship Id="rId951" Type="http://schemas.openxmlformats.org/officeDocument/2006/relationships/hyperlink" Target="https://doctorsoncbd.com/" TargetMode="External"/><Relationship Id="rId958" Type="http://schemas.openxmlformats.org/officeDocument/2006/relationships/hyperlink" Target="https://youtu.be/_HwTnS4Iuz0" TargetMode="External"/><Relationship Id="rId957" Type="http://schemas.openxmlformats.org/officeDocument/2006/relationships/hyperlink" Target="http://yogaclassesnear.me" TargetMode="External"/><Relationship Id="rId956" Type="http://schemas.openxmlformats.org/officeDocument/2006/relationships/hyperlink" Target="https://pbs.twimg.com/media/EOgHwK7XkAAFnFq.jpg" TargetMode="External"/><Relationship Id="rId955" Type="http://schemas.openxmlformats.org/officeDocument/2006/relationships/hyperlink" Target="https://lttr.ai/MRKf" TargetMode="External"/><Relationship Id="rId950" Type="http://schemas.openxmlformats.org/officeDocument/2006/relationships/hyperlink" Target="https://pbs.twimg.com/media/EOgIWegX4AI0rJj.jpg" TargetMode="External"/><Relationship Id="rId2870" Type="http://schemas.openxmlformats.org/officeDocument/2006/relationships/hyperlink" Target="https://youtu.be/chmRjQP8-e0" TargetMode="External"/><Relationship Id="rId1540" Type="http://schemas.openxmlformats.org/officeDocument/2006/relationships/hyperlink" Target="http://crawfordcoaching.ca/2019/06/03/stress-101/" TargetMode="External"/><Relationship Id="rId2871" Type="http://schemas.openxmlformats.org/officeDocument/2006/relationships/hyperlink" Target="https://pachaworld.org/mentalhealth-stress-depression-anxiety-herbal-healing-for-women-simple-home-remedies-for-women-of-all-ages-reviews" TargetMode="External"/><Relationship Id="rId1541" Type="http://schemas.openxmlformats.org/officeDocument/2006/relationships/hyperlink" Target="https://pbs.twimg.com/media/EOdfQ6RW4AA6U8S.jpg" TargetMode="External"/><Relationship Id="rId2872" Type="http://schemas.openxmlformats.org/officeDocument/2006/relationships/hyperlink" Target="https://pbs.twimg.com/media/EOV8WyFXUAEevNi.jpg" TargetMode="External"/><Relationship Id="rId1542" Type="http://schemas.openxmlformats.org/officeDocument/2006/relationships/hyperlink" Target="http://www.crawfordcoaching.ca" TargetMode="External"/><Relationship Id="rId2873" Type="http://schemas.openxmlformats.org/officeDocument/2006/relationships/hyperlink" Target="https://www.pinterest.com/bestmetabooster/" TargetMode="External"/><Relationship Id="rId2027" Type="http://schemas.openxmlformats.org/officeDocument/2006/relationships/hyperlink" Target="https://tuningelement.com/product/b-e-well-patch-2-patches-sample-patches/" TargetMode="External"/><Relationship Id="rId3359" Type="http://schemas.openxmlformats.org/officeDocument/2006/relationships/hyperlink" Target="https://www.theguardian.com/society/2020/jan/15/researchers-facing-shocking-levels-of-stress-survey-reveals?CMP=share_btn_tw" TargetMode="External"/><Relationship Id="rId2028" Type="http://schemas.openxmlformats.org/officeDocument/2006/relationships/hyperlink" Target="https://pbs.twimg.com/media/EOawBliW4AAx8oW.jpg" TargetMode="External"/><Relationship Id="rId3358" Type="http://schemas.openxmlformats.org/officeDocument/2006/relationships/hyperlink" Target="http://www.mindfulnessmeditationinstitute.org/" TargetMode="External"/><Relationship Id="rId4689" Type="http://schemas.openxmlformats.org/officeDocument/2006/relationships/hyperlink" Target="http://www.opencenter.org/" TargetMode="External"/><Relationship Id="rId2029" Type="http://schemas.openxmlformats.org/officeDocument/2006/relationships/hyperlink" Target="https://buff.ly/2Tsmb5m" TargetMode="External"/><Relationship Id="rId107" Type="http://schemas.openxmlformats.org/officeDocument/2006/relationships/hyperlink" Target="https://www.clinicalhypnotherapy-cardiff.co.uk" TargetMode="External"/><Relationship Id="rId106" Type="http://schemas.openxmlformats.org/officeDocument/2006/relationships/hyperlink" Target="https://pbs.twimg.com/media/EOmLzA0XsAAjLSU.jpg" TargetMode="External"/><Relationship Id="rId105" Type="http://schemas.openxmlformats.org/officeDocument/2006/relationships/hyperlink" Target="https://www.thehypnotherapyassociation.co.uk/united-kingdom/cardiff/hypnotherapist/richard-dsouza" TargetMode="External"/><Relationship Id="rId104" Type="http://schemas.openxmlformats.org/officeDocument/2006/relationships/hyperlink" Target="https://businessdnaindicator.com/" TargetMode="External"/><Relationship Id="rId109" Type="http://schemas.openxmlformats.org/officeDocument/2006/relationships/hyperlink" Target="https://pbs.twimg.com/media/EOmH3LmXkAIpZyY.jpg" TargetMode="External"/><Relationship Id="rId4680" Type="http://schemas.openxmlformats.org/officeDocument/2006/relationships/hyperlink" Target="http://asegs.tv" TargetMode="External"/><Relationship Id="rId108" Type="http://schemas.openxmlformats.org/officeDocument/2006/relationships/hyperlink" Target="https://snip.ly/kvcf7x" TargetMode="External"/><Relationship Id="rId3351" Type="http://schemas.openxmlformats.org/officeDocument/2006/relationships/hyperlink" Target="https://www.escardio.org/The-ESC/Press-Office/Press-releases/Burnout-linked-with-irregular-heartbeat" TargetMode="External"/><Relationship Id="rId4682" Type="http://schemas.openxmlformats.org/officeDocument/2006/relationships/hyperlink" Target="https://pbs.twimg.com/media/EOMa1rEU4AARggc.jpg" TargetMode="External"/><Relationship Id="rId2020" Type="http://schemas.openxmlformats.org/officeDocument/2006/relationships/hyperlink" Target="https://www.facebook.com/MiamiGives" TargetMode="External"/><Relationship Id="rId3350" Type="http://schemas.openxmlformats.org/officeDocument/2006/relationships/hyperlink" Target="http://www.inveiglemagazine.com/" TargetMode="External"/><Relationship Id="rId4681" Type="http://schemas.openxmlformats.org/officeDocument/2006/relationships/hyperlink" Target="http://www.youtube.com/AsegsTV" TargetMode="External"/><Relationship Id="rId2021" Type="http://schemas.openxmlformats.org/officeDocument/2006/relationships/hyperlink" Target="https://buff.ly/2IVrLFM" TargetMode="External"/><Relationship Id="rId3353" Type="http://schemas.openxmlformats.org/officeDocument/2006/relationships/hyperlink" Target="https://go.nature.com/2tUJObY" TargetMode="External"/><Relationship Id="rId4684" Type="http://schemas.openxmlformats.org/officeDocument/2006/relationships/hyperlink" Target="http://www.facebook.com/PsykoPoet" TargetMode="External"/><Relationship Id="rId2022" Type="http://schemas.openxmlformats.org/officeDocument/2006/relationships/hyperlink" Target="https://pbs.twimg.com/media/EOawDWNX0AA1r_9.jpg" TargetMode="External"/><Relationship Id="rId3352" Type="http://schemas.openxmlformats.org/officeDocument/2006/relationships/hyperlink" Target="https://pbs.twimg.com/media/EOUR4qYXUAADaTv.jpg" TargetMode="External"/><Relationship Id="rId4683" Type="http://schemas.openxmlformats.org/officeDocument/2006/relationships/hyperlink" Target="http://www.golarehsafarian.com" TargetMode="External"/><Relationship Id="rId103" Type="http://schemas.openxmlformats.org/officeDocument/2006/relationships/hyperlink" Target="https://pbs.twimg.com/media/EOmL0WAWkAEYiQn.png" TargetMode="External"/><Relationship Id="rId2023" Type="http://schemas.openxmlformats.org/officeDocument/2006/relationships/hyperlink" Target="https://twitter.com/DailyPsalms365" TargetMode="External"/><Relationship Id="rId3355" Type="http://schemas.openxmlformats.org/officeDocument/2006/relationships/hyperlink" Target="https://bookmachine.org/2020/01/09/wednesday-wisdom-mindfulness-at-work/" TargetMode="External"/><Relationship Id="rId4686" Type="http://schemas.openxmlformats.org/officeDocument/2006/relationships/hyperlink" Target="http://www.mindfulnessmeditationinstitute.org/" TargetMode="External"/><Relationship Id="rId102" Type="http://schemas.openxmlformats.org/officeDocument/2006/relationships/hyperlink" Target="https://qoo.ly/33ws29" TargetMode="External"/><Relationship Id="rId2024" Type="http://schemas.openxmlformats.org/officeDocument/2006/relationships/hyperlink" Target="http://bit.ly/3an8R8u" TargetMode="External"/><Relationship Id="rId3354" Type="http://schemas.openxmlformats.org/officeDocument/2006/relationships/hyperlink" Target="https://pbs.twimg.com/media/EOK-TgcWsAAMra8.jpg" TargetMode="External"/><Relationship Id="rId4685" Type="http://schemas.openxmlformats.org/officeDocument/2006/relationships/hyperlink" Target="https://mindfulnessmeditationinstitute.org/2018/11/02/the-ultimate-meditation-guide-infographic/" TargetMode="External"/><Relationship Id="rId101" Type="http://schemas.openxmlformats.org/officeDocument/2006/relationships/hyperlink" Target="https://ki.se/en/people/benfer" TargetMode="External"/><Relationship Id="rId2025" Type="http://schemas.openxmlformats.org/officeDocument/2006/relationships/hyperlink" Target="https://pbs.twimg.com/media/EOawC7rXUAIGWV4.jpg" TargetMode="External"/><Relationship Id="rId3357" Type="http://schemas.openxmlformats.org/officeDocument/2006/relationships/hyperlink" Target="https://mindfulnessmeditationinstitute.org/product/mindfulness-in-the-workplace-pdf/" TargetMode="External"/><Relationship Id="rId4688" Type="http://schemas.openxmlformats.org/officeDocument/2006/relationships/hyperlink" Target="http://pic.twitter.com/e2bcYvb1ZQ" TargetMode="External"/><Relationship Id="rId100" Type="http://schemas.openxmlformats.org/officeDocument/2006/relationships/hyperlink" Target="https://www.nature.com/articles/d41586-020-00101-9?utm_source=fbk_nnc&amp;utm_medium=social&amp;utm_campaign=naturenews&amp;sf228357258=1" TargetMode="External"/><Relationship Id="rId2026" Type="http://schemas.openxmlformats.org/officeDocument/2006/relationships/hyperlink" Target="http://www.lopezgovlaw.com" TargetMode="External"/><Relationship Id="rId3356" Type="http://schemas.openxmlformats.org/officeDocument/2006/relationships/hyperlink" Target="http://www.mindfulnessandcoaching.co.uk" TargetMode="External"/><Relationship Id="rId4687" Type="http://schemas.openxmlformats.org/officeDocument/2006/relationships/hyperlink" Target="http://bit.ly/36TgbGO" TargetMode="External"/><Relationship Id="rId2016" Type="http://schemas.openxmlformats.org/officeDocument/2006/relationships/hyperlink" Target="https://pbs.twimg.com/media/EOawGLiXsAAi1ML.jpg" TargetMode="External"/><Relationship Id="rId3348" Type="http://schemas.openxmlformats.org/officeDocument/2006/relationships/hyperlink" Target="https://www.inveiglemagazine.com/2019/09/how-to-safely-eliminate-work-stress.html" TargetMode="External"/><Relationship Id="rId4679" Type="http://schemas.openxmlformats.org/officeDocument/2006/relationships/hyperlink" Target="https://mailchi.mp/ccd5ec8b547b/5stepstosuccess" TargetMode="External"/><Relationship Id="rId2017" Type="http://schemas.openxmlformats.org/officeDocument/2006/relationships/hyperlink" Target="https://twitter.com/SurveySunday" TargetMode="External"/><Relationship Id="rId3347" Type="http://schemas.openxmlformats.org/officeDocument/2006/relationships/hyperlink" Target="http://www.clearviewminds.com" TargetMode="External"/><Relationship Id="rId4678" Type="http://schemas.openxmlformats.org/officeDocument/2006/relationships/hyperlink" Target="http://pic.twitter.com/BWqrwVknvj" TargetMode="External"/><Relationship Id="rId2018" Type="http://schemas.openxmlformats.org/officeDocument/2006/relationships/hyperlink" Target="https://buff.ly/2IVrLFM" TargetMode="External"/><Relationship Id="rId2019" Type="http://schemas.openxmlformats.org/officeDocument/2006/relationships/hyperlink" Target="https://pbs.twimg.com/media/EOawFkIWsAA6RGP.jpg" TargetMode="External"/><Relationship Id="rId3349" Type="http://schemas.openxmlformats.org/officeDocument/2006/relationships/hyperlink" Target="https://pbs.twimg.com/media/EOUSGABWoAEHC1L.jpg" TargetMode="External"/><Relationship Id="rId3340" Type="http://schemas.openxmlformats.org/officeDocument/2006/relationships/hyperlink" Target="https://pbs.twimg.com/media/EOUVxp-X4AAKi2h.jpg" TargetMode="External"/><Relationship Id="rId4671" Type="http://schemas.openxmlformats.org/officeDocument/2006/relationships/hyperlink" Target="http://innerself.com" TargetMode="External"/><Relationship Id="rId4670" Type="http://schemas.openxmlformats.org/officeDocument/2006/relationships/hyperlink" Target="http://innerself.com/content/social.html" TargetMode="External"/><Relationship Id="rId2010" Type="http://schemas.openxmlformats.org/officeDocument/2006/relationships/hyperlink" Target="https://buff.ly/2IVrLFM" TargetMode="External"/><Relationship Id="rId3342" Type="http://schemas.openxmlformats.org/officeDocument/2006/relationships/hyperlink" Target="https://pbs.twimg.com/media/EOUT0VyX4AA0Z-W.jpg" TargetMode="External"/><Relationship Id="rId4673" Type="http://schemas.openxmlformats.org/officeDocument/2006/relationships/hyperlink" Target="https://pbs.twimg.com/media/EOMg795X0Acc7Eo.jpg" TargetMode="External"/><Relationship Id="rId2011" Type="http://schemas.openxmlformats.org/officeDocument/2006/relationships/hyperlink" Target="https://pbs.twimg.com/media/EOawJJYWAAE_ABC.jpg" TargetMode="External"/><Relationship Id="rId3341" Type="http://schemas.openxmlformats.org/officeDocument/2006/relationships/hyperlink" Target="https://www.stylesbyaricahart.com/" TargetMode="External"/><Relationship Id="rId4672" Type="http://schemas.openxmlformats.org/officeDocument/2006/relationships/hyperlink" Target="http://tinyurl.com/y42f34l8" TargetMode="External"/><Relationship Id="rId2012" Type="http://schemas.openxmlformats.org/officeDocument/2006/relationships/hyperlink" Target="http://www.votaresnuestrodeber.com" TargetMode="External"/><Relationship Id="rId3344" Type="http://schemas.openxmlformats.org/officeDocument/2006/relationships/hyperlink" Target="https://pbs.twimg.com/media/EOUSUJmVUAAJn5n.jpg" TargetMode="External"/><Relationship Id="rId4675" Type="http://schemas.openxmlformats.org/officeDocument/2006/relationships/hyperlink" Target="https://m.facebook.com/ConfessionsOfAMidwestStressAddict" TargetMode="External"/><Relationship Id="rId2013" Type="http://schemas.openxmlformats.org/officeDocument/2006/relationships/hyperlink" Target="https://buff.ly/2IVrLFM" TargetMode="External"/><Relationship Id="rId3343" Type="http://schemas.openxmlformats.org/officeDocument/2006/relationships/hyperlink" Target="http://drportiarawles.com" TargetMode="External"/><Relationship Id="rId4674" Type="http://schemas.openxmlformats.org/officeDocument/2006/relationships/hyperlink" Target="http://innerself.com" TargetMode="External"/><Relationship Id="rId2014" Type="http://schemas.openxmlformats.org/officeDocument/2006/relationships/hyperlink" Target="https://pbs.twimg.com/media/EOawHB1XUAAtASH.jpg" TargetMode="External"/><Relationship Id="rId3346" Type="http://schemas.openxmlformats.org/officeDocument/2006/relationships/hyperlink" Target="https://pbs.twimg.com/media/EOUSNBOWsAAMEM2.jpg" TargetMode="External"/><Relationship Id="rId4677" Type="http://schemas.openxmlformats.org/officeDocument/2006/relationships/hyperlink" Target="http://pharmahealthtalk.co.uk" TargetMode="External"/><Relationship Id="rId2015" Type="http://schemas.openxmlformats.org/officeDocument/2006/relationships/hyperlink" Target="https://buff.ly/2IVrLFM" TargetMode="External"/><Relationship Id="rId3345" Type="http://schemas.openxmlformats.org/officeDocument/2006/relationships/hyperlink" Target="http://vitalsklinic.com/" TargetMode="External"/><Relationship Id="rId4676" Type="http://schemas.openxmlformats.org/officeDocument/2006/relationships/hyperlink" Target="https://pharmahealthtalk.co.uk/pharmahealthtalk-on-stress-and-wellbeing/" TargetMode="External"/><Relationship Id="rId2049" Type="http://schemas.openxmlformats.org/officeDocument/2006/relationships/hyperlink" Target="https://pbs.twimg.com/media/EOauxsTW4AI9Rjl.png" TargetMode="External"/><Relationship Id="rId129" Type="http://schemas.openxmlformats.org/officeDocument/2006/relationships/hyperlink" Target="https://pbs.twimg.com/media/EOl-8gaVUAEF4-Q.jpg" TargetMode="External"/><Relationship Id="rId128" Type="http://schemas.openxmlformats.org/officeDocument/2006/relationships/hyperlink" Target="https://twitter.com/BlackDogWalker/status/1218644763651514369" TargetMode="External"/><Relationship Id="rId127" Type="http://schemas.openxmlformats.org/officeDocument/2006/relationships/hyperlink" Target="http://www.darrenchristopherrowland.com" TargetMode="External"/><Relationship Id="rId126" Type="http://schemas.openxmlformats.org/officeDocument/2006/relationships/hyperlink" Target="https://pbs.twimg.com/media/EOmErnyX0AEr525.jpg" TargetMode="External"/><Relationship Id="rId3371" Type="http://schemas.openxmlformats.org/officeDocument/2006/relationships/hyperlink" Target="https://www.theguardian.com/society/2020/jan/15/private-renting-making-millions-sick-england-poll" TargetMode="External"/><Relationship Id="rId2040" Type="http://schemas.openxmlformats.org/officeDocument/2006/relationships/hyperlink" Target="https://real-agenda.com/world-3/is-it-a-problem-to-be-a-perfectionist/" TargetMode="External"/><Relationship Id="rId3370" Type="http://schemas.openxmlformats.org/officeDocument/2006/relationships/hyperlink" Target="http://www.southwestcoaching.co.uk" TargetMode="External"/><Relationship Id="rId121" Type="http://schemas.openxmlformats.org/officeDocument/2006/relationships/hyperlink" Target="https://hubs.ly/H0myxSy0" TargetMode="External"/><Relationship Id="rId2041" Type="http://schemas.openxmlformats.org/officeDocument/2006/relationships/hyperlink" Target="https://pbs.twimg.com/media/EOavygmWkAIGZJ5.jpg" TargetMode="External"/><Relationship Id="rId3373" Type="http://schemas.openxmlformats.org/officeDocument/2006/relationships/hyperlink" Target="https://pbs.twimg.com/media/EOUGGo9X4AMSLl3.jpg" TargetMode="External"/><Relationship Id="rId120" Type="http://schemas.openxmlformats.org/officeDocument/2006/relationships/hyperlink" Target="http://www.metroffice.com" TargetMode="External"/><Relationship Id="rId2042" Type="http://schemas.openxmlformats.org/officeDocument/2006/relationships/hyperlink" Target="http://www.real-agenda.com" TargetMode="External"/><Relationship Id="rId3372" Type="http://schemas.openxmlformats.org/officeDocument/2006/relationships/hyperlink" Target="http://www.hja.net/legal-services/social-housing/" TargetMode="External"/><Relationship Id="rId2043" Type="http://schemas.openxmlformats.org/officeDocument/2006/relationships/hyperlink" Target="https://pbs.twimg.com/media/EOZa0wjX4AAaz7_.jpg" TargetMode="External"/><Relationship Id="rId3375" Type="http://schemas.openxmlformats.org/officeDocument/2006/relationships/hyperlink" Target="http://hlty.us/7L8j" TargetMode="External"/><Relationship Id="rId2044" Type="http://schemas.openxmlformats.org/officeDocument/2006/relationships/hyperlink" Target="http://www.wehearyou.co.za/" TargetMode="External"/><Relationship Id="rId3374" Type="http://schemas.openxmlformats.org/officeDocument/2006/relationships/hyperlink" Target="http://www.comeoutreach.org" TargetMode="External"/><Relationship Id="rId125" Type="http://schemas.openxmlformats.org/officeDocument/2006/relationships/hyperlink" Target="http://www.loulaggancoaching.co.uk" TargetMode="External"/><Relationship Id="rId2045" Type="http://schemas.openxmlformats.org/officeDocument/2006/relationships/hyperlink" Target="https://www.cenegenics.com/blog/types-of-stress" TargetMode="External"/><Relationship Id="rId3377" Type="http://schemas.openxmlformats.org/officeDocument/2006/relationships/hyperlink" Target="https://lttr.ai/MLli" TargetMode="External"/><Relationship Id="rId124" Type="http://schemas.openxmlformats.org/officeDocument/2006/relationships/hyperlink" Target="http://ow.ly/JhIo30q5mux" TargetMode="External"/><Relationship Id="rId2046" Type="http://schemas.openxmlformats.org/officeDocument/2006/relationships/hyperlink" Target="https://northcarolina.cenegenics.com/" TargetMode="External"/><Relationship Id="rId3376" Type="http://schemas.openxmlformats.org/officeDocument/2006/relationships/hyperlink" Target="https://pbs.twimg.com/media/EOUE41FXsAExo4N.jpg" TargetMode="External"/><Relationship Id="rId123" Type="http://schemas.openxmlformats.org/officeDocument/2006/relationships/hyperlink" Target="http://businessjournaldaily.com" TargetMode="External"/><Relationship Id="rId2047" Type="http://schemas.openxmlformats.org/officeDocument/2006/relationships/hyperlink" Target="http://www.timbaghurst.com" TargetMode="External"/><Relationship Id="rId3379" Type="http://schemas.openxmlformats.org/officeDocument/2006/relationships/hyperlink" Target="https://ift.tt/2tjfeJ9" TargetMode="External"/><Relationship Id="rId122" Type="http://schemas.openxmlformats.org/officeDocument/2006/relationships/hyperlink" Target="https://pbs.twimg.com/media/EOmFWu2U4AAbnXs.jpg" TargetMode="External"/><Relationship Id="rId2048" Type="http://schemas.openxmlformats.org/officeDocument/2006/relationships/hyperlink" Target="https://lttr.ai/MOct" TargetMode="External"/><Relationship Id="rId3378" Type="http://schemas.openxmlformats.org/officeDocument/2006/relationships/hyperlink" Target="https://pbs.twimg.com/media/EOUE4vKX4AIikDx.jpg" TargetMode="External"/><Relationship Id="rId2038" Type="http://schemas.openxmlformats.org/officeDocument/2006/relationships/hyperlink" Target="https://pbs.twimg.com/media/EOavzMzWsAEJkpm.jpg" TargetMode="External"/><Relationship Id="rId2039" Type="http://schemas.openxmlformats.org/officeDocument/2006/relationships/hyperlink" Target="http://amandagoodwin.biz/newsletter/" TargetMode="External"/><Relationship Id="rId3369" Type="http://schemas.openxmlformats.org/officeDocument/2006/relationships/hyperlink" Target="https://goo.gl/alerts/ia3za" TargetMode="External"/><Relationship Id="rId118" Type="http://schemas.openxmlformats.org/officeDocument/2006/relationships/hyperlink" Target="http://www.joannejacobs.com" TargetMode="External"/><Relationship Id="rId117" Type="http://schemas.openxmlformats.org/officeDocument/2006/relationships/hyperlink" Target="http://bit.ly/375vWdC" TargetMode="External"/><Relationship Id="rId116" Type="http://schemas.openxmlformats.org/officeDocument/2006/relationships/hyperlink" Target="https://tonyburkinshaw.co.uk/contact" TargetMode="External"/><Relationship Id="rId115" Type="http://schemas.openxmlformats.org/officeDocument/2006/relationships/hyperlink" Target="https://pbs.twimg.com/media/EOmGgRBUwAAUWrj.jpg" TargetMode="External"/><Relationship Id="rId3360" Type="http://schemas.openxmlformats.org/officeDocument/2006/relationships/hyperlink" Target="http://www.stratechscientific.com.au" TargetMode="External"/><Relationship Id="rId4691" Type="http://schemas.openxmlformats.org/officeDocument/2006/relationships/hyperlink" Target="http://www.drbruceajohnson.com/" TargetMode="External"/><Relationship Id="rId119" Type="http://schemas.openxmlformats.org/officeDocument/2006/relationships/hyperlink" Target="https://hubs.ly/H0mqDMl0" TargetMode="External"/><Relationship Id="rId4690" Type="http://schemas.openxmlformats.org/officeDocument/2006/relationships/hyperlink" Target="http://www.drbruceajohnson.com/blog/2016/08/communication-can-be-transformed-diplomacy-tact" TargetMode="External"/><Relationship Id="rId110" Type="http://schemas.openxmlformats.org/officeDocument/2006/relationships/hyperlink" Target="https://theruleof27.com" TargetMode="External"/><Relationship Id="rId2030" Type="http://schemas.openxmlformats.org/officeDocument/2006/relationships/hyperlink" Target="https://pbs.twimg.com/media/EOav--0W4AA8-B3.jpg" TargetMode="External"/><Relationship Id="rId3362" Type="http://schemas.openxmlformats.org/officeDocument/2006/relationships/hyperlink" Target="http://5reasonstoread.com" TargetMode="External"/><Relationship Id="rId4693" Type="http://schemas.openxmlformats.org/officeDocument/2006/relationships/hyperlink" Target="https://medium.com/@edy1nathan/deeper-connections-f9b8aceaf17b" TargetMode="External"/><Relationship Id="rId2031" Type="http://schemas.openxmlformats.org/officeDocument/2006/relationships/hyperlink" Target="http://www.nisad.org" TargetMode="External"/><Relationship Id="rId3361" Type="http://schemas.openxmlformats.org/officeDocument/2006/relationships/hyperlink" Target="http://bit.ly/2FO9EBm" TargetMode="External"/><Relationship Id="rId4692" Type="http://schemas.openxmlformats.org/officeDocument/2006/relationships/hyperlink" Target="http://www.moderntherapy.online" TargetMode="External"/><Relationship Id="rId2032" Type="http://schemas.openxmlformats.org/officeDocument/2006/relationships/hyperlink" Target="http://ow.ly/aDgR30q9TsL" TargetMode="External"/><Relationship Id="rId3364" Type="http://schemas.openxmlformats.org/officeDocument/2006/relationships/hyperlink" Target="http://www.statustoday.com" TargetMode="External"/><Relationship Id="rId4695" Type="http://schemas.openxmlformats.org/officeDocument/2006/relationships/hyperlink" Target="http://bit.ly/2KH3MgK" TargetMode="External"/><Relationship Id="rId2033" Type="http://schemas.openxmlformats.org/officeDocument/2006/relationships/hyperlink" Target="https://pbs.twimg.com/media/EOav9T4XsAEbPCw.jpg" TargetMode="External"/><Relationship Id="rId3363" Type="http://schemas.openxmlformats.org/officeDocument/2006/relationships/hyperlink" Target="https://pbs.twimg.com/media/EOUM9X9WsAIsOjb.jpg" TargetMode="External"/><Relationship Id="rId4694" Type="http://schemas.openxmlformats.org/officeDocument/2006/relationships/hyperlink" Target="http://www.edynathan.com" TargetMode="External"/><Relationship Id="rId114" Type="http://schemas.openxmlformats.org/officeDocument/2006/relationships/hyperlink" Target="https://alliedhealthprograms.com/" TargetMode="External"/><Relationship Id="rId2034" Type="http://schemas.openxmlformats.org/officeDocument/2006/relationships/hyperlink" Target="https://qwikad.com/697/posts/20-Income-Opps/129-Business-Opportunities/853282-NO-RISK-NO-STRESS.html" TargetMode="External"/><Relationship Id="rId3366" Type="http://schemas.openxmlformats.org/officeDocument/2006/relationships/hyperlink" Target="https://pbs.twimg.com/media/EOUJijyX0AEZvTk.png" TargetMode="External"/><Relationship Id="rId4697" Type="http://schemas.openxmlformats.org/officeDocument/2006/relationships/hyperlink" Target="http://www.imamediation.com" TargetMode="External"/><Relationship Id="rId113" Type="http://schemas.openxmlformats.org/officeDocument/2006/relationships/hyperlink" Target="https://app.quuu.co/r/OeQwp" TargetMode="External"/><Relationship Id="rId2035" Type="http://schemas.openxmlformats.org/officeDocument/2006/relationships/hyperlink" Target="https://qwikad.com" TargetMode="External"/><Relationship Id="rId3365" Type="http://schemas.openxmlformats.org/officeDocument/2006/relationships/hyperlink" Target="https://www.clevertouch.com/uk/latest-stories/blogs/how-the-right-use-of-technology-can-reduce-stress-levels-of-teachers?utm_source=twitter&amp;utm_medium=social&amp;utm_campaign=myclevertouch&amp;utm_content=articles" TargetMode="External"/><Relationship Id="rId4696" Type="http://schemas.openxmlformats.org/officeDocument/2006/relationships/hyperlink" Target="https://pbs.twimg.com/media/EOMXv3GWsAMdda5.jpg" TargetMode="External"/><Relationship Id="rId112" Type="http://schemas.openxmlformats.org/officeDocument/2006/relationships/hyperlink" Target="http://www.transamericacenterforhealthstudies.org/" TargetMode="External"/><Relationship Id="rId2036" Type="http://schemas.openxmlformats.org/officeDocument/2006/relationships/hyperlink" Target="http://myf.mg/9tsM" TargetMode="External"/><Relationship Id="rId3368" Type="http://schemas.openxmlformats.org/officeDocument/2006/relationships/hyperlink" Target="https://www.theguardian.com/society/2020/jan/15/researchers-facing-shocking-levels-of-stress-survey-reveals" TargetMode="External"/><Relationship Id="rId4699" Type="http://schemas.openxmlformats.org/officeDocument/2006/relationships/hyperlink" Target="https://pbs.twimg.com/media/EOMXv1JW4Ag9ANy.jpg" TargetMode="External"/><Relationship Id="rId111" Type="http://schemas.openxmlformats.org/officeDocument/2006/relationships/hyperlink" Target="http://bit.ly/2Rf9oQX" TargetMode="External"/><Relationship Id="rId2037" Type="http://schemas.openxmlformats.org/officeDocument/2006/relationships/hyperlink" Target="https://buff.ly/2Psinzq" TargetMode="External"/><Relationship Id="rId3367" Type="http://schemas.openxmlformats.org/officeDocument/2006/relationships/hyperlink" Target="http://www.clevertouch.com" TargetMode="External"/><Relationship Id="rId4698" Type="http://schemas.openxmlformats.org/officeDocument/2006/relationships/hyperlink" Target="https://buff.ly/2MVyl0y" TargetMode="External"/><Relationship Id="rId3315" Type="http://schemas.openxmlformats.org/officeDocument/2006/relationships/hyperlink" Target="https://pbs.twimg.com/media/EOUeLe9UEAAs3yB.jpg" TargetMode="External"/><Relationship Id="rId4646" Type="http://schemas.openxmlformats.org/officeDocument/2006/relationships/hyperlink" Target="https://youtu.be/ZsBCMhVELBA" TargetMode="External"/><Relationship Id="rId3314" Type="http://schemas.openxmlformats.org/officeDocument/2006/relationships/hyperlink" Target="https://pbs.twimg.com/media/EOUfgwNWoAEy7aw.jpg" TargetMode="External"/><Relationship Id="rId4645" Type="http://schemas.openxmlformats.org/officeDocument/2006/relationships/hyperlink" Target="http://blogs.extension.org/militaryfamilies/family-development/" TargetMode="External"/><Relationship Id="rId3317" Type="http://schemas.openxmlformats.org/officeDocument/2006/relationships/hyperlink" Target="https://pbs.twimg.com/media/EOUdlvBXkAE3iZO.jpg" TargetMode="External"/><Relationship Id="rId4648" Type="http://schemas.openxmlformats.org/officeDocument/2006/relationships/hyperlink" Target="http://www.cbdbiocareanywhere.com" TargetMode="External"/><Relationship Id="rId3316" Type="http://schemas.openxmlformats.org/officeDocument/2006/relationships/hyperlink" Target="http://www.wjso.com" TargetMode="External"/><Relationship Id="rId4647" Type="http://schemas.openxmlformats.org/officeDocument/2006/relationships/hyperlink" Target="http://www.praiseworks.biz" TargetMode="External"/><Relationship Id="rId3319" Type="http://schemas.openxmlformats.org/officeDocument/2006/relationships/hyperlink" Target="https://www.bbc.co.uk/news/health-51093999" TargetMode="External"/><Relationship Id="rId3318" Type="http://schemas.openxmlformats.org/officeDocument/2006/relationships/hyperlink" Target="https://oily.life/abundantlife" TargetMode="External"/><Relationship Id="rId4649" Type="http://schemas.openxmlformats.org/officeDocument/2006/relationships/hyperlink" Target="https://pbs.twimg.com/media/EOM0W0fXkAAjfse.jpg" TargetMode="External"/><Relationship Id="rId4640" Type="http://schemas.openxmlformats.org/officeDocument/2006/relationships/hyperlink" Target="http://www.ohsoorganized.com" TargetMode="External"/><Relationship Id="rId3311" Type="http://schemas.openxmlformats.org/officeDocument/2006/relationships/hyperlink" Target="https://prestodoctor.com/" TargetMode="External"/><Relationship Id="rId4642" Type="http://schemas.openxmlformats.org/officeDocument/2006/relationships/hyperlink" Target="https://pbs.twimg.com/media/EOMRRtYW4AAsydu.jpg" TargetMode="External"/><Relationship Id="rId3310" Type="http://schemas.openxmlformats.org/officeDocument/2006/relationships/hyperlink" Target="http://foundationforfortitude.org/" TargetMode="External"/><Relationship Id="rId4641" Type="http://schemas.openxmlformats.org/officeDocument/2006/relationships/hyperlink" Target="https://twitter.com/havingtime/status/1216835322492923912" TargetMode="External"/><Relationship Id="rId3313" Type="http://schemas.openxmlformats.org/officeDocument/2006/relationships/hyperlink" Target="https://buff.ly/2Ref11S" TargetMode="External"/><Relationship Id="rId4644" Type="http://schemas.openxmlformats.org/officeDocument/2006/relationships/hyperlink" Target="https://bit.ly/2PXLTwI" TargetMode="External"/><Relationship Id="rId3312" Type="http://schemas.openxmlformats.org/officeDocument/2006/relationships/hyperlink" Target="https://www.adhd-naturally.com" TargetMode="External"/><Relationship Id="rId4643" Type="http://schemas.openxmlformats.org/officeDocument/2006/relationships/hyperlink" Target="http://www.mhans.org/" TargetMode="External"/><Relationship Id="rId3304" Type="http://schemas.openxmlformats.org/officeDocument/2006/relationships/hyperlink" Target="https://www.inc.com/author/peter-economy" TargetMode="External"/><Relationship Id="rId4635" Type="http://schemas.openxmlformats.org/officeDocument/2006/relationships/hyperlink" Target="https://www.facebook.com/ConfessionsOfAMidwestStressAddict/" TargetMode="External"/><Relationship Id="rId3303" Type="http://schemas.openxmlformats.org/officeDocument/2006/relationships/hyperlink" Target="https://www.inc.com/peter-economy/one-amazingly-powerful-way-to-beat-stress-at-work.html" TargetMode="External"/><Relationship Id="rId4634" Type="http://schemas.openxmlformats.org/officeDocument/2006/relationships/hyperlink" Target="https://www.mindworxco.com" TargetMode="External"/><Relationship Id="rId3306" Type="http://schemas.openxmlformats.org/officeDocument/2006/relationships/hyperlink" Target="http://www.360-wellbeing.co.uk" TargetMode="External"/><Relationship Id="rId4637" Type="http://schemas.openxmlformats.org/officeDocument/2006/relationships/hyperlink" Target="https://m.facebook.com/ConfessionsOfAMidwestStressAddict" TargetMode="External"/><Relationship Id="rId3305" Type="http://schemas.openxmlformats.org/officeDocument/2006/relationships/hyperlink" Target="https://www.spreaker.com/user/rawyetreal/newyear-newyou-why?autoplay=1" TargetMode="External"/><Relationship Id="rId4636" Type="http://schemas.openxmlformats.org/officeDocument/2006/relationships/hyperlink" Target="https://pbs.twimg.com/media/EOM1IQuX4AAuHX9.jpg" TargetMode="External"/><Relationship Id="rId3308" Type="http://schemas.openxmlformats.org/officeDocument/2006/relationships/hyperlink" Target="http://marthaforlines.com" TargetMode="External"/><Relationship Id="rId4639" Type="http://schemas.openxmlformats.org/officeDocument/2006/relationships/hyperlink" Target="https://pbs.twimg.com/media/EOM1DL-WkAEFCEN.jpg" TargetMode="External"/><Relationship Id="rId3307" Type="http://schemas.openxmlformats.org/officeDocument/2006/relationships/hyperlink" Target="http://ow.ly/cZ2A50xVXoO" TargetMode="External"/><Relationship Id="rId4638" Type="http://schemas.openxmlformats.org/officeDocument/2006/relationships/hyperlink" Target="http://ow.ly/hqPX50xUAgh" TargetMode="External"/><Relationship Id="rId3309" Type="http://schemas.openxmlformats.org/officeDocument/2006/relationships/hyperlink" Target="https://advice.shinetext.com/articles/how-writing-a-stress-list-helps-me-feel-less-overwhelmed/" TargetMode="External"/><Relationship Id="rId3300" Type="http://schemas.openxmlformats.org/officeDocument/2006/relationships/hyperlink" Target="http://www.getaheadva.com" TargetMode="External"/><Relationship Id="rId4631" Type="http://schemas.openxmlformats.org/officeDocument/2006/relationships/hyperlink" Target="http://www.mindfulnessmeditationinstitute.org/" TargetMode="External"/><Relationship Id="rId4630" Type="http://schemas.openxmlformats.org/officeDocument/2006/relationships/hyperlink" Target="https://mindfulnessmeditationinstitute.org/2016/01/02/5-tips-for-starting-a-mindfulness-meditation-practice-and-staying-motivated/" TargetMode="External"/><Relationship Id="rId3302" Type="http://schemas.openxmlformats.org/officeDocument/2006/relationships/hyperlink" Target="https://www.fortlauderdalebehavioral.com/" TargetMode="External"/><Relationship Id="rId4633" Type="http://schemas.openxmlformats.org/officeDocument/2006/relationships/hyperlink" Target="https://pbs.twimg.com/media/EOM1cInWsAEXltZ.png" TargetMode="External"/><Relationship Id="rId3301" Type="http://schemas.openxmlformats.org/officeDocument/2006/relationships/hyperlink" Target="https://pbs.twimg.com/media/EOUht_wWkAEgUFz.png" TargetMode="External"/><Relationship Id="rId4632" Type="http://schemas.openxmlformats.org/officeDocument/2006/relationships/hyperlink" Target="http://sponsoringsuccess.net/gbq" TargetMode="External"/><Relationship Id="rId2005" Type="http://schemas.openxmlformats.org/officeDocument/2006/relationships/hyperlink" Target="http://www.recharj.com/" TargetMode="External"/><Relationship Id="rId3337" Type="http://schemas.openxmlformats.org/officeDocument/2006/relationships/hyperlink" Target="https://www.linkedin.com/feed/update/urn:li:activity:6623163895030910976" TargetMode="External"/><Relationship Id="rId4668" Type="http://schemas.openxmlformats.org/officeDocument/2006/relationships/hyperlink" Target="http://tinyurl.com/y42f34l8" TargetMode="External"/><Relationship Id="rId2006" Type="http://schemas.openxmlformats.org/officeDocument/2006/relationships/hyperlink" Target="https://bit.ly/2ZIWqPa" TargetMode="External"/><Relationship Id="rId3336" Type="http://schemas.openxmlformats.org/officeDocument/2006/relationships/hyperlink" Target="http://www.aware.ie" TargetMode="External"/><Relationship Id="rId4667" Type="http://schemas.openxmlformats.org/officeDocument/2006/relationships/hyperlink" Target="http://www.cfci.us/" TargetMode="External"/><Relationship Id="rId2007" Type="http://schemas.openxmlformats.org/officeDocument/2006/relationships/hyperlink" Target="https://walkintubs.americanstandard-us.com/" TargetMode="External"/><Relationship Id="rId3339" Type="http://schemas.openxmlformats.org/officeDocument/2006/relationships/hyperlink" Target="https://www.stylesbyaricahart.com/2015/02/stress-and-hair-loss.html" TargetMode="External"/><Relationship Id="rId2008" Type="http://schemas.openxmlformats.org/officeDocument/2006/relationships/hyperlink" Target="http://ow.ly/eReQ30q9e5x" TargetMode="External"/><Relationship Id="rId3338" Type="http://schemas.openxmlformats.org/officeDocument/2006/relationships/hyperlink" Target="http://www.contributioncompass.com/" TargetMode="External"/><Relationship Id="rId4669" Type="http://schemas.openxmlformats.org/officeDocument/2006/relationships/hyperlink" Target="https://pbs.twimg.com/media/EOMg8HSXUAIXQgT.jpg" TargetMode="External"/><Relationship Id="rId2009" Type="http://schemas.openxmlformats.org/officeDocument/2006/relationships/hyperlink" Target="http://www.mindfulchange.com" TargetMode="External"/><Relationship Id="rId4660" Type="http://schemas.openxmlformats.org/officeDocument/2006/relationships/hyperlink" Target="https://amzn.to/2uFPV4q" TargetMode="External"/><Relationship Id="rId3331" Type="http://schemas.openxmlformats.org/officeDocument/2006/relationships/hyperlink" Target="https://www.thepinkvelvetblog.com" TargetMode="External"/><Relationship Id="rId4662" Type="http://schemas.openxmlformats.org/officeDocument/2006/relationships/hyperlink" Target="http://www.nelsoncreations.com" TargetMode="External"/><Relationship Id="rId2000" Type="http://schemas.openxmlformats.org/officeDocument/2006/relationships/hyperlink" Target="http://www.tonibernhard.com" TargetMode="External"/><Relationship Id="rId3330" Type="http://schemas.openxmlformats.org/officeDocument/2006/relationships/hyperlink" Target="https://www.thepinkvelvetblog.com/2020/01/prevent-financial-stress.html" TargetMode="External"/><Relationship Id="rId4661" Type="http://schemas.openxmlformats.org/officeDocument/2006/relationships/hyperlink" Target="https://pbs.twimg.com/media/EOMmzHxWsAYH7tc.jpg" TargetMode="External"/><Relationship Id="rId2001" Type="http://schemas.openxmlformats.org/officeDocument/2006/relationships/hyperlink" Target="http://ow.ly/aeZh50xMHO2" TargetMode="External"/><Relationship Id="rId3333" Type="http://schemas.openxmlformats.org/officeDocument/2006/relationships/hyperlink" Target="http://www.yellowday.co.uk" TargetMode="External"/><Relationship Id="rId4664" Type="http://schemas.openxmlformats.org/officeDocument/2006/relationships/hyperlink" Target="http://www.snhu.edu" TargetMode="External"/><Relationship Id="rId2002" Type="http://schemas.openxmlformats.org/officeDocument/2006/relationships/hyperlink" Target="https://pbs.twimg.com/media/EOawZCZXUAEeJEQ.jpg" TargetMode="External"/><Relationship Id="rId3332" Type="http://schemas.openxmlformats.org/officeDocument/2006/relationships/hyperlink" Target="https://www.yellowday.co.uk/how-to-build-resilience/" TargetMode="External"/><Relationship Id="rId4663" Type="http://schemas.openxmlformats.org/officeDocument/2006/relationships/hyperlink" Target="http://thephilosophicalpsychotic.com" TargetMode="External"/><Relationship Id="rId2003" Type="http://schemas.openxmlformats.org/officeDocument/2006/relationships/hyperlink" Target="https://health.mil/AfterDeployment" TargetMode="External"/><Relationship Id="rId3335" Type="http://schemas.openxmlformats.org/officeDocument/2006/relationships/hyperlink" Target="https://pbs.twimg.com/media/EOUXG0sWAAERHuy.png" TargetMode="External"/><Relationship Id="rId4666" Type="http://schemas.openxmlformats.org/officeDocument/2006/relationships/hyperlink" Target="http://myf.mg/5bws" TargetMode="External"/><Relationship Id="rId2004" Type="http://schemas.openxmlformats.org/officeDocument/2006/relationships/hyperlink" Target="https://www.prnewswire.com/news-releases/top-6-mindfulness-trends-for-2020-300980644.html" TargetMode="External"/><Relationship Id="rId3334" Type="http://schemas.openxmlformats.org/officeDocument/2006/relationships/hyperlink" Target="http://bit.ly/AwareLSP" TargetMode="External"/><Relationship Id="rId4665" Type="http://schemas.openxmlformats.org/officeDocument/2006/relationships/hyperlink" Target="http://jcnssa.coach" TargetMode="External"/><Relationship Id="rId3326" Type="http://schemas.openxmlformats.org/officeDocument/2006/relationships/hyperlink" Target="https://pbs.twimg.com/media/EOUaIb4XUAA6QeD.jpg" TargetMode="External"/><Relationship Id="rId4657" Type="http://schemas.openxmlformats.org/officeDocument/2006/relationships/hyperlink" Target="http://www.theherbalgardens.com" TargetMode="External"/><Relationship Id="rId3325" Type="http://schemas.openxmlformats.org/officeDocument/2006/relationships/hyperlink" Target="http://www.skinonline.co.za" TargetMode="External"/><Relationship Id="rId4656" Type="http://schemas.openxmlformats.org/officeDocument/2006/relationships/hyperlink" Target="https://pbs.twimg.com/media/EOMxkYDWAAA9wbX.jpg" TargetMode="External"/><Relationship Id="rId3328" Type="http://schemas.openxmlformats.org/officeDocument/2006/relationships/hyperlink" Target="https://pbs.twimg.com/media/EOUZ3plX4AAwkhA.jpg" TargetMode="External"/><Relationship Id="rId4659" Type="http://schemas.openxmlformats.org/officeDocument/2006/relationships/hyperlink" Target="https://shop.energyfocus.com/" TargetMode="External"/><Relationship Id="rId3327" Type="http://schemas.openxmlformats.org/officeDocument/2006/relationships/hyperlink" Target="http://www.charishealthcare.org/" TargetMode="External"/><Relationship Id="rId4658" Type="http://schemas.openxmlformats.org/officeDocument/2006/relationships/hyperlink" Target="http://bit.ly/36SdNzV" TargetMode="External"/><Relationship Id="rId3329" Type="http://schemas.openxmlformats.org/officeDocument/2006/relationships/hyperlink" Target="http://www.charishealthcare.org/" TargetMode="External"/><Relationship Id="rId3320" Type="http://schemas.openxmlformats.org/officeDocument/2006/relationships/hyperlink" Target="http://www.cntw.nhs.uk/" TargetMode="External"/><Relationship Id="rId4651" Type="http://schemas.openxmlformats.org/officeDocument/2006/relationships/hyperlink" Target="https://m.facebook.com/ConfessionsOfAMidwestStressAddict" TargetMode="External"/><Relationship Id="rId4650" Type="http://schemas.openxmlformats.org/officeDocument/2006/relationships/hyperlink" Target="http://www.cbdbiocareanywhere.com" TargetMode="External"/><Relationship Id="rId3322" Type="http://schemas.openxmlformats.org/officeDocument/2006/relationships/hyperlink" Target="http://in.linkedin.com/in/rahuljain77" TargetMode="External"/><Relationship Id="rId4653" Type="http://schemas.openxmlformats.org/officeDocument/2006/relationships/hyperlink" Target="http://tvlvideo.com" TargetMode="External"/><Relationship Id="rId3321" Type="http://schemas.openxmlformats.org/officeDocument/2006/relationships/hyperlink" Target="https://pbs.twimg.com/media/EOUcxn7U8AALXfE.jpg" TargetMode="External"/><Relationship Id="rId4652" Type="http://schemas.openxmlformats.org/officeDocument/2006/relationships/hyperlink" Target="https://youtu.be/9kMiLqhKD_Y" TargetMode="External"/><Relationship Id="rId3324" Type="http://schemas.openxmlformats.org/officeDocument/2006/relationships/hyperlink" Target="https://pbs.twimg.com/media/EOUawqvWsAMaf7I.jpg" TargetMode="External"/><Relationship Id="rId4655" Type="http://schemas.openxmlformats.org/officeDocument/2006/relationships/hyperlink" Target="https://apps.apple.com/us/app/mindfulness-coach/id804284729" TargetMode="External"/><Relationship Id="rId3323" Type="http://schemas.openxmlformats.org/officeDocument/2006/relationships/hyperlink" Target="http://ow.ly/BChx30kxSda" TargetMode="External"/><Relationship Id="rId4654" Type="http://schemas.openxmlformats.org/officeDocument/2006/relationships/hyperlink" Target="https://www.youtube.com/channel/UCVOPzLmbuZz_sX_Tz98WqIw" TargetMode="External"/><Relationship Id="rId2090" Type="http://schemas.openxmlformats.org/officeDocument/2006/relationships/hyperlink" Target="http://www.pauljerem.com" TargetMode="External"/><Relationship Id="rId2091" Type="http://schemas.openxmlformats.org/officeDocument/2006/relationships/hyperlink" Target="http://ow.ly/iBek50xUERQ" TargetMode="External"/><Relationship Id="rId2092" Type="http://schemas.openxmlformats.org/officeDocument/2006/relationships/hyperlink" Target="http://www.thekettle.ca/donate" TargetMode="External"/><Relationship Id="rId2093" Type="http://schemas.openxmlformats.org/officeDocument/2006/relationships/hyperlink" Target="http://ow.ly/PdoY50xUbYu" TargetMode="External"/><Relationship Id="rId2094" Type="http://schemas.openxmlformats.org/officeDocument/2006/relationships/hyperlink" Target="https://pbs.twimg.com/media/EOaiY8lWkAA7llB.jpg" TargetMode="External"/><Relationship Id="rId2095" Type="http://schemas.openxmlformats.org/officeDocument/2006/relationships/hyperlink" Target="http://www.thedoctorweighsin.com" TargetMode="External"/><Relationship Id="rId2096" Type="http://schemas.openxmlformats.org/officeDocument/2006/relationships/hyperlink" Target="https://hubs.ly/H0myxSH0" TargetMode="External"/><Relationship Id="rId2097" Type="http://schemas.openxmlformats.org/officeDocument/2006/relationships/hyperlink" Target="http://www.neuroflowsolution.com/" TargetMode="External"/><Relationship Id="rId2098" Type="http://schemas.openxmlformats.org/officeDocument/2006/relationships/hyperlink" Target="https://twitter.com/MShafaq_KPlusG/status/1217386961691869184" TargetMode="External"/><Relationship Id="rId2099" Type="http://schemas.openxmlformats.org/officeDocument/2006/relationships/hyperlink" Target="https://pbs.twimg.com/media/EOUG_RRWoAA59KL.jpg" TargetMode="External"/><Relationship Id="rId3391" Type="http://schemas.openxmlformats.org/officeDocument/2006/relationships/hyperlink" Target="http://www.etsy.com/uk/shop/enterprisexddesign" TargetMode="External"/><Relationship Id="rId2060" Type="http://schemas.openxmlformats.org/officeDocument/2006/relationships/hyperlink" Target="http://www.bwrt.org" TargetMode="External"/><Relationship Id="rId3390" Type="http://schemas.openxmlformats.org/officeDocument/2006/relationships/hyperlink" Target="https://pbs.twimg.com/media/EOT_PEGWoAEJOQz.jpg" TargetMode="External"/><Relationship Id="rId2061" Type="http://schemas.openxmlformats.org/officeDocument/2006/relationships/hyperlink" Target="https://cenegenics.com/blog/types-of-stress" TargetMode="External"/><Relationship Id="rId3393" Type="http://schemas.openxmlformats.org/officeDocument/2006/relationships/hyperlink" Target="https://pbs.twimg.com/media/EOT-vJVWsAEl_IL.png" TargetMode="External"/><Relationship Id="rId2062" Type="http://schemas.openxmlformats.org/officeDocument/2006/relationships/hyperlink" Target="https://puertorico.cenegenics.com/" TargetMode="External"/><Relationship Id="rId3392" Type="http://schemas.openxmlformats.org/officeDocument/2006/relationships/hyperlink" Target="http://bit.ly/2PUaaSK" TargetMode="External"/><Relationship Id="rId2063" Type="http://schemas.openxmlformats.org/officeDocument/2006/relationships/hyperlink" Target="https://www.cenegenics.com/blog/types-of-stress" TargetMode="External"/><Relationship Id="rId3395" Type="http://schemas.openxmlformats.org/officeDocument/2006/relationships/hyperlink" Target="https://goo.gl/FPvvb4" TargetMode="External"/><Relationship Id="rId2064" Type="http://schemas.openxmlformats.org/officeDocument/2006/relationships/hyperlink" Target="http://www.cenegenics-philadelphia.com/" TargetMode="External"/><Relationship Id="rId3394" Type="http://schemas.openxmlformats.org/officeDocument/2006/relationships/hyperlink" Target="https://www.brauer.com.au/" TargetMode="External"/><Relationship Id="rId2065" Type="http://schemas.openxmlformats.org/officeDocument/2006/relationships/hyperlink" Target="https://healthyfit07.blogspot.com/2017/10/how-to-quit-smoking-cigarettes.html" TargetMode="External"/><Relationship Id="rId3397" Type="http://schemas.openxmlformats.org/officeDocument/2006/relationships/hyperlink" Target="http://bucketsoftea.co.uk" TargetMode="External"/><Relationship Id="rId2066" Type="http://schemas.openxmlformats.org/officeDocument/2006/relationships/hyperlink" Target="https://pbs.twimg.com/media/EOarOxLWsAAwMu-.jpg" TargetMode="External"/><Relationship Id="rId3396" Type="http://schemas.openxmlformats.org/officeDocument/2006/relationships/hyperlink" Target="https://pbs.twimg.com/media/EOT92giX0AECIgV.jpg" TargetMode="External"/><Relationship Id="rId2067" Type="http://schemas.openxmlformats.org/officeDocument/2006/relationships/hyperlink" Target="https://healthyfit07.blogspot.com" TargetMode="External"/><Relationship Id="rId3399" Type="http://schemas.openxmlformats.org/officeDocument/2006/relationships/hyperlink" Target="http://princessinthetower.org/" TargetMode="External"/><Relationship Id="rId2068" Type="http://schemas.openxmlformats.org/officeDocument/2006/relationships/hyperlink" Target="http://www.thepointsofhealth.com" TargetMode="External"/><Relationship Id="rId3398" Type="http://schemas.openxmlformats.org/officeDocument/2006/relationships/hyperlink" Target="https://buff.ly/2OxfBq7" TargetMode="External"/><Relationship Id="rId2069" Type="http://schemas.openxmlformats.org/officeDocument/2006/relationships/hyperlink" Target="https://pbs.twimg.com/media/EOaqTMYWoAEro_p.png" TargetMode="External"/><Relationship Id="rId3380" Type="http://schemas.openxmlformats.org/officeDocument/2006/relationships/hyperlink" Target="https://data.val.org.uk/civicrm/event/info?id=1423&amp;reset=1" TargetMode="External"/><Relationship Id="rId2050" Type="http://schemas.openxmlformats.org/officeDocument/2006/relationships/hyperlink" Target="http://bit.ly/2Qg6evK" TargetMode="External"/><Relationship Id="rId3382" Type="http://schemas.openxmlformats.org/officeDocument/2006/relationships/hyperlink" Target="http://doinggoodleeds.org.uk" TargetMode="External"/><Relationship Id="rId2051" Type="http://schemas.openxmlformats.org/officeDocument/2006/relationships/hyperlink" Target="https://pbs.twimg.com/media/EOauqwkX4AAegVu.jpg" TargetMode="External"/><Relationship Id="rId3381" Type="http://schemas.openxmlformats.org/officeDocument/2006/relationships/hyperlink" Target="https://pbs.twimg.com/media/ENSBvzsWkAE11O7.png" TargetMode="External"/><Relationship Id="rId2052" Type="http://schemas.openxmlformats.org/officeDocument/2006/relationships/hyperlink" Target="https://allauthor.com/amazon/33694/" TargetMode="External"/><Relationship Id="rId3384" Type="http://schemas.openxmlformats.org/officeDocument/2006/relationships/hyperlink" Target="http://www.southwestcoaching.co.uk" TargetMode="External"/><Relationship Id="rId2053" Type="http://schemas.openxmlformats.org/officeDocument/2006/relationships/hyperlink" Target="https://pbs.twimg.com/media/EOaupZFXkAEvsBF.jpg" TargetMode="External"/><Relationship Id="rId3383" Type="http://schemas.openxmlformats.org/officeDocument/2006/relationships/hyperlink" Target="https://goo.gl/alerts/xFgPR" TargetMode="External"/><Relationship Id="rId2054" Type="http://schemas.openxmlformats.org/officeDocument/2006/relationships/hyperlink" Target="https://amcnallyauthor.wordpress.com" TargetMode="External"/><Relationship Id="rId3386" Type="http://schemas.openxmlformats.org/officeDocument/2006/relationships/hyperlink" Target="https://pbs.twimg.com/media/EOUBd1IXkAcBC33.jpg" TargetMode="External"/><Relationship Id="rId2055" Type="http://schemas.openxmlformats.org/officeDocument/2006/relationships/hyperlink" Target="https://buff.ly/2Ri7Qpv" TargetMode="External"/><Relationship Id="rId3385" Type="http://schemas.openxmlformats.org/officeDocument/2006/relationships/hyperlink" Target="http://www.anxietyuk.org.uk" TargetMode="External"/><Relationship Id="rId2056" Type="http://schemas.openxmlformats.org/officeDocument/2006/relationships/hyperlink" Target="https://pbs.twimg.com/media/EOaupTQX0AYE6Lk.jpg" TargetMode="External"/><Relationship Id="rId3388" Type="http://schemas.openxmlformats.org/officeDocument/2006/relationships/hyperlink" Target="https://pbs.twimg.com/media/EOT_6siUcAEwlvs.jpg" TargetMode="External"/><Relationship Id="rId2057" Type="http://schemas.openxmlformats.org/officeDocument/2006/relationships/hyperlink" Target="http://parinc.com" TargetMode="External"/><Relationship Id="rId3387" Type="http://schemas.openxmlformats.org/officeDocument/2006/relationships/hyperlink" Target="http://www.pschemist.com" TargetMode="External"/><Relationship Id="rId2058" Type="http://schemas.openxmlformats.org/officeDocument/2006/relationships/hyperlink" Target="https://www.cenegenics.com/blog/types-of-stress" TargetMode="External"/><Relationship Id="rId2059" Type="http://schemas.openxmlformats.org/officeDocument/2006/relationships/hyperlink" Target="http://www.cenegenicsnewyork.com" TargetMode="External"/><Relationship Id="rId3389" Type="http://schemas.openxmlformats.org/officeDocument/2006/relationships/hyperlink" Target="http://www.etsy.com/uk/shop/enterprisexddesign" TargetMode="External"/><Relationship Id="rId2080" Type="http://schemas.openxmlformats.org/officeDocument/2006/relationships/hyperlink" Target="https://buff.ly/2MWMdvf" TargetMode="External"/><Relationship Id="rId2081" Type="http://schemas.openxmlformats.org/officeDocument/2006/relationships/hyperlink" Target="https://pbs.twimg.com/media/EOalh00WAAACfj4.png" TargetMode="External"/><Relationship Id="rId2082" Type="http://schemas.openxmlformats.org/officeDocument/2006/relationships/hyperlink" Target="http://jobs.viktre.com" TargetMode="External"/><Relationship Id="rId2083" Type="http://schemas.openxmlformats.org/officeDocument/2006/relationships/hyperlink" Target="https://twitter.com/nicestwitch1/status/1217378296977149952" TargetMode="External"/><Relationship Id="rId2084" Type="http://schemas.openxmlformats.org/officeDocument/2006/relationships/hyperlink" Target="https://pbs.twimg.com/media/EOajOwAX4AAg3B2.jpg" TargetMode="External"/><Relationship Id="rId2085" Type="http://schemas.openxmlformats.org/officeDocument/2006/relationships/hyperlink" Target="http://www.covwarkpt.nhs.uk/iapt" TargetMode="External"/><Relationship Id="rId2086" Type="http://schemas.openxmlformats.org/officeDocument/2006/relationships/hyperlink" Target="https://www.ncbi.nlm.nih.gov/pubmed/31808103" TargetMode="External"/><Relationship Id="rId2087" Type="http://schemas.openxmlformats.org/officeDocument/2006/relationships/hyperlink" Target="https://popresearchcenters.org/" TargetMode="External"/><Relationship Id="rId2088" Type="http://schemas.openxmlformats.org/officeDocument/2006/relationships/hyperlink" Target="https://buff.ly/2QT28v9" TargetMode="External"/><Relationship Id="rId2089" Type="http://schemas.openxmlformats.org/officeDocument/2006/relationships/hyperlink" Target="https://pbs.twimg.com/media/EOaivnqXkAQnnwk.jpg" TargetMode="External"/><Relationship Id="rId2070" Type="http://schemas.openxmlformats.org/officeDocument/2006/relationships/hyperlink" Target="http://www.thepointsofhealth.com" TargetMode="External"/><Relationship Id="rId2071" Type="http://schemas.openxmlformats.org/officeDocument/2006/relationships/hyperlink" Target="https://www.nature.com/articles/d41586-020-00101-9" TargetMode="External"/><Relationship Id="rId2072" Type="http://schemas.openxmlformats.org/officeDocument/2006/relationships/hyperlink" Target="http://www.mrcounselling.co.uk" TargetMode="External"/><Relationship Id="rId2073" Type="http://schemas.openxmlformats.org/officeDocument/2006/relationships/hyperlink" Target="https://www.britsafe.org/publications/safety-management-magazine/safety-management-magazine/2019/prosecution-for-work-related-stress-just-matter-of-time-law-event-hears/" TargetMode="External"/><Relationship Id="rId2074" Type="http://schemas.openxmlformats.org/officeDocument/2006/relationships/hyperlink" Target="http://www.bryonyrowntree.com" TargetMode="External"/><Relationship Id="rId2075" Type="http://schemas.openxmlformats.org/officeDocument/2006/relationships/hyperlink" Target="https://highlysensitiverefuge.com/highly-sensitive-people-absorb-emotions/" TargetMode="External"/><Relationship Id="rId2076" Type="http://schemas.openxmlformats.org/officeDocument/2006/relationships/hyperlink" Target="http://highlysensitiverefuge.com" TargetMode="External"/><Relationship Id="rId2077" Type="http://schemas.openxmlformats.org/officeDocument/2006/relationships/hyperlink" Target="https://www.medpagetoday.com/obgyn/pregnancy/84344" TargetMode="External"/><Relationship Id="rId2078" Type="http://schemas.openxmlformats.org/officeDocument/2006/relationships/hyperlink" Target="https://brainlessblogger.net/2020/01/16/chronic-stress-and-the-body/" TargetMode="External"/><Relationship Id="rId2079" Type="http://schemas.openxmlformats.org/officeDocument/2006/relationships/hyperlink" Target="https://brainlessblogger.net/" TargetMode="External"/><Relationship Id="rId2940" Type="http://schemas.openxmlformats.org/officeDocument/2006/relationships/hyperlink" Target="https://pbs.twimg.com/media/EOVuNa8XsAA6uCd.jpg" TargetMode="External"/><Relationship Id="rId1610" Type="http://schemas.openxmlformats.org/officeDocument/2006/relationships/hyperlink" Target="https://trentreker.com" TargetMode="External"/><Relationship Id="rId2941" Type="http://schemas.openxmlformats.org/officeDocument/2006/relationships/hyperlink" Target="http://enlivenessentials.com" TargetMode="External"/><Relationship Id="rId1611" Type="http://schemas.openxmlformats.org/officeDocument/2006/relationships/hyperlink" Target="http://bit.ly/2y0ZoRl" TargetMode="External"/><Relationship Id="rId2942" Type="http://schemas.openxmlformats.org/officeDocument/2006/relationships/hyperlink" Target="https://pbs.twimg.com/media/EOVti7VX4AMGsRC.jpg" TargetMode="External"/><Relationship Id="rId1612" Type="http://schemas.openxmlformats.org/officeDocument/2006/relationships/hyperlink" Target="https://linktr.ee/entrancehypno" TargetMode="External"/><Relationship Id="rId2943" Type="http://schemas.openxmlformats.org/officeDocument/2006/relationships/hyperlink" Target="https://www.etsy.com/shop/SeamsSewWrightTN" TargetMode="External"/><Relationship Id="rId1613" Type="http://schemas.openxmlformats.org/officeDocument/2006/relationships/hyperlink" Target="http://bit.ly/ChngMd" TargetMode="External"/><Relationship Id="rId2944" Type="http://schemas.openxmlformats.org/officeDocument/2006/relationships/hyperlink" Target="https://buff.ly/2Q54Tbj" TargetMode="External"/><Relationship Id="rId1614" Type="http://schemas.openxmlformats.org/officeDocument/2006/relationships/hyperlink" Target="http://bit.ly/InsGF" TargetMode="External"/><Relationship Id="rId2945" Type="http://schemas.openxmlformats.org/officeDocument/2006/relationships/hyperlink" Target="https://pbs.twimg.com/media/EOVthU7X0AEeepG.jpg" TargetMode="External"/><Relationship Id="rId1615" Type="http://schemas.openxmlformats.org/officeDocument/2006/relationships/hyperlink" Target="http://www.quick-good-fortune.com" TargetMode="External"/><Relationship Id="rId2946" Type="http://schemas.openxmlformats.org/officeDocument/2006/relationships/hyperlink" Target="https://pbs.twimg.com/media/EOVs3GKWoAA417d.jpg" TargetMode="External"/><Relationship Id="rId1616" Type="http://schemas.openxmlformats.org/officeDocument/2006/relationships/hyperlink" Target="https://bnfr.me/35Kh1ou" TargetMode="External"/><Relationship Id="rId2947" Type="http://schemas.openxmlformats.org/officeDocument/2006/relationships/hyperlink" Target="https://www.facebook.com/Battersea-Clinical-Massage-Therapy-Wellness-110377857032172/" TargetMode="External"/><Relationship Id="rId907" Type="http://schemas.openxmlformats.org/officeDocument/2006/relationships/hyperlink" Target="http://www.dailywaffle.co.uk" TargetMode="External"/><Relationship Id="rId1617" Type="http://schemas.openxmlformats.org/officeDocument/2006/relationships/hyperlink" Target="https://smallbusinessbonfire.com" TargetMode="External"/><Relationship Id="rId2948" Type="http://schemas.openxmlformats.org/officeDocument/2006/relationships/hyperlink" Target="https://buff.ly/2MJ1QUg" TargetMode="External"/><Relationship Id="rId906" Type="http://schemas.openxmlformats.org/officeDocument/2006/relationships/hyperlink" Target="https://pbs.twimg.com/media/EOgYDANWoAIDJOb.jpg" TargetMode="External"/><Relationship Id="rId1618" Type="http://schemas.openxmlformats.org/officeDocument/2006/relationships/hyperlink" Target="http://hlty.us/7Lpo" TargetMode="External"/><Relationship Id="rId2949" Type="http://schemas.openxmlformats.org/officeDocument/2006/relationships/hyperlink" Target="https://pbs.twimg.com/media/EOVr7YfWsAEDgzP.png" TargetMode="External"/><Relationship Id="rId905" Type="http://schemas.openxmlformats.org/officeDocument/2006/relationships/hyperlink" Target="https://buff.ly/35pcc3B" TargetMode="External"/><Relationship Id="rId1619" Type="http://schemas.openxmlformats.org/officeDocument/2006/relationships/hyperlink" Target="https://pbs.twimg.com/media/EOcorGaXkAU1joX.jpg" TargetMode="External"/><Relationship Id="rId904" Type="http://schemas.openxmlformats.org/officeDocument/2006/relationships/hyperlink" Target="http://www.beacon.agency" TargetMode="External"/><Relationship Id="rId909" Type="http://schemas.openxmlformats.org/officeDocument/2006/relationships/hyperlink" Target="https://brianthomas.me" TargetMode="External"/><Relationship Id="rId908" Type="http://schemas.openxmlformats.org/officeDocument/2006/relationships/hyperlink" Target="https://buff.ly/2RSv7Aa" TargetMode="External"/><Relationship Id="rId903" Type="http://schemas.openxmlformats.org/officeDocument/2006/relationships/hyperlink" Target="https://pbs.twimg.com/media/EOgYu-3WkAEvHzI.jpg" TargetMode="External"/><Relationship Id="rId902" Type="http://schemas.openxmlformats.org/officeDocument/2006/relationships/hyperlink" Target="http://bit.ly/36YJjwa" TargetMode="External"/><Relationship Id="rId901" Type="http://schemas.openxmlformats.org/officeDocument/2006/relationships/hyperlink" Target="http://www.zzedibles.com" TargetMode="External"/><Relationship Id="rId900" Type="http://schemas.openxmlformats.org/officeDocument/2006/relationships/hyperlink" Target="https://pbs.twimg.com/media/EOgY2OBX0AA7Euz.png" TargetMode="External"/><Relationship Id="rId2930" Type="http://schemas.openxmlformats.org/officeDocument/2006/relationships/hyperlink" Target="https://tinyurl.com/jt2ddcf" TargetMode="External"/><Relationship Id="rId1600" Type="http://schemas.openxmlformats.org/officeDocument/2006/relationships/hyperlink" Target="https://www.facebook.com/beatingeds" TargetMode="External"/><Relationship Id="rId2931" Type="http://schemas.openxmlformats.org/officeDocument/2006/relationships/hyperlink" Target="https://pbs.twimg.com/media/EOVxpwkUYAAOAt4.jpg" TargetMode="External"/><Relationship Id="rId1601" Type="http://schemas.openxmlformats.org/officeDocument/2006/relationships/hyperlink" Target="https://www.psychologytoday.com/blog/turning-straw-gold/202001/how-help-manage-your-everyday-fears" TargetMode="External"/><Relationship Id="rId2932" Type="http://schemas.openxmlformats.org/officeDocument/2006/relationships/hyperlink" Target="http://www.gogabriel.com" TargetMode="External"/><Relationship Id="rId1602" Type="http://schemas.openxmlformats.org/officeDocument/2006/relationships/hyperlink" Target="http://www.tonibernhard.com" TargetMode="External"/><Relationship Id="rId2933" Type="http://schemas.openxmlformats.org/officeDocument/2006/relationships/hyperlink" Target="https://youtu.be/m8q8EDeVYhM" TargetMode="External"/><Relationship Id="rId1603" Type="http://schemas.openxmlformats.org/officeDocument/2006/relationships/hyperlink" Target="http://ow.ly/pkPI50xXGqf" TargetMode="External"/><Relationship Id="rId2934" Type="http://schemas.openxmlformats.org/officeDocument/2006/relationships/hyperlink" Target="https://yatinjpatel.com" TargetMode="External"/><Relationship Id="rId1604" Type="http://schemas.openxmlformats.org/officeDocument/2006/relationships/hyperlink" Target="http://mindshift.kqed.org" TargetMode="External"/><Relationship Id="rId2935" Type="http://schemas.openxmlformats.org/officeDocument/2006/relationships/hyperlink" Target="https://pbs.twimg.com/media/EOVw_bAXUAErpeJ.jpg" TargetMode="External"/><Relationship Id="rId1605" Type="http://schemas.openxmlformats.org/officeDocument/2006/relationships/hyperlink" Target="https://gumroad.com/encouragingbird" TargetMode="External"/><Relationship Id="rId2936" Type="http://schemas.openxmlformats.org/officeDocument/2006/relationships/hyperlink" Target="http://www.eventprotectionservices.co.uk" TargetMode="External"/><Relationship Id="rId1606" Type="http://schemas.openxmlformats.org/officeDocument/2006/relationships/hyperlink" Target="https://pbs.twimg.com/media/EOcpVwCWkAALdSC.jpg" TargetMode="External"/><Relationship Id="rId2937" Type="http://schemas.openxmlformats.org/officeDocument/2006/relationships/hyperlink" Target="https://wb.md/35Xi5F1" TargetMode="External"/><Relationship Id="rId1607" Type="http://schemas.openxmlformats.org/officeDocument/2006/relationships/hyperlink" Target="http://www.patreon.com/SkeinandStory" TargetMode="External"/><Relationship Id="rId2938" Type="http://schemas.openxmlformats.org/officeDocument/2006/relationships/hyperlink" Target="http://abitofbriansbrilliance.com" TargetMode="External"/><Relationship Id="rId1608" Type="http://schemas.openxmlformats.org/officeDocument/2006/relationships/hyperlink" Target="https://youtu.be/m8q8EDeVYhM" TargetMode="External"/><Relationship Id="rId2939" Type="http://schemas.openxmlformats.org/officeDocument/2006/relationships/hyperlink" Target="https://buff.ly/2tVKzl6" TargetMode="External"/><Relationship Id="rId1609" Type="http://schemas.openxmlformats.org/officeDocument/2006/relationships/hyperlink" Target="https://yatinjpatel.com" TargetMode="External"/><Relationship Id="rId1631" Type="http://schemas.openxmlformats.org/officeDocument/2006/relationships/hyperlink" Target="https://crediblemind.com/blogs/compassion-fatigue-and-burnout" TargetMode="External"/><Relationship Id="rId2962" Type="http://schemas.openxmlformats.org/officeDocument/2006/relationships/hyperlink" Target="http://constructionrehabplan.com/" TargetMode="External"/><Relationship Id="rId1632" Type="http://schemas.openxmlformats.org/officeDocument/2006/relationships/hyperlink" Target="https://www.freedomdebtrelief.com/blog/financial-stress/" TargetMode="External"/><Relationship Id="rId2963" Type="http://schemas.openxmlformats.org/officeDocument/2006/relationships/hyperlink" Target="http://healthywomen.org" TargetMode="External"/><Relationship Id="rId1633" Type="http://schemas.openxmlformats.org/officeDocument/2006/relationships/hyperlink" Target="http://www.freedomdebtrelief.com/" TargetMode="External"/><Relationship Id="rId2964" Type="http://schemas.openxmlformats.org/officeDocument/2006/relationships/hyperlink" Target="https://bit.ly/2Ert0LP" TargetMode="External"/><Relationship Id="rId1634" Type="http://schemas.openxmlformats.org/officeDocument/2006/relationships/hyperlink" Target="https://meditationroomsupplies.com/" TargetMode="External"/><Relationship Id="rId2965" Type="http://schemas.openxmlformats.org/officeDocument/2006/relationships/hyperlink" Target="http://www.healthywomen.org/" TargetMode="External"/><Relationship Id="rId1635" Type="http://schemas.openxmlformats.org/officeDocument/2006/relationships/hyperlink" Target="https://pbs.twimg.com/media/EOchiwJUUAAs8dV.jpg" TargetMode="External"/><Relationship Id="rId2966" Type="http://schemas.openxmlformats.org/officeDocument/2006/relationships/hyperlink" Target="https://finlaygames.com/feeling-stressed-reduce-mange-mental-health" TargetMode="External"/><Relationship Id="rId1636" Type="http://schemas.openxmlformats.org/officeDocument/2006/relationships/hyperlink" Target="https://meditationroomsupplies.com/" TargetMode="External"/><Relationship Id="rId2967" Type="http://schemas.openxmlformats.org/officeDocument/2006/relationships/hyperlink" Target="https://linktr.ee/finntheinfinncible" TargetMode="External"/><Relationship Id="rId1637" Type="http://schemas.openxmlformats.org/officeDocument/2006/relationships/hyperlink" Target="http://pic.twitter.com/uHCt0iDqrU" TargetMode="External"/><Relationship Id="rId2968" Type="http://schemas.openxmlformats.org/officeDocument/2006/relationships/hyperlink" Target="https://pbs.twimg.com/media/EOVmZR8XkAE-vnk.png" TargetMode="External"/><Relationship Id="rId1638" Type="http://schemas.openxmlformats.org/officeDocument/2006/relationships/hyperlink" Target="http://www.healthycrew.nl" TargetMode="External"/><Relationship Id="rId2969" Type="http://schemas.openxmlformats.org/officeDocument/2006/relationships/hyperlink" Target="https://www.amazon.com/Eating-Pregnancy-Essential-Month-Month/dp/0738285102/ref=dp_ob_title_bk" TargetMode="External"/><Relationship Id="rId929" Type="http://schemas.openxmlformats.org/officeDocument/2006/relationships/hyperlink" Target="https://www.10tv.com/article/how-anxiety-and-stress-can-derail-new-years-resolutions-2020-jan" TargetMode="External"/><Relationship Id="rId1639" Type="http://schemas.openxmlformats.org/officeDocument/2006/relationships/hyperlink" Target="https://pbs.twimg.com/media/EOceWAbUYAEJM6g.jpg" TargetMode="External"/><Relationship Id="rId928" Type="http://schemas.openxmlformats.org/officeDocument/2006/relationships/hyperlink" Target="http://askdrganz.com" TargetMode="External"/><Relationship Id="rId927" Type="http://schemas.openxmlformats.org/officeDocument/2006/relationships/hyperlink" Target="https://linktr.ee/ms.chanel.shanae" TargetMode="External"/><Relationship Id="rId926" Type="http://schemas.openxmlformats.org/officeDocument/2006/relationships/hyperlink" Target="https://pbs.twimg.com/media/EOgRByEU4AUxtKG.jpg" TargetMode="External"/><Relationship Id="rId921" Type="http://schemas.openxmlformats.org/officeDocument/2006/relationships/hyperlink" Target="https://pbs.twimg.com/media/EOgSLTxWoAwR0yp.jpg" TargetMode="External"/><Relationship Id="rId920" Type="http://schemas.openxmlformats.org/officeDocument/2006/relationships/hyperlink" Target="http://www.wehearyou.co.za/" TargetMode="External"/><Relationship Id="rId925" Type="http://schemas.openxmlformats.org/officeDocument/2006/relationships/hyperlink" Target="http://www.naturesformulary.com" TargetMode="External"/><Relationship Id="rId924" Type="http://schemas.openxmlformats.org/officeDocument/2006/relationships/hyperlink" Target="https://pbs.twimg.com/media/EOgR-GOXUAAvfCm.jpg" TargetMode="External"/><Relationship Id="rId923" Type="http://schemas.openxmlformats.org/officeDocument/2006/relationships/hyperlink" Target="http://bit.ly/AshNF" TargetMode="External"/><Relationship Id="rId922" Type="http://schemas.openxmlformats.org/officeDocument/2006/relationships/hyperlink" Target="https://scentfill.com/" TargetMode="External"/><Relationship Id="rId2960" Type="http://schemas.openxmlformats.org/officeDocument/2006/relationships/hyperlink" Target="https://k-12talk.com/2020/01/09/trending-in-2020-school-discipline-is-trauma-insensitive-and-trauma-uninformed/" TargetMode="External"/><Relationship Id="rId1630" Type="http://schemas.openxmlformats.org/officeDocument/2006/relationships/hyperlink" Target="http://www.aboutmybrain.com/i4methodology" TargetMode="External"/><Relationship Id="rId2961" Type="http://schemas.openxmlformats.org/officeDocument/2006/relationships/hyperlink" Target="http://www.thinkkids.org" TargetMode="External"/><Relationship Id="rId1620" Type="http://schemas.openxmlformats.org/officeDocument/2006/relationships/hyperlink" Target="http://ow.ly/agkT30q70aj" TargetMode="External"/><Relationship Id="rId2951" Type="http://schemas.openxmlformats.org/officeDocument/2006/relationships/hyperlink" Target="http://pic.twitter.com/IqxN2FYh1p" TargetMode="External"/><Relationship Id="rId1621" Type="http://schemas.openxmlformats.org/officeDocument/2006/relationships/hyperlink" Target="https://pbs.twimg.com/media/EOcn-ErX4AMTU-T.jpg" TargetMode="External"/><Relationship Id="rId2952" Type="http://schemas.openxmlformats.org/officeDocument/2006/relationships/hyperlink" Target="http://ideashape.com/book" TargetMode="External"/><Relationship Id="rId1622" Type="http://schemas.openxmlformats.org/officeDocument/2006/relationships/hyperlink" Target="http://recoverysi.com" TargetMode="External"/><Relationship Id="rId2953" Type="http://schemas.openxmlformats.org/officeDocument/2006/relationships/hyperlink" Target="http://www.ideashape.com/book" TargetMode="External"/><Relationship Id="rId1623" Type="http://schemas.openxmlformats.org/officeDocument/2006/relationships/hyperlink" Target="http://twitch.tv/4hoodsmen" TargetMode="External"/><Relationship Id="rId2954" Type="http://schemas.openxmlformats.org/officeDocument/2006/relationships/hyperlink" Target="http://bit.ly/2QV6p10" TargetMode="External"/><Relationship Id="rId1624" Type="http://schemas.openxmlformats.org/officeDocument/2006/relationships/hyperlink" Target="http://pic.twitter.com/9miduxZNct" TargetMode="External"/><Relationship Id="rId2955" Type="http://schemas.openxmlformats.org/officeDocument/2006/relationships/hyperlink" Target="https://pbs.twimg.com/media/EOVp3CWX4AAOwJZ.jpg" TargetMode="External"/><Relationship Id="rId1625" Type="http://schemas.openxmlformats.org/officeDocument/2006/relationships/hyperlink" Target="http://www.twitch.tv/4hoodsmen" TargetMode="External"/><Relationship Id="rId2956" Type="http://schemas.openxmlformats.org/officeDocument/2006/relationships/hyperlink" Target="https://www.wisniewskichiropracticomaha.com/" TargetMode="External"/><Relationship Id="rId1626" Type="http://schemas.openxmlformats.org/officeDocument/2006/relationships/hyperlink" Target="https://www.instagram.com/p/B7ZxPnEpxmS/?igshid=804swgx4al6y" TargetMode="External"/><Relationship Id="rId2957" Type="http://schemas.openxmlformats.org/officeDocument/2006/relationships/hyperlink" Target="https://buff.ly/2YB3EUV" TargetMode="External"/><Relationship Id="rId1627" Type="http://schemas.openxmlformats.org/officeDocument/2006/relationships/hyperlink" Target="http://www.paulettehogan.biz" TargetMode="External"/><Relationship Id="rId2958" Type="http://schemas.openxmlformats.org/officeDocument/2006/relationships/hyperlink" Target="https://pbs.twimg.com/media/EOVo8VPWsAEffDR.jpg" TargetMode="External"/><Relationship Id="rId918" Type="http://schemas.openxmlformats.org/officeDocument/2006/relationships/hyperlink" Target="http://terafulbright.com" TargetMode="External"/><Relationship Id="rId1628" Type="http://schemas.openxmlformats.org/officeDocument/2006/relationships/hyperlink" Target="https://pbs.twimg.com/media/EOcmHsHWsAAB8PV.jpg" TargetMode="External"/><Relationship Id="rId2959" Type="http://schemas.openxmlformats.org/officeDocument/2006/relationships/hyperlink" Target="http://www.evolvevitality.com" TargetMode="External"/><Relationship Id="rId917" Type="http://schemas.openxmlformats.org/officeDocument/2006/relationships/hyperlink" Target="https://sprou.tt/1lxwhYjHh7z" TargetMode="External"/><Relationship Id="rId1629" Type="http://schemas.openxmlformats.org/officeDocument/2006/relationships/hyperlink" Target="http://bit.ly/2hYJcvO" TargetMode="External"/><Relationship Id="rId916" Type="http://schemas.openxmlformats.org/officeDocument/2006/relationships/hyperlink" Target="http://www.squidoo.com/shortcuts-to-happiness-lensography-" TargetMode="External"/><Relationship Id="rId915" Type="http://schemas.openxmlformats.org/officeDocument/2006/relationships/hyperlink" Target="http://bit.ly/TATAcp" TargetMode="External"/><Relationship Id="rId919" Type="http://schemas.openxmlformats.org/officeDocument/2006/relationships/hyperlink" Target="https://pbs.twimg.com/media/EOdcVqUWkAAxSMO.jpg" TargetMode="External"/><Relationship Id="rId910" Type="http://schemas.openxmlformats.org/officeDocument/2006/relationships/hyperlink" Target="https://buff.ly/302k09Y" TargetMode="External"/><Relationship Id="rId914" Type="http://schemas.openxmlformats.org/officeDocument/2006/relationships/hyperlink" Target="http://www.neuroflowsolution.com/" TargetMode="External"/><Relationship Id="rId913" Type="http://schemas.openxmlformats.org/officeDocument/2006/relationships/hyperlink" Target="https://pbs.twimg.com/media/EOgVxTlWsAcHBjr.jpg" TargetMode="External"/><Relationship Id="rId912" Type="http://schemas.openxmlformats.org/officeDocument/2006/relationships/hyperlink" Target="https://www.magnawavepemf.com/" TargetMode="External"/><Relationship Id="rId911" Type="http://schemas.openxmlformats.org/officeDocument/2006/relationships/hyperlink" Target="https://pbs.twimg.com/media/EOgXI6TXUAAbU7A.jpg" TargetMode="External"/><Relationship Id="rId2950" Type="http://schemas.openxmlformats.org/officeDocument/2006/relationships/hyperlink" Target="https://www.ruthrandall.com" TargetMode="External"/><Relationship Id="rId2900" Type="http://schemas.openxmlformats.org/officeDocument/2006/relationships/hyperlink" Target="https://www.newcastle-hypnotherapy.com/food-supplements-anxiety-stress/?preview=true" TargetMode="External"/><Relationship Id="rId2901" Type="http://schemas.openxmlformats.org/officeDocument/2006/relationships/hyperlink" Target="https://pbs.twimg.com/media/EOV1nRxX0AEo6jB.jpg" TargetMode="External"/><Relationship Id="rId2902" Type="http://schemas.openxmlformats.org/officeDocument/2006/relationships/hyperlink" Target="http://www.newcastle-hypnotherapy.com/" TargetMode="External"/><Relationship Id="rId2903" Type="http://schemas.openxmlformats.org/officeDocument/2006/relationships/hyperlink" Target="https://www.counselinginmemphis.com/" TargetMode="External"/><Relationship Id="rId2904" Type="http://schemas.openxmlformats.org/officeDocument/2006/relationships/hyperlink" Target="https://soundcloud.com/thecuriosityhourpodcast/s01-e21-rebecca-arellano" TargetMode="External"/><Relationship Id="rId2905" Type="http://schemas.openxmlformats.org/officeDocument/2006/relationships/hyperlink" Target="https://pbs.twimg.com/media/EOV0qmcXUAISjtZ.jpg" TargetMode="External"/><Relationship Id="rId2906" Type="http://schemas.openxmlformats.org/officeDocument/2006/relationships/hyperlink" Target="http://zzedibles.com" TargetMode="External"/><Relationship Id="rId2907" Type="http://schemas.openxmlformats.org/officeDocument/2006/relationships/hyperlink" Target="http://pic.twitter.com/rMr05uwIDV" TargetMode="External"/><Relationship Id="rId2908" Type="http://schemas.openxmlformats.org/officeDocument/2006/relationships/hyperlink" Target="http://www.zzedibles.com" TargetMode="External"/><Relationship Id="rId2909" Type="http://schemas.openxmlformats.org/officeDocument/2006/relationships/hyperlink" Target="https://www.weraddicted.com/the-top-10-least-stressful-cities-in-the-world/" TargetMode="External"/><Relationship Id="rId2920" Type="http://schemas.openxmlformats.org/officeDocument/2006/relationships/hyperlink" Target="https://www.forbes.com/sites/jackkelly/2020/01/08/finlands-prime-ministers-aspirational-goal-of-a-six-hour-four-day-workweek-will-this-ever-happen/" TargetMode="External"/><Relationship Id="rId2921" Type="http://schemas.openxmlformats.org/officeDocument/2006/relationships/hyperlink" Target="https://linktr.ee/lissamcowan" TargetMode="External"/><Relationship Id="rId2922" Type="http://schemas.openxmlformats.org/officeDocument/2006/relationships/hyperlink" Target="https://youtu.be/YyNX9aWIhBw" TargetMode="External"/><Relationship Id="rId2923" Type="http://schemas.openxmlformats.org/officeDocument/2006/relationships/hyperlink" Target="http://tvlvideo.com" TargetMode="External"/><Relationship Id="rId2924" Type="http://schemas.openxmlformats.org/officeDocument/2006/relationships/hyperlink" Target="https://pbs.twimg.com/media/EOVzltdWoAEZqiH.jpg" TargetMode="External"/><Relationship Id="rId2925" Type="http://schemas.openxmlformats.org/officeDocument/2006/relationships/hyperlink" Target="https://www.karger.com/Article/FullText/503640" TargetMode="External"/><Relationship Id="rId2926" Type="http://schemas.openxmlformats.org/officeDocument/2006/relationships/hyperlink" Target="https://pbs.twimg.com/media/EOVzMNRW4AAv0Xd.jpg" TargetMode="External"/><Relationship Id="rId2927" Type="http://schemas.openxmlformats.org/officeDocument/2006/relationships/hyperlink" Target="http://www.karger.com/Journal/Home/223864" TargetMode="External"/><Relationship Id="rId2928" Type="http://schemas.openxmlformats.org/officeDocument/2006/relationships/hyperlink" Target="http://pic.twitter.com/giZpquy5sz" TargetMode="External"/><Relationship Id="rId2929" Type="http://schemas.openxmlformats.org/officeDocument/2006/relationships/hyperlink" Target="http://www.charlford.com" TargetMode="External"/><Relationship Id="rId2910" Type="http://schemas.openxmlformats.org/officeDocument/2006/relationships/hyperlink" Target="http://www.weraddicted.com" TargetMode="External"/><Relationship Id="rId2911" Type="http://schemas.openxmlformats.org/officeDocument/2006/relationships/hyperlink" Target="http://bit.ly/2VrwSHo" TargetMode="External"/><Relationship Id="rId2912" Type="http://schemas.openxmlformats.org/officeDocument/2006/relationships/hyperlink" Target="https://pbs.twimg.com/media/EOV0NsTWkAIhZgI.jpg" TargetMode="External"/><Relationship Id="rId2913" Type="http://schemas.openxmlformats.org/officeDocument/2006/relationships/hyperlink" Target="http://www.allhealthmatters.co.uk" TargetMode="External"/><Relationship Id="rId2914" Type="http://schemas.openxmlformats.org/officeDocument/2006/relationships/hyperlink" Target="https://bit.ly/2Ntqmdn" TargetMode="External"/><Relationship Id="rId2915" Type="http://schemas.openxmlformats.org/officeDocument/2006/relationships/hyperlink" Target="https://pbs.twimg.com/media/EOV0J6BWoAU-1Cl.jpg" TargetMode="External"/><Relationship Id="rId2916" Type="http://schemas.openxmlformats.org/officeDocument/2006/relationships/hyperlink" Target="http://www.ag.ndsu.edu/food" TargetMode="External"/><Relationship Id="rId2917" Type="http://schemas.openxmlformats.org/officeDocument/2006/relationships/hyperlink" Target="http://bit.ly/ChngMd" TargetMode="External"/><Relationship Id="rId2918" Type="http://schemas.openxmlformats.org/officeDocument/2006/relationships/hyperlink" Target="https://pbs.twimg.com/media/EOTynDHWkAEVD48.jpg" TargetMode="External"/><Relationship Id="rId2919" Type="http://schemas.openxmlformats.org/officeDocument/2006/relationships/hyperlink" Target="http://www.wehearyou.co.za/" TargetMode="External"/><Relationship Id="rId1697" Type="http://schemas.openxmlformats.org/officeDocument/2006/relationships/hyperlink" Target="https://edition.cnn.com/2019/09/09/success/workplace-burnout-signs/index.html" TargetMode="External"/><Relationship Id="rId4723" Type="http://schemas.openxmlformats.org/officeDocument/2006/relationships/hyperlink" Target="https://www.eurekalert.org/pub_releases/2020-01/cnh-wpm011020.php" TargetMode="External"/><Relationship Id="rId1698" Type="http://schemas.openxmlformats.org/officeDocument/2006/relationships/hyperlink" Target="https://pbs.twimg.com/media/EOcCSYNXUAA6wub.jpg" TargetMode="External"/><Relationship Id="rId4722" Type="http://schemas.openxmlformats.org/officeDocument/2006/relationships/hyperlink" Target="http://www.wholebodytherapies.com" TargetMode="External"/><Relationship Id="rId1699" Type="http://schemas.openxmlformats.org/officeDocument/2006/relationships/hyperlink" Target="https://www.thesmbguide.com/" TargetMode="External"/><Relationship Id="rId4725" Type="http://schemas.openxmlformats.org/officeDocument/2006/relationships/hyperlink" Target="https://amzn.to/30OzTA5" TargetMode="External"/><Relationship Id="rId4724" Type="http://schemas.openxmlformats.org/officeDocument/2006/relationships/hyperlink" Target="https://pbs.twimg.com/media/EOMKwVPUwAA1Zk0.jpg" TargetMode="External"/><Relationship Id="rId4727" Type="http://schemas.openxmlformats.org/officeDocument/2006/relationships/hyperlink" Target="http://www.timemanagementninja.com" TargetMode="External"/><Relationship Id="rId4726" Type="http://schemas.openxmlformats.org/officeDocument/2006/relationships/hyperlink" Target="https://pbs.twimg.com/media/EOMKGApWoAAHKi6.jpg" TargetMode="External"/><Relationship Id="rId4729" Type="http://schemas.openxmlformats.org/officeDocument/2006/relationships/hyperlink" Target="https://pbs.twimg.com/media/EOMKEscXsAAsgx2.jpg" TargetMode="External"/><Relationship Id="rId4728" Type="http://schemas.openxmlformats.org/officeDocument/2006/relationships/hyperlink" Target="http://vlsm.io/2fw3" TargetMode="External"/><Relationship Id="rId866" Type="http://schemas.openxmlformats.org/officeDocument/2006/relationships/hyperlink" Target="https://brainlessblogger.net/" TargetMode="External"/><Relationship Id="rId865" Type="http://schemas.openxmlformats.org/officeDocument/2006/relationships/hyperlink" Target="https://brainlessblogger.net/2020/01/16/chronic-stress-and-the-body/" TargetMode="External"/><Relationship Id="rId864" Type="http://schemas.openxmlformats.org/officeDocument/2006/relationships/hyperlink" Target="https://brianthomas.me" TargetMode="External"/><Relationship Id="rId863" Type="http://schemas.openxmlformats.org/officeDocument/2006/relationships/hyperlink" Target="https://buff.ly/2Ox4DlW" TargetMode="External"/><Relationship Id="rId869" Type="http://schemas.openxmlformats.org/officeDocument/2006/relationships/hyperlink" Target="https://www.sciencedaily.com/releases/2020/01/200116155436.htm" TargetMode="External"/><Relationship Id="rId868" Type="http://schemas.openxmlformats.org/officeDocument/2006/relationships/hyperlink" Target="https://brokenplacesfilm.com" TargetMode="External"/><Relationship Id="rId867" Type="http://schemas.openxmlformats.org/officeDocument/2006/relationships/hyperlink" Target="https://www.orlandosentinel.com/opinion/columnists/os-op-bryce-gowdy-suicide-black-teenagers-mental-health-20200103-227nl4o635eudjq4emlqr273je-story.html?fbclid=IwAR2jDdpbgwo0kKCWKmbTXqQ1HiiYVQBKiXjzp99oq5KRtFxK3iOht8L-rio" TargetMode="External"/><Relationship Id="rId1690" Type="http://schemas.openxmlformats.org/officeDocument/2006/relationships/hyperlink" Target="https://pbs.twimg.com/media/EOcDyZtWoAAXJ3p.png" TargetMode="External"/><Relationship Id="rId1691" Type="http://schemas.openxmlformats.org/officeDocument/2006/relationships/hyperlink" Target="http://www.queenbeecrystals.com" TargetMode="External"/><Relationship Id="rId1692" Type="http://schemas.openxmlformats.org/officeDocument/2006/relationships/hyperlink" Target="http://cpix.me/a/89956663" TargetMode="External"/><Relationship Id="rId862" Type="http://schemas.openxmlformats.org/officeDocument/2006/relationships/hyperlink" Target="http://happyhands.toys" TargetMode="External"/><Relationship Id="rId1693" Type="http://schemas.openxmlformats.org/officeDocument/2006/relationships/hyperlink" Target="https://pbs.twimg.com/media/EOcDLvIX0AEu6fE.jpg" TargetMode="External"/><Relationship Id="rId861" Type="http://schemas.openxmlformats.org/officeDocument/2006/relationships/hyperlink" Target="https://pbs.twimg.com/media/EOgfJnSWsAAbgA5.jpg" TargetMode="External"/><Relationship Id="rId1694" Type="http://schemas.openxmlformats.org/officeDocument/2006/relationships/hyperlink" Target="http://www.kenamurphy.com" TargetMode="External"/><Relationship Id="rId860" Type="http://schemas.openxmlformats.org/officeDocument/2006/relationships/hyperlink" Target="https://happyhands.toys/collections/featured-fidgets" TargetMode="External"/><Relationship Id="rId1695" Type="http://schemas.openxmlformats.org/officeDocument/2006/relationships/hyperlink" Target="https://kingsumo.com/g/9agctd/giveaway-january-2020/1rq0er2" TargetMode="External"/><Relationship Id="rId4721" Type="http://schemas.openxmlformats.org/officeDocument/2006/relationships/hyperlink" Target="https://pbs.twimg.com/media/EOMM89rX4AAwlgz.jpg" TargetMode="External"/><Relationship Id="rId1696" Type="http://schemas.openxmlformats.org/officeDocument/2006/relationships/hyperlink" Target="https://linktr.ee/lizard_brooks" TargetMode="External"/><Relationship Id="rId4720" Type="http://schemas.openxmlformats.org/officeDocument/2006/relationships/hyperlink" Target="http://scottsavor.com" TargetMode="External"/><Relationship Id="rId1686" Type="http://schemas.openxmlformats.org/officeDocument/2006/relationships/hyperlink" Target="http://jaehermann.com" TargetMode="External"/><Relationship Id="rId4712" Type="http://schemas.openxmlformats.org/officeDocument/2006/relationships/hyperlink" Target="http://lifeextensioneurope.com" TargetMode="External"/><Relationship Id="rId1687" Type="http://schemas.openxmlformats.org/officeDocument/2006/relationships/hyperlink" Target="https://link.medium.com/lwjF0gS562" TargetMode="External"/><Relationship Id="rId4711" Type="http://schemas.openxmlformats.org/officeDocument/2006/relationships/hyperlink" Target="http://www.hypnosisfirst.com" TargetMode="External"/><Relationship Id="rId1688" Type="http://schemas.openxmlformats.org/officeDocument/2006/relationships/hyperlink" Target="https://medium.com/@djemal.ua" TargetMode="External"/><Relationship Id="rId4714" Type="http://schemas.openxmlformats.org/officeDocument/2006/relationships/hyperlink" Target="http://bit.ly/AshNF" TargetMode="External"/><Relationship Id="rId1689" Type="http://schemas.openxmlformats.org/officeDocument/2006/relationships/hyperlink" Target="https://buff.ly/2QWGNAX" TargetMode="External"/><Relationship Id="rId4713" Type="http://schemas.openxmlformats.org/officeDocument/2006/relationships/hyperlink" Target="https://pbs.twimg.com/media/EOMTQFaWoAAU09F.jpg" TargetMode="External"/><Relationship Id="rId4716" Type="http://schemas.openxmlformats.org/officeDocument/2006/relationships/hyperlink" Target="http://www.naturesformulary.com" TargetMode="External"/><Relationship Id="rId4715" Type="http://schemas.openxmlformats.org/officeDocument/2006/relationships/hyperlink" Target="https://pbs.twimg.com/media/EOMRi9bWoAEUhML.jpg" TargetMode="External"/><Relationship Id="rId4718" Type="http://schemas.openxmlformats.org/officeDocument/2006/relationships/hyperlink" Target="http://franticworld.com/a-ten-day-guide-to-de-stressing-your-life/" TargetMode="External"/><Relationship Id="rId4717" Type="http://schemas.openxmlformats.org/officeDocument/2006/relationships/hyperlink" Target="http://www.morefromchris.com" TargetMode="External"/><Relationship Id="rId4719" Type="http://schemas.openxmlformats.org/officeDocument/2006/relationships/hyperlink" Target="https://pbs.twimg.com/media/EOMOmL1WsAEOFtp.jpg" TargetMode="External"/><Relationship Id="rId855" Type="http://schemas.openxmlformats.org/officeDocument/2006/relationships/hyperlink" Target="http://ow.ly/vKgC50xT1YZ" TargetMode="External"/><Relationship Id="rId854" Type="http://schemas.openxmlformats.org/officeDocument/2006/relationships/hyperlink" Target="http://www.uniquesleep.ca" TargetMode="External"/><Relationship Id="rId853" Type="http://schemas.openxmlformats.org/officeDocument/2006/relationships/hyperlink" Target="https://pbs.twimg.com/media/EOgiwmtWAAAHDa9.jpg" TargetMode="External"/><Relationship Id="rId852" Type="http://schemas.openxmlformats.org/officeDocument/2006/relationships/hyperlink" Target="http://shoplocal.ly/45XKW" TargetMode="External"/><Relationship Id="rId859" Type="http://schemas.openxmlformats.org/officeDocument/2006/relationships/hyperlink" Target="https://pbs.twimg.com/media/EOghrACXsAAQx8D.jpg" TargetMode="External"/><Relationship Id="rId858" Type="http://schemas.openxmlformats.org/officeDocument/2006/relationships/hyperlink" Target="http://bit.ly/HK-Shy" TargetMode="External"/><Relationship Id="rId857" Type="http://schemas.openxmlformats.org/officeDocument/2006/relationships/hyperlink" Target="http://boringbookspod.com" TargetMode="External"/><Relationship Id="rId856" Type="http://schemas.openxmlformats.org/officeDocument/2006/relationships/hyperlink" Target="http://pic.twitter.com/iftD9GTkfJ" TargetMode="External"/><Relationship Id="rId1680" Type="http://schemas.openxmlformats.org/officeDocument/2006/relationships/hyperlink" Target="https://www.lifewithheidi.com" TargetMode="External"/><Relationship Id="rId1681" Type="http://schemas.openxmlformats.org/officeDocument/2006/relationships/hyperlink" Target="http://www.umayrsufi.com" TargetMode="External"/><Relationship Id="rId851" Type="http://schemas.openxmlformats.org/officeDocument/2006/relationships/hyperlink" Target="http://www.valeriemacleod.com" TargetMode="External"/><Relationship Id="rId1682" Type="http://schemas.openxmlformats.org/officeDocument/2006/relationships/hyperlink" Target="http://bit.ly/2jjniDI" TargetMode="External"/><Relationship Id="rId850" Type="http://schemas.openxmlformats.org/officeDocument/2006/relationships/hyperlink" Target="http://www.valeriemacleod.com/new-lenses-decrease-stress" TargetMode="External"/><Relationship Id="rId1683" Type="http://schemas.openxmlformats.org/officeDocument/2006/relationships/hyperlink" Target="https://pbs.twimg.com/media/EOcHdUWWoAA2Kun.jpg" TargetMode="External"/><Relationship Id="rId1684" Type="http://schemas.openxmlformats.org/officeDocument/2006/relationships/hyperlink" Target="http://anthonyclarkmusic.com" TargetMode="External"/><Relationship Id="rId4710" Type="http://schemas.openxmlformats.org/officeDocument/2006/relationships/hyperlink" Target="https://pbs.twimg.com/media/EOMUIhnXUAsd_Qj.png" TargetMode="External"/><Relationship Id="rId1685" Type="http://schemas.openxmlformats.org/officeDocument/2006/relationships/hyperlink" Target="https://www.instagram.com/p/B7W8Zu2hbmM/?igshid=uixdjtfz1sl" TargetMode="External"/><Relationship Id="rId3414" Type="http://schemas.openxmlformats.org/officeDocument/2006/relationships/hyperlink" Target="https://lttr.ai/MLaf" TargetMode="External"/><Relationship Id="rId4745" Type="http://schemas.openxmlformats.org/officeDocument/2006/relationships/hyperlink" Target="http://www.redway-hr.co.uk" TargetMode="External"/><Relationship Id="rId3413" Type="http://schemas.openxmlformats.org/officeDocument/2006/relationships/hyperlink" Target="http://www.talkingtherapies.berkshire.nhs.uk" TargetMode="External"/><Relationship Id="rId4744" Type="http://schemas.openxmlformats.org/officeDocument/2006/relationships/hyperlink" Target="https://pbs.twimg.com/media/EOMEXr1W4AAoxh6.png" TargetMode="External"/><Relationship Id="rId3416" Type="http://schemas.openxmlformats.org/officeDocument/2006/relationships/hyperlink" Target="https://about.me/mummymatters" TargetMode="External"/><Relationship Id="rId4747" Type="http://schemas.openxmlformats.org/officeDocument/2006/relationships/hyperlink" Target="https://linktr.ee/roweknows" TargetMode="External"/><Relationship Id="rId3415" Type="http://schemas.openxmlformats.org/officeDocument/2006/relationships/hyperlink" Target="https://pbs.twimg.com/media/EOT2LoyW4AAnu-4.png" TargetMode="External"/><Relationship Id="rId4746" Type="http://schemas.openxmlformats.org/officeDocument/2006/relationships/hyperlink" Target="https://www.instagram.com/p/B7Re4YMA6DV/?igshid=zm6gadvnxa88" TargetMode="External"/><Relationship Id="rId3418" Type="http://schemas.openxmlformats.org/officeDocument/2006/relationships/hyperlink" Target="http://bit.ly/2NqqQAM" TargetMode="External"/><Relationship Id="rId4749" Type="http://schemas.openxmlformats.org/officeDocument/2006/relationships/hyperlink" Target="http://www.anthonymasterofmassage.com.au" TargetMode="External"/><Relationship Id="rId3417" Type="http://schemas.openxmlformats.org/officeDocument/2006/relationships/hyperlink" Target="http://5bestthings.com" TargetMode="External"/><Relationship Id="rId4748" Type="http://schemas.openxmlformats.org/officeDocument/2006/relationships/hyperlink" Target="https://pbs.twimg.com/media/EOMDcMuUUAA-u0D.jpg" TargetMode="External"/><Relationship Id="rId3419" Type="http://schemas.openxmlformats.org/officeDocument/2006/relationships/hyperlink" Target="https://5bestthings.com/" TargetMode="External"/><Relationship Id="rId888" Type="http://schemas.openxmlformats.org/officeDocument/2006/relationships/hyperlink" Target="https://pbs.twimg.com/media/EOgaKq9U8AA6Jvd.jpg" TargetMode="External"/><Relationship Id="rId887" Type="http://schemas.openxmlformats.org/officeDocument/2006/relationships/hyperlink" Target="https://podcasts.apple.com/us/podcast/mediblurbs-accurate-and-transparent-health-information/id1472656355?i=1000460825495" TargetMode="External"/><Relationship Id="rId886" Type="http://schemas.openxmlformats.org/officeDocument/2006/relationships/hyperlink" Target="http://www.therapytoronto.ca" TargetMode="External"/><Relationship Id="rId885" Type="http://schemas.openxmlformats.org/officeDocument/2006/relationships/hyperlink" Target="https://therapytoronto.ca/news/2019/12/study-suggests-chronic-adversity-dampens-dopamine-production/" TargetMode="External"/><Relationship Id="rId889" Type="http://schemas.openxmlformats.org/officeDocument/2006/relationships/hyperlink" Target="http://www.mediblurb.com" TargetMode="External"/><Relationship Id="rId880" Type="http://schemas.openxmlformats.org/officeDocument/2006/relationships/hyperlink" Target="http://www.facebook.com/HASSANLIFECOACH" TargetMode="External"/><Relationship Id="rId884" Type="http://schemas.openxmlformats.org/officeDocument/2006/relationships/hyperlink" Target="http://www.novagastro.org/" TargetMode="External"/><Relationship Id="rId3410" Type="http://schemas.openxmlformats.org/officeDocument/2006/relationships/hyperlink" Target="https://www.bbc.co.uk/ideas/videos/how-stories-shape-our-minds/p07h9t70?playlist=the-extraordinary-human-brain" TargetMode="External"/><Relationship Id="rId4741" Type="http://schemas.openxmlformats.org/officeDocument/2006/relationships/hyperlink" Target="http://about.me/julian_hall" TargetMode="External"/><Relationship Id="rId883" Type="http://schemas.openxmlformats.org/officeDocument/2006/relationships/hyperlink" Target="http://ow.ly/bJZ630q9uPx" TargetMode="External"/><Relationship Id="rId4740" Type="http://schemas.openxmlformats.org/officeDocument/2006/relationships/hyperlink" Target="https://pbs.twimg.com/media/EOMGh-9X4AYMIG-.jpg" TargetMode="External"/><Relationship Id="rId882" Type="http://schemas.openxmlformats.org/officeDocument/2006/relationships/hyperlink" Target="https://linktr.ee/bfastleadership" TargetMode="External"/><Relationship Id="rId3412" Type="http://schemas.openxmlformats.org/officeDocument/2006/relationships/hyperlink" Target="https://pbs.twimg.com/media/EOT4bOrXkAADvdA.png" TargetMode="External"/><Relationship Id="rId4743" Type="http://schemas.openxmlformats.org/officeDocument/2006/relationships/hyperlink" Target="http://www.peppermint.works" TargetMode="External"/><Relationship Id="rId881" Type="http://schemas.openxmlformats.org/officeDocument/2006/relationships/hyperlink" Target="http://ow.ly/b2MF30q85Ng" TargetMode="External"/><Relationship Id="rId3411" Type="http://schemas.openxmlformats.org/officeDocument/2006/relationships/hyperlink" Target="http://www.ginlalli.com" TargetMode="External"/><Relationship Id="rId4742" Type="http://schemas.openxmlformats.org/officeDocument/2006/relationships/hyperlink" Target="https://www.maxkirsten.com" TargetMode="External"/><Relationship Id="rId3403" Type="http://schemas.openxmlformats.org/officeDocument/2006/relationships/hyperlink" Target="http://rikidavies.co.uk" TargetMode="External"/><Relationship Id="rId4734" Type="http://schemas.openxmlformats.org/officeDocument/2006/relationships/hyperlink" Target="https://kingsumo.com/g/9agctd/giveaway-january-2020/1g9wve6" TargetMode="External"/><Relationship Id="rId3402" Type="http://schemas.openxmlformats.org/officeDocument/2006/relationships/hyperlink" Target="http://www.therawrainbow.com" TargetMode="External"/><Relationship Id="rId4733" Type="http://schemas.openxmlformats.org/officeDocument/2006/relationships/hyperlink" Target="http://www.psychotherapist-nyc.blogspot.com" TargetMode="External"/><Relationship Id="rId3405" Type="http://schemas.openxmlformats.org/officeDocument/2006/relationships/hyperlink" Target="http://www.rikidavies.co.uk" TargetMode="External"/><Relationship Id="rId4736" Type="http://schemas.openxmlformats.org/officeDocument/2006/relationships/hyperlink" Target="https://tinyurl.com/v59xt8s" TargetMode="External"/><Relationship Id="rId3404" Type="http://schemas.openxmlformats.org/officeDocument/2006/relationships/hyperlink" Target="https://pbs.twimg.com/media/EOT8VaoXkAAgbGu.jpg" TargetMode="External"/><Relationship Id="rId4735" Type="http://schemas.openxmlformats.org/officeDocument/2006/relationships/hyperlink" Target="http://pic.twitter.com/cxBnBzKRmm" TargetMode="External"/><Relationship Id="rId3407" Type="http://schemas.openxmlformats.org/officeDocument/2006/relationships/hyperlink" Target="http://www.yorksj.ac.uk/chaplaincy/chaplaincy.aspx" TargetMode="External"/><Relationship Id="rId4738" Type="http://schemas.openxmlformats.org/officeDocument/2006/relationships/hyperlink" Target="https://www.bbc.co.uk/news/business-51085719" TargetMode="External"/><Relationship Id="rId3406" Type="http://schemas.openxmlformats.org/officeDocument/2006/relationships/hyperlink" Target="https://pbs.twimg.com/media/EOT6LGCX0AAJwND.jpg" TargetMode="External"/><Relationship Id="rId4737" Type="http://schemas.openxmlformats.org/officeDocument/2006/relationships/hyperlink" Target="http://www.integratingnutrition.com/" TargetMode="External"/><Relationship Id="rId3409" Type="http://schemas.openxmlformats.org/officeDocument/2006/relationships/hyperlink" Target="http://www.chakracorporate.co.uk" TargetMode="External"/><Relationship Id="rId3408" Type="http://schemas.openxmlformats.org/officeDocument/2006/relationships/hyperlink" Target="https://pbs.twimg.com/media/EOT4cekX0AU2wAI.jpg" TargetMode="External"/><Relationship Id="rId4739" Type="http://schemas.openxmlformats.org/officeDocument/2006/relationships/hyperlink" Target="http://www.mcapn.co.uk" TargetMode="External"/><Relationship Id="rId877" Type="http://schemas.openxmlformats.org/officeDocument/2006/relationships/hyperlink" Target="https://lovegeekygirl.com/2020/01/16/things-to-do-when-youre-stressed/" TargetMode="External"/><Relationship Id="rId876" Type="http://schemas.openxmlformats.org/officeDocument/2006/relationships/hyperlink" Target="http://www.reflexmaster.co.uk" TargetMode="External"/><Relationship Id="rId875" Type="http://schemas.openxmlformats.org/officeDocument/2006/relationships/hyperlink" Target="https://pbs.twimg.com/media/EOgdnVuWAAAnS6S.jpg" TargetMode="External"/><Relationship Id="rId874" Type="http://schemas.openxmlformats.org/officeDocument/2006/relationships/hyperlink" Target="https://mailchi.mp/078d0fefcdf1/reflexology-cpd-workshops-2020?fbclid=IwAR3dUiQkxfaBhgklGjq6jX_rxpDQz8Apu_WXrK300uNe9phrXzXN1vbNNbo" TargetMode="External"/><Relationship Id="rId879" Type="http://schemas.openxmlformats.org/officeDocument/2006/relationships/hyperlink" Target="http://pic.twitter.com/e6N5IeBYT8" TargetMode="External"/><Relationship Id="rId878" Type="http://schemas.openxmlformats.org/officeDocument/2006/relationships/hyperlink" Target="http://lovegeekygirl.com" TargetMode="External"/><Relationship Id="rId873" Type="http://schemas.openxmlformats.org/officeDocument/2006/relationships/hyperlink" Target="http://www.zeny.us" TargetMode="External"/><Relationship Id="rId4730" Type="http://schemas.openxmlformats.org/officeDocument/2006/relationships/hyperlink" Target="https://agents.farmers.com/tn/chattanooga/henry-stockman" TargetMode="External"/><Relationship Id="rId872" Type="http://schemas.openxmlformats.org/officeDocument/2006/relationships/hyperlink" Target="https://pbs.twimg.com/media/EOgeBtcX0AUdFAM.jpg" TargetMode="External"/><Relationship Id="rId871" Type="http://schemas.openxmlformats.org/officeDocument/2006/relationships/hyperlink" Target="https://amzn.to/2IuPoae" TargetMode="External"/><Relationship Id="rId3401" Type="http://schemas.openxmlformats.org/officeDocument/2006/relationships/hyperlink" Target="https://pbs.twimg.com/media/EOT8ZsJWsAAD25W.jpg" TargetMode="External"/><Relationship Id="rId4732" Type="http://schemas.openxmlformats.org/officeDocument/2006/relationships/hyperlink" Target="https://pbs.twimg.com/media/EOMKBWXWkAAlfl_.jpg" TargetMode="External"/><Relationship Id="rId870" Type="http://schemas.openxmlformats.org/officeDocument/2006/relationships/hyperlink" Target="http://www.bettycjung.net" TargetMode="External"/><Relationship Id="rId3400" Type="http://schemas.openxmlformats.org/officeDocument/2006/relationships/hyperlink" Target="http://www.therawrainbow.com" TargetMode="External"/><Relationship Id="rId4731" Type="http://schemas.openxmlformats.org/officeDocument/2006/relationships/hyperlink" Target="https://buff.ly/2LAEAe6" TargetMode="External"/><Relationship Id="rId1653" Type="http://schemas.openxmlformats.org/officeDocument/2006/relationships/hyperlink" Target="https://pbs.twimg.com/media/EOcXyAdXsAgQQmR.jpg" TargetMode="External"/><Relationship Id="rId2984" Type="http://schemas.openxmlformats.org/officeDocument/2006/relationships/hyperlink" Target="http://www.fortierpr.com" TargetMode="External"/><Relationship Id="rId1654" Type="http://schemas.openxmlformats.org/officeDocument/2006/relationships/hyperlink" Target="http://bit.ly/2q4cz3Q" TargetMode="External"/><Relationship Id="rId2985" Type="http://schemas.openxmlformats.org/officeDocument/2006/relationships/hyperlink" Target="https://lnkd.in/gQMBk6M" TargetMode="External"/><Relationship Id="rId1655" Type="http://schemas.openxmlformats.org/officeDocument/2006/relationships/hyperlink" Target="https://pbs.twimg.com/media/EOcW0RpVAAAGCRE.jpg" TargetMode="External"/><Relationship Id="rId2986" Type="http://schemas.openxmlformats.org/officeDocument/2006/relationships/hyperlink" Target="http://www.inovapha.org" TargetMode="External"/><Relationship Id="rId1656" Type="http://schemas.openxmlformats.org/officeDocument/2006/relationships/hyperlink" Target="http://www.linkedin.com/in/michaelagreer" TargetMode="External"/><Relationship Id="rId2987" Type="http://schemas.openxmlformats.org/officeDocument/2006/relationships/hyperlink" Target="https://www.youtube.com/watch?v=og6wR5MUHeQ&amp;t=2s" TargetMode="External"/><Relationship Id="rId1657" Type="http://schemas.openxmlformats.org/officeDocument/2006/relationships/hyperlink" Target="https://www.theladders.com/career-advice/research-shows-bad-sleep-may-lead-to-this-rampant-mental-health-issue" TargetMode="External"/><Relationship Id="rId2988" Type="http://schemas.openxmlformats.org/officeDocument/2006/relationships/hyperlink" Target="https://www.helenesegura.com" TargetMode="External"/><Relationship Id="rId1658" Type="http://schemas.openxmlformats.org/officeDocument/2006/relationships/hyperlink" Target="http://www.partnercomm.net" TargetMode="External"/><Relationship Id="rId2989" Type="http://schemas.openxmlformats.org/officeDocument/2006/relationships/hyperlink" Target="https://mindfulnessmeditationinstitute.org/2016/07/10/how-does-relaxation-benefit-the-mind-and-body/" TargetMode="External"/><Relationship Id="rId1659" Type="http://schemas.openxmlformats.org/officeDocument/2006/relationships/hyperlink" Target="http://pic.twitter.com/2NJYziiIMO" TargetMode="External"/><Relationship Id="rId829" Type="http://schemas.openxmlformats.org/officeDocument/2006/relationships/hyperlink" Target="http://pic.twitter.com/X8WegSmKP7" TargetMode="External"/><Relationship Id="rId828" Type="http://schemas.openxmlformats.org/officeDocument/2006/relationships/hyperlink" Target="http://www.annieford.co.uk" TargetMode="External"/><Relationship Id="rId827" Type="http://schemas.openxmlformats.org/officeDocument/2006/relationships/hyperlink" Target="https://pbs.twimg.com/media/EOgppDrX4AAuxgu.jpg" TargetMode="External"/><Relationship Id="rId822" Type="http://schemas.openxmlformats.org/officeDocument/2006/relationships/hyperlink" Target="https://qwikad.com" TargetMode="External"/><Relationship Id="rId821" Type="http://schemas.openxmlformats.org/officeDocument/2006/relationships/hyperlink" Target="https://qwikad.com/697/posts/20-Income-Opps/290-Affiliate-Marketing/853282-NO-RISK-NO-STRESS.html" TargetMode="External"/><Relationship Id="rId820" Type="http://schemas.openxmlformats.org/officeDocument/2006/relationships/hyperlink" Target="http://www.leetchi.com/c/devenir-developpeur" TargetMode="External"/><Relationship Id="rId826" Type="http://schemas.openxmlformats.org/officeDocument/2006/relationships/hyperlink" Target="http://www.annieford.co.uk" TargetMode="External"/><Relationship Id="rId825" Type="http://schemas.openxmlformats.org/officeDocument/2006/relationships/hyperlink" Target="https://pbs.twimg.com/media/EOgp85GWkAA-C3m.jpg" TargetMode="External"/><Relationship Id="rId824" Type="http://schemas.openxmlformats.org/officeDocument/2006/relationships/hyperlink" Target="http://www.hopeinstilled.org" TargetMode="External"/><Relationship Id="rId823" Type="http://schemas.openxmlformats.org/officeDocument/2006/relationships/hyperlink" Target="http://ow.ly/QicA30q8qRs" TargetMode="External"/><Relationship Id="rId2980" Type="http://schemas.openxmlformats.org/officeDocument/2006/relationships/hyperlink" Target="https://www.uniquelyhuman.co/founder" TargetMode="External"/><Relationship Id="rId1650" Type="http://schemas.openxmlformats.org/officeDocument/2006/relationships/hyperlink" Target="http://bingotraders.events" TargetMode="External"/><Relationship Id="rId2981" Type="http://schemas.openxmlformats.org/officeDocument/2006/relationships/hyperlink" Target="https://talesfromjaroslav.wordpress.com/2018/04/06/the-apprentices-of-kobkan-shipping-company/" TargetMode="External"/><Relationship Id="rId1651" Type="http://schemas.openxmlformats.org/officeDocument/2006/relationships/hyperlink" Target="https://www.soisfibromyalgiareal.com/i-have-fibromyalgiai-work-on-stressthe-fibromyalgia-and-stress-connection/" TargetMode="External"/><Relationship Id="rId2982" Type="http://schemas.openxmlformats.org/officeDocument/2006/relationships/hyperlink" Target="https://talesfromjaroslav.wordpress.com" TargetMode="External"/><Relationship Id="rId1652" Type="http://schemas.openxmlformats.org/officeDocument/2006/relationships/hyperlink" Target="http://www.soisfibromyalgiareal.com" TargetMode="External"/><Relationship Id="rId2983" Type="http://schemas.openxmlformats.org/officeDocument/2006/relationships/hyperlink" Target="https://video.foxbusiness.com/v/6122854036001/" TargetMode="External"/><Relationship Id="rId1642" Type="http://schemas.openxmlformats.org/officeDocument/2006/relationships/hyperlink" Target="http://drromie.com" TargetMode="External"/><Relationship Id="rId2973" Type="http://schemas.openxmlformats.org/officeDocument/2006/relationships/hyperlink" Target="http://www.worldofcamping.co.uk" TargetMode="External"/><Relationship Id="rId1643" Type="http://schemas.openxmlformats.org/officeDocument/2006/relationships/hyperlink" Target="https://pbs.twimg.com/media/EOcdyKeX0AAI3Lc.jpg" TargetMode="External"/><Relationship Id="rId2974" Type="http://schemas.openxmlformats.org/officeDocument/2006/relationships/hyperlink" Target="https://mailchi.mp/5e83efdfc0ca/venture-out-jan-16-2020" TargetMode="External"/><Relationship Id="rId1644" Type="http://schemas.openxmlformats.org/officeDocument/2006/relationships/hyperlink" Target="http://fullleafteacompany.com" TargetMode="External"/><Relationship Id="rId2975" Type="http://schemas.openxmlformats.org/officeDocument/2006/relationships/hyperlink" Target="https://www.theventureout.com" TargetMode="External"/><Relationship Id="rId1645" Type="http://schemas.openxmlformats.org/officeDocument/2006/relationships/hyperlink" Target="http://ow.ly/eReQ30q9e5x" TargetMode="External"/><Relationship Id="rId2976" Type="http://schemas.openxmlformats.org/officeDocument/2006/relationships/hyperlink" Target="http://www.madness4charity.co.uk" TargetMode="External"/><Relationship Id="rId1646" Type="http://schemas.openxmlformats.org/officeDocument/2006/relationships/hyperlink" Target="http://www.mindfulchange.com" TargetMode="External"/><Relationship Id="rId2977" Type="http://schemas.openxmlformats.org/officeDocument/2006/relationships/hyperlink" Target="https://pbs.twimg.com/media/EOVlhe3UcAEXCJH.jpg" TargetMode="External"/><Relationship Id="rId1647" Type="http://schemas.openxmlformats.org/officeDocument/2006/relationships/hyperlink" Target="https://pbs.twimg.com/media/EOcZXf8X0AUGXM9.jpg" TargetMode="External"/><Relationship Id="rId2978" Type="http://schemas.openxmlformats.org/officeDocument/2006/relationships/hyperlink" Target="http://www.emberea.com" TargetMode="External"/><Relationship Id="rId1648" Type="http://schemas.openxmlformats.org/officeDocument/2006/relationships/hyperlink" Target="https://youtu.be/0Tab2oODgDw" TargetMode="External"/><Relationship Id="rId2979" Type="http://schemas.openxmlformats.org/officeDocument/2006/relationships/hyperlink" Target="https://www.forbes.com/sites/forbescoachescouncil/2019/12/16/trying-to-do-it-all-four-steps-to-help-women-in-leadership-avoid-burnout/" TargetMode="External"/><Relationship Id="rId1649" Type="http://schemas.openxmlformats.org/officeDocument/2006/relationships/hyperlink" Target="https://pbs.twimg.com/media/EOcZWsUU0AA_iFA.jpg" TargetMode="External"/><Relationship Id="rId819" Type="http://schemas.openxmlformats.org/officeDocument/2006/relationships/hyperlink" Target="https://omensol.wordpress.com/" TargetMode="External"/><Relationship Id="rId818" Type="http://schemas.openxmlformats.org/officeDocument/2006/relationships/hyperlink" Target="https://buff.ly/35liLUf" TargetMode="External"/><Relationship Id="rId817" Type="http://schemas.openxmlformats.org/officeDocument/2006/relationships/hyperlink" Target="http://thegoodnewscafe.net" TargetMode="External"/><Relationship Id="rId816" Type="http://schemas.openxmlformats.org/officeDocument/2006/relationships/hyperlink" Target="https://pbs.twimg.com/media/EOgv8JtXkAA4mVx.png" TargetMode="External"/><Relationship Id="rId811" Type="http://schemas.openxmlformats.org/officeDocument/2006/relationships/hyperlink" Target="https://go.nature.com/2sE9b1C" TargetMode="External"/><Relationship Id="rId810" Type="http://schemas.openxmlformats.org/officeDocument/2006/relationships/hyperlink" Target="http://www.theportlandclinic.com" TargetMode="External"/><Relationship Id="rId815" Type="http://schemas.openxmlformats.org/officeDocument/2006/relationships/hyperlink" Target="https://lttr.ai/MRfF" TargetMode="External"/><Relationship Id="rId814" Type="http://schemas.openxmlformats.org/officeDocument/2006/relationships/hyperlink" Target="https://pbs.twimg.com/media/EOgQZAoX0AEeAa6.jpg" TargetMode="External"/><Relationship Id="rId813" Type="http://schemas.openxmlformats.org/officeDocument/2006/relationships/hyperlink" Target="http://www.acnp.org" TargetMode="External"/><Relationship Id="rId812" Type="http://schemas.openxmlformats.org/officeDocument/2006/relationships/hyperlink" Target="https://pbs.twimg.com/media/EOgwUGeX4AI0kg-.png" TargetMode="External"/><Relationship Id="rId2970" Type="http://schemas.openxmlformats.org/officeDocument/2006/relationships/hyperlink" Target="http://medicalmarijuana.ca" TargetMode="External"/><Relationship Id="rId1640" Type="http://schemas.openxmlformats.org/officeDocument/2006/relationships/hyperlink" Target="https://youtu.be/uRT5dMO4oFw" TargetMode="External"/><Relationship Id="rId2971" Type="http://schemas.openxmlformats.org/officeDocument/2006/relationships/hyperlink" Target="http://ow.ly/N0af50xVzJZ" TargetMode="External"/><Relationship Id="rId1641" Type="http://schemas.openxmlformats.org/officeDocument/2006/relationships/hyperlink" Target="https://pbs.twimg.com/media/EOceH0AWkAE7ews.jpg" TargetMode="External"/><Relationship Id="rId2972" Type="http://schemas.openxmlformats.org/officeDocument/2006/relationships/hyperlink" Target="http://www.medicalmarijuana.ca" TargetMode="External"/><Relationship Id="rId1675" Type="http://schemas.openxmlformats.org/officeDocument/2006/relationships/hyperlink" Target="https://bit.ly/2NwzMVs" TargetMode="External"/><Relationship Id="rId4701" Type="http://schemas.openxmlformats.org/officeDocument/2006/relationships/hyperlink" Target="http://bit.ly/2OdQyYU" TargetMode="External"/><Relationship Id="rId1676" Type="http://schemas.openxmlformats.org/officeDocument/2006/relationships/hyperlink" Target="http://robkellermd.com" TargetMode="External"/><Relationship Id="rId4700" Type="http://schemas.openxmlformats.org/officeDocument/2006/relationships/hyperlink" Target="https://linktr.ee/lachynicolson" TargetMode="External"/><Relationship Id="rId1677" Type="http://schemas.openxmlformats.org/officeDocument/2006/relationships/hyperlink" Target="http://bit.ly/33oOXoC" TargetMode="External"/><Relationship Id="rId4703" Type="http://schemas.openxmlformats.org/officeDocument/2006/relationships/hyperlink" Target="https://www.parentsinbiz.co.uk/links/" TargetMode="External"/><Relationship Id="rId1678" Type="http://schemas.openxmlformats.org/officeDocument/2006/relationships/hyperlink" Target="http://happyhands.toys" TargetMode="External"/><Relationship Id="rId4702" Type="http://schemas.openxmlformats.org/officeDocument/2006/relationships/hyperlink" Target="https://pbs.twimg.com/media/EOMXu2FW4AAG8rV.jpg" TargetMode="External"/><Relationship Id="rId1679" Type="http://schemas.openxmlformats.org/officeDocument/2006/relationships/hyperlink" Target="https://www.lifewithheidi.com/ayurveda-stress-reduction-and-more/" TargetMode="External"/><Relationship Id="rId4705" Type="http://schemas.openxmlformats.org/officeDocument/2006/relationships/hyperlink" Target="https://www.teapotmonk.com" TargetMode="External"/><Relationship Id="rId4704" Type="http://schemas.openxmlformats.org/officeDocument/2006/relationships/hyperlink" Target="https://www.teapotmonk.com/articles/can-tai-chi-help-reduce-stress" TargetMode="External"/><Relationship Id="rId4707" Type="http://schemas.openxmlformats.org/officeDocument/2006/relationships/hyperlink" Target="https://pbs.twimg.com/media/EOMUJpQX0AAgfXR.png" TargetMode="External"/><Relationship Id="rId4706" Type="http://schemas.openxmlformats.org/officeDocument/2006/relationships/hyperlink" Target="http://angeliscovich.com" TargetMode="External"/><Relationship Id="rId4709" Type="http://schemas.openxmlformats.org/officeDocument/2006/relationships/hyperlink" Target="https://lttr.ai/MITY" TargetMode="External"/><Relationship Id="rId4708" Type="http://schemas.openxmlformats.org/officeDocument/2006/relationships/hyperlink" Target="http://www.angeliscovich.com" TargetMode="External"/><Relationship Id="rId849" Type="http://schemas.openxmlformats.org/officeDocument/2006/relationships/hyperlink" Target="http://about.me/julian_hall" TargetMode="External"/><Relationship Id="rId844" Type="http://schemas.openxmlformats.org/officeDocument/2006/relationships/hyperlink" Target="http://www.gettinunbusybook.com" TargetMode="External"/><Relationship Id="rId843" Type="http://schemas.openxmlformats.org/officeDocument/2006/relationships/hyperlink" Target="https://youtu.be/Ekme_xDeRYw" TargetMode="External"/><Relationship Id="rId842" Type="http://schemas.openxmlformats.org/officeDocument/2006/relationships/hyperlink" Target="https://www.instagram.com/p/B7bwDfVhEBk/?igshid=1l90axrmqj9my" TargetMode="External"/><Relationship Id="rId841" Type="http://schemas.openxmlformats.org/officeDocument/2006/relationships/hyperlink" Target="https://pbs.twimg.com/media/EOgkqrTXkAA3SR3.jpg" TargetMode="External"/><Relationship Id="rId848" Type="http://schemas.openxmlformats.org/officeDocument/2006/relationships/hyperlink" Target="https://www.calmpeople.co.uk/guarantee/" TargetMode="External"/><Relationship Id="rId847" Type="http://schemas.openxmlformats.org/officeDocument/2006/relationships/hyperlink" Target="http://discoverlifemag.com" TargetMode="External"/><Relationship Id="rId846" Type="http://schemas.openxmlformats.org/officeDocument/2006/relationships/hyperlink" Target="https://pbs.twimg.com/media/EOgjvILW4AQ6xWc.jpg" TargetMode="External"/><Relationship Id="rId845" Type="http://schemas.openxmlformats.org/officeDocument/2006/relationships/hyperlink" Target="https://discoverlife.io/7-ways-to-be-serene/" TargetMode="External"/><Relationship Id="rId1670" Type="http://schemas.openxmlformats.org/officeDocument/2006/relationships/hyperlink" Target="https://mindfulnessmeditationinstitute.org/2012/04/18/meditation-and-the-busy-woman/" TargetMode="External"/><Relationship Id="rId840" Type="http://schemas.openxmlformats.org/officeDocument/2006/relationships/hyperlink" Target="http://bit.ly/2iMAIn" TargetMode="External"/><Relationship Id="rId1671" Type="http://schemas.openxmlformats.org/officeDocument/2006/relationships/hyperlink" Target="http://www.mindfulnessmeditationinstitute.org/" TargetMode="External"/><Relationship Id="rId1672" Type="http://schemas.openxmlformats.org/officeDocument/2006/relationships/hyperlink" Target="https://lttr.ai/MPPl" TargetMode="External"/><Relationship Id="rId1673" Type="http://schemas.openxmlformats.org/officeDocument/2006/relationships/hyperlink" Target="https://pbs.twimg.com/media/EOcNkm0WAAAraBB.jpg" TargetMode="External"/><Relationship Id="rId1674" Type="http://schemas.openxmlformats.org/officeDocument/2006/relationships/hyperlink" Target="http://www.timetamer.com.au" TargetMode="External"/><Relationship Id="rId1664" Type="http://schemas.openxmlformats.org/officeDocument/2006/relationships/hyperlink" Target="http://bit.ly/2Osu9JE" TargetMode="External"/><Relationship Id="rId2995" Type="http://schemas.openxmlformats.org/officeDocument/2006/relationships/hyperlink" Target="http://www.timemanagementninja.com" TargetMode="External"/><Relationship Id="rId1665" Type="http://schemas.openxmlformats.org/officeDocument/2006/relationships/hyperlink" Target="https://pbs.twimg.com/media/EOcQrtsX0AYOeQY.jpg" TargetMode="External"/><Relationship Id="rId2996" Type="http://schemas.openxmlformats.org/officeDocument/2006/relationships/hyperlink" Target="https://coachmikemacdonald.com/being-in-control-of-your-business-the-stressful-situations-you-can-find-yourself-in/" TargetMode="External"/><Relationship Id="rId1666" Type="http://schemas.openxmlformats.org/officeDocument/2006/relationships/hyperlink" Target="http://www.franksonnenbergonline.com" TargetMode="External"/><Relationship Id="rId2997" Type="http://schemas.openxmlformats.org/officeDocument/2006/relationships/hyperlink" Target="https://pbs.twimg.com/media/EOVil9oWAAEiUcF.jpg" TargetMode="External"/><Relationship Id="rId1667" Type="http://schemas.openxmlformats.org/officeDocument/2006/relationships/hyperlink" Target="https://happycbdstore.com/product-category/cbd-for-pets/" TargetMode="External"/><Relationship Id="rId2998" Type="http://schemas.openxmlformats.org/officeDocument/2006/relationships/hyperlink" Target="http://www.coachmikemacdonald.com/" TargetMode="External"/><Relationship Id="rId1668" Type="http://schemas.openxmlformats.org/officeDocument/2006/relationships/hyperlink" Target="https://pbs.twimg.com/media/EOcQJupU4AE-kkh.jpg" TargetMode="External"/><Relationship Id="rId2999" Type="http://schemas.openxmlformats.org/officeDocument/2006/relationships/hyperlink" Target="https://pbs.twimg.com/media/EOLs4MBWkAEWTYK.jpg" TargetMode="External"/><Relationship Id="rId1669" Type="http://schemas.openxmlformats.org/officeDocument/2006/relationships/hyperlink" Target="https://happycbdstore.com" TargetMode="External"/><Relationship Id="rId839" Type="http://schemas.openxmlformats.org/officeDocument/2006/relationships/hyperlink" Target="https://pbs.twimg.com/media/EOgk7EJWkAA_vWG.jpg" TargetMode="External"/><Relationship Id="rId838" Type="http://schemas.openxmlformats.org/officeDocument/2006/relationships/hyperlink" Target="http://www.netchex.com" TargetMode="External"/><Relationship Id="rId833" Type="http://schemas.openxmlformats.org/officeDocument/2006/relationships/hyperlink" Target="http://www.imageryandmusic.com" TargetMode="External"/><Relationship Id="rId832" Type="http://schemas.openxmlformats.org/officeDocument/2006/relationships/hyperlink" Target="https://www.psychologytoday.com/us/blog/get-out-your-mind/201911/how-get-out-your-head" TargetMode="External"/><Relationship Id="rId831" Type="http://schemas.openxmlformats.org/officeDocument/2006/relationships/hyperlink" Target="https://pbs.twimg.com/media/EOgo--EWoAUqZcZ.jpg" TargetMode="External"/><Relationship Id="rId830" Type="http://schemas.openxmlformats.org/officeDocument/2006/relationships/hyperlink" Target="https://buff.ly/2ZRvrBe" TargetMode="External"/><Relationship Id="rId837" Type="http://schemas.openxmlformats.org/officeDocument/2006/relationships/hyperlink" Target="http://bit.ly/307n7gR" TargetMode="External"/><Relationship Id="rId836" Type="http://schemas.openxmlformats.org/officeDocument/2006/relationships/hyperlink" Target="https://pbs.twimg.com/media/EOglZeTX4AA7itE.jpg" TargetMode="External"/><Relationship Id="rId835" Type="http://schemas.openxmlformats.org/officeDocument/2006/relationships/hyperlink" Target="http://cpix.me/a/90121147" TargetMode="External"/><Relationship Id="rId834" Type="http://schemas.openxmlformats.org/officeDocument/2006/relationships/hyperlink" Target="https://www.youtube.com/watch?v=VoswHl2Hx8M" TargetMode="External"/><Relationship Id="rId2990" Type="http://schemas.openxmlformats.org/officeDocument/2006/relationships/hyperlink" Target="http://www.mindfulnessmeditationinstitute.org/" TargetMode="External"/><Relationship Id="rId1660" Type="http://schemas.openxmlformats.org/officeDocument/2006/relationships/hyperlink" Target="http://legalherbalshop.com" TargetMode="External"/><Relationship Id="rId2991" Type="http://schemas.openxmlformats.org/officeDocument/2006/relationships/hyperlink" Target="https://buff.ly/36WzPBC" TargetMode="External"/><Relationship Id="rId1661" Type="http://schemas.openxmlformats.org/officeDocument/2006/relationships/hyperlink" Target="https://www.legalherbalshop.com/product/cbd-hemp-legal-bud-sweet-dreamz/" TargetMode="External"/><Relationship Id="rId2992" Type="http://schemas.openxmlformats.org/officeDocument/2006/relationships/hyperlink" Target="http://www.bambooauctions.com" TargetMode="External"/><Relationship Id="rId1662" Type="http://schemas.openxmlformats.org/officeDocument/2006/relationships/hyperlink" Target="https://pbs.twimg.com/media/EOcRB5gXsAIEGpf.jpg" TargetMode="External"/><Relationship Id="rId2993" Type="http://schemas.openxmlformats.org/officeDocument/2006/relationships/hyperlink" Target="https://amzn.to/30OzTA5" TargetMode="External"/><Relationship Id="rId1663" Type="http://schemas.openxmlformats.org/officeDocument/2006/relationships/hyperlink" Target="https://www.legalherbalshop.com" TargetMode="External"/><Relationship Id="rId2994" Type="http://schemas.openxmlformats.org/officeDocument/2006/relationships/hyperlink" Target="https://pbs.twimg.com/media/EOViw1uXkAIInSF.jpg" TargetMode="External"/><Relationship Id="rId2148" Type="http://schemas.openxmlformats.org/officeDocument/2006/relationships/hyperlink" Target="http://www.michellekaderlywelsh.com" TargetMode="External"/><Relationship Id="rId2149" Type="http://schemas.openxmlformats.org/officeDocument/2006/relationships/hyperlink" Target="https://amzn.to/30OzTA5" TargetMode="External"/><Relationship Id="rId3479" Type="http://schemas.openxmlformats.org/officeDocument/2006/relationships/hyperlink" Target="https://www.paysalia.com/fr/cdj/presentation" TargetMode="External"/><Relationship Id="rId3470" Type="http://schemas.openxmlformats.org/officeDocument/2006/relationships/hyperlink" Target="https://pbs.twimg.com/media/EOTgkpyXkAAtJpg.jpg" TargetMode="External"/><Relationship Id="rId2140" Type="http://schemas.openxmlformats.org/officeDocument/2006/relationships/hyperlink" Target="https://isha.sadhguru.org/us/en/wisdom/article/overcoming-social-anxiety" TargetMode="External"/><Relationship Id="rId3472" Type="http://schemas.openxmlformats.org/officeDocument/2006/relationships/hyperlink" Target="https://www.greenstargrowing.com/" TargetMode="External"/><Relationship Id="rId2141" Type="http://schemas.openxmlformats.org/officeDocument/2006/relationships/hyperlink" Target="https://pbs.twimg.com/media/EOaYCkYXsAE7klv.jpg" TargetMode="External"/><Relationship Id="rId3471" Type="http://schemas.openxmlformats.org/officeDocument/2006/relationships/hyperlink" Target="https://pbs.twimg.com/media/EOTgYkJVAAAEwmo.jpg" TargetMode="External"/><Relationship Id="rId2142" Type="http://schemas.openxmlformats.org/officeDocument/2006/relationships/hyperlink" Target="http://squishsupport.com" TargetMode="External"/><Relationship Id="rId3474" Type="http://schemas.openxmlformats.org/officeDocument/2006/relationships/hyperlink" Target="https://www.linkedin.com/pub/albert-fong/1/8a2/a25" TargetMode="External"/><Relationship Id="rId2143" Type="http://schemas.openxmlformats.org/officeDocument/2006/relationships/hyperlink" Target="https://pbs.twimg.com/media/EOUR4qYXUAADaTv.jpg" TargetMode="External"/><Relationship Id="rId3473" Type="http://schemas.openxmlformats.org/officeDocument/2006/relationships/hyperlink" Target="https://www.cnn.com/travel/article/why-michelin-chefs-return-stars/index.html" TargetMode="External"/><Relationship Id="rId2144" Type="http://schemas.openxmlformats.org/officeDocument/2006/relationships/hyperlink" Target="https://pbs.twimg.com/media/EOaXbdNXsAItGgM.jpg" TargetMode="External"/><Relationship Id="rId3476" Type="http://schemas.openxmlformats.org/officeDocument/2006/relationships/hyperlink" Target="https://worksmartlivesmart.com" TargetMode="External"/><Relationship Id="rId2145" Type="http://schemas.openxmlformats.org/officeDocument/2006/relationships/hyperlink" Target="https://pbs.twimg.com/media/EOaXOkTWAAUxHc-.jpg" TargetMode="External"/><Relationship Id="rId3475" Type="http://schemas.openxmlformats.org/officeDocument/2006/relationships/hyperlink" Target="https://www.podbean.com/eau/pb-iccyf-cc5808" TargetMode="External"/><Relationship Id="rId2146" Type="http://schemas.openxmlformats.org/officeDocument/2006/relationships/hyperlink" Target="https://pbs.twimg.com/media/EN7obE1XsAAQ16C.jpg" TargetMode="External"/><Relationship Id="rId3478" Type="http://schemas.openxmlformats.org/officeDocument/2006/relationships/hyperlink" Target="https://pbs.twimg.com/media/EOTc_oAWAAAPEFb.jpg" TargetMode="External"/><Relationship Id="rId2147" Type="http://schemas.openxmlformats.org/officeDocument/2006/relationships/hyperlink" Target="https://www.michellekaderlywelsh.com/its-okay-to-say-no/" TargetMode="External"/><Relationship Id="rId3477" Type="http://schemas.openxmlformats.org/officeDocument/2006/relationships/hyperlink" Target="http://ow.ly/r7ZN50xDlFv" TargetMode="External"/><Relationship Id="rId2137" Type="http://schemas.openxmlformats.org/officeDocument/2006/relationships/hyperlink" Target="https://farmingselfie.com/cope-up-with-anxiety/" TargetMode="External"/><Relationship Id="rId3469" Type="http://schemas.openxmlformats.org/officeDocument/2006/relationships/hyperlink" Target="http://hlty.us/7LYQ" TargetMode="External"/><Relationship Id="rId2138" Type="http://schemas.openxmlformats.org/officeDocument/2006/relationships/hyperlink" Target="https://pbs.twimg.com/media/EOaZPVfXsAYnzCg.jpg" TargetMode="External"/><Relationship Id="rId3468" Type="http://schemas.openxmlformats.org/officeDocument/2006/relationships/hyperlink" Target="http://www.canaxen.com" TargetMode="External"/><Relationship Id="rId4799" Type="http://schemas.openxmlformats.org/officeDocument/2006/relationships/hyperlink" Target="http://www.happyconfidentkids.org.uk" TargetMode="External"/><Relationship Id="rId2139" Type="http://schemas.openxmlformats.org/officeDocument/2006/relationships/hyperlink" Target="http://farmingselfie.com/" TargetMode="External"/><Relationship Id="rId4790" Type="http://schemas.openxmlformats.org/officeDocument/2006/relationships/hyperlink" Target="http://bit.ly/2B3yfAA" TargetMode="External"/><Relationship Id="rId3461" Type="http://schemas.openxmlformats.org/officeDocument/2006/relationships/hyperlink" Target="https://pbs.twimg.com/media/EOTmCHrWoAU1do7.png" TargetMode="External"/><Relationship Id="rId4792" Type="http://schemas.openxmlformats.org/officeDocument/2006/relationships/hyperlink" Target="http://www.anappleaday.org.uk" TargetMode="External"/><Relationship Id="rId2130" Type="http://schemas.openxmlformats.org/officeDocument/2006/relationships/hyperlink" Target="https://pbs.twimg.com/media/EOacRtgWAAAkBRw.png" TargetMode="External"/><Relationship Id="rId3460" Type="http://schemas.openxmlformats.org/officeDocument/2006/relationships/hyperlink" Target="http://www.peppermint.works" TargetMode="External"/><Relationship Id="rId4791" Type="http://schemas.openxmlformats.org/officeDocument/2006/relationships/hyperlink" Target="https://pbs.twimg.com/media/EOL8NgEUcAEWT1l.jpg" TargetMode="External"/><Relationship Id="rId2131" Type="http://schemas.openxmlformats.org/officeDocument/2006/relationships/hyperlink" Target="http://linktr.ee/steamhouseuk" TargetMode="External"/><Relationship Id="rId3463" Type="http://schemas.openxmlformats.org/officeDocument/2006/relationships/hyperlink" Target="https://www.bbc.co.uk/news/health-51093999" TargetMode="External"/><Relationship Id="rId4794" Type="http://schemas.openxmlformats.org/officeDocument/2006/relationships/hyperlink" Target="https://pbs.twimg.com/media/EOL7E8JXsAAH88E.jpg" TargetMode="External"/><Relationship Id="rId2132" Type="http://schemas.openxmlformats.org/officeDocument/2006/relationships/hyperlink" Target="https://reachoutrecovery.com/patience-stress-management-strategies/" TargetMode="External"/><Relationship Id="rId3462" Type="http://schemas.openxmlformats.org/officeDocument/2006/relationships/hyperlink" Target="http://www.redway-hr.co.uk" TargetMode="External"/><Relationship Id="rId4793" Type="http://schemas.openxmlformats.org/officeDocument/2006/relationships/hyperlink" Target="https://buff.ly/2FIp9KN" TargetMode="External"/><Relationship Id="rId2133" Type="http://schemas.openxmlformats.org/officeDocument/2006/relationships/hyperlink" Target="https://reachoutrecovery.com/" TargetMode="External"/><Relationship Id="rId3465" Type="http://schemas.openxmlformats.org/officeDocument/2006/relationships/hyperlink" Target="http://ow.ly/HsU630pOCIG" TargetMode="External"/><Relationship Id="rId4796" Type="http://schemas.openxmlformats.org/officeDocument/2006/relationships/hyperlink" Target="https://www.facebook.com/groups/2058266190923078/" TargetMode="External"/><Relationship Id="rId2134" Type="http://schemas.openxmlformats.org/officeDocument/2006/relationships/hyperlink" Target="https://meditateinbirmingham.org/events/reducing-overthinking-and-worry-3/" TargetMode="External"/><Relationship Id="rId3464" Type="http://schemas.openxmlformats.org/officeDocument/2006/relationships/hyperlink" Target="http://www.kellyhainsworth.com" TargetMode="External"/><Relationship Id="rId4795" Type="http://schemas.openxmlformats.org/officeDocument/2006/relationships/hyperlink" Target="https://twitter.com/TheBHF/status/1216755679723249664" TargetMode="External"/><Relationship Id="rId2135" Type="http://schemas.openxmlformats.org/officeDocument/2006/relationships/hyperlink" Target="https://pbs.twimg.com/media/EOaay3dW4AEdoC_.jpg" TargetMode="External"/><Relationship Id="rId3467" Type="http://schemas.openxmlformats.org/officeDocument/2006/relationships/hyperlink" Target="https://www.sleeprenewal.co.za" TargetMode="External"/><Relationship Id="rId4798" Type="http://schemas.openxmlformats.org/officeDocument/2006/relationships/hyperlink" Target="https://pbs.twimg.com/media/EOL6h6jWkAEY4vu.jpg" TargetMode="External"/><Relationship Id="rId2136" Type="http://schemas.openxmlformats.org/officeDocument/2006/relationships/hyperlink" Target="http://meditateinbirmingham.org" TargetMode="External"/><Relationship Id="rId3466" Type="http://schemas.openxmlformats.org/officeDocument/2006/relationships/hyperlink" Target="https://pbs.twimg.com/media/EOTjxeqXsAAgh9P.jpg" TargetMode="External"/><Relationship Id="rId4797" Type="http://schemas.openxmlformats.org/officeDocument/2006/relationships/hyperlink" Target="https://youtu.be/WvvL3dMG580" TargetMode="External"/><Relationship Id="rId3490" Type="http://schemas.openxmlformats.org/officeDocument/2006/relationships/hyperlink" Target="https://www.linkedin.com/pub/albert-fong/1/8a2/a25" TargetMode="External"/><Relationship Id="rId2160" Type="http://schemas.openxmlformats.org/officeDocument/2006/relationships/hyperlink" Target="https://pbs.twimg.com/media/EOaUki9X4AANTG1.jpg" TargetMode="External"/><Relationship Id="rId3492" Type="http://schemas.openxmlformats.org/officeDocument/2006/relationships/hyperlink" Target="http://pic.twitter.com/F6XfxsPdfk" TargetMode="External"/><Relationship Id="rId2161" Type="http://schemas.openxmlformats.org/officeDocument/2006/relationships/hyperlink" Target="http://www.tempogroup.org" TargetMode="External"/><Relationship Id="rId3491" Type="http://schemas.openxmlformats.org/officeDocument/2006/relationships/hyperlink" Target="http://bit.ly/2oAbfFq" TargetMode="External"/><Relationship Id="rId2162" Type="http://schemas.openxmlformats.org/officeDocument/2006/relationships/hyperlink" Target="http://dld.bz/h5uVb" TargetMode="External"/><Relationship Id="rId3494" Type="http://schemas.openxmlformats.org/officeDocument/2006/relationships/hyperlink" Target="https://smallfirmforum.com" TargetMode="External"/><Relationship Id="rId2163" Type="http://schemas.openxmlformats.org/officeDocument/2006/relationships/hyperlink" Target="https://drmiriamkin.contently.com/" TargetMode="External"/><Relationship Id="rId3493" Type="http://schemas.openxmlformats.org/officeDocument/2006/relationships/hyperlink" Target="http://bit.ly/2nbF26J" TargetMode="External"/><Relationship Id="rId2164" Type="http://schemas.openxmlformats.org/officeDocument/2006/relationships/hyperlink" Target="https://pbs.twimg.com/media/EOZadFEWAAAfvDH.jpg" TargetMode="External"/><Relationship Id="rId3496" Type="http://schemas.openxmlformats.org/officeDocument/2006/relationships/hyperlink" Target="https://askdrganz.com/blogs/in-the-media/overcoming-anxiety-and-stress" TargetMode="External"/><Relationship Id="rId2165" Type="http://schemas.openxmlformats.org/officeDocument/2006/relationships/hyperlink" Target="http://www.wehearyou.co.za/" TargetMode="External"/><Relationship Id="rId3495" Type="http://schemas.openxmlformats.org/officeDocument/2006/relationships/hyperlink" Target="http://askdrganz.com" TargetMode="External"/><Relationship Id="rId2166" Type="http://schemas.openxmlformats.org/officeDocument/2006/relationships/hyperlink" Target="http://bit.ly/2Qg6evK" TargetMode="External"/><Relationship Id="rId3498" Type="http://schemas.openxmlformats.org/officeDocument/2006/relationships/hyperlink" Target="https://askdrganz.com" TargetMode="External"/><Relationship Id="rId2167" Type="http://schemas.openxmlformats.org/officeDocument/2006/relationships/hyperlink" Target="https://pbs.twimg.com/media/EOaTT-LWsAAqull.jpg" TargetMode="External"/><Relationship Id="rId3497" Type="http://schemas.openxmlformats.org/officeDocument/2006/relationships/hyperlink" Target="https://pbs.twimg.com/media/EOTV_3wX4AA7u59.png" TargetMode="External"/><Relationship Id="rId2168" Type="http://schemas.openxmlformats.org/officeDocument/2006/relationships/hyperlink" Target="http://wedidyoucan.com" TargetMode="External"/><Relationship Id="rId2169" Type="http://schemas.openxmlformats.org/officeDocument/2006/relationships/hyperlink" Target="http://bit.ly/2Qg6evK" TargetMode="External"/><Relationship Id="rId3499" Type="http://schemas.openxmlformats.org/officeDocument/2006/relationships/hyperlink" Target="https://www.lindasage.com/book-a-call/" TargetMode="External"/><Relationship Id="rId2159" Type="http://schemas.openxmlformats.org/officeDocument/2006/relationships/hyperlink" Target="http://ow.ly/XnVk50xVCut" TargetMode="External"/><Relationship Id="rId3481" Type="http://schemas.openxmlformats.org/officeDocument/2006/relationships/hyperlink" Target="http://www.vizworld.com" TargetMode="External"/><Relationship Id="rId2150" Type="http://schemas.openxmlformats.org/officeDocument/2006/relationships/hyperlink" Target="https://pbs.twimg.com/media/EOaVe_gWoAAKwx5.jpg" TargetMode="External"/><Relationship Id="rId3480" Type="http://schemas.openxmlformats.org/officeDocument/2006/relationships/hyperlink" Target="https://inservice.ascd.org/three-teaching-mindsets-to-let-go-of-in-2020/" TargetMode="External"/><Relationship Id="rId2151" Type="http://schemas.openxmlformats.org/officeDocument/2006/relationships/hyperlink" Target="http://www.timemanagementninja.com" TargetMode="External"/><Relationship Id="rId3483" Type="http://schemas.openxmlformats.org/officeDocument/2006/relationships/hyperlink" Target="http://steadycaremedical.com/" TargetMode="External"/><Relationship Id="rId2152" Type="http://schemas.openxmlformats.org/officeDocument/2006/relationships/hyperlink" Target="http://ow.ly/ZJID30q9ubF" TargetMode="External"/><Relationship Id="rId3482" Type="http://schemas.openxmlformats.org/officeDocument/2006/relationships/hyperlink" Target="https://tinyurl.com/up6j7f8" TargetMode="External"/><Relationship Id="rId2153" Type="http://schemas.openxmlformats.org/officeDocument/2006/relationships/hyperlink" Target="http://www.achievebeyondusa.com" TargetMode="External"/><Relationship Id="rId3485" Type="http://schemas.openxmlformats.org/officeDocument/2006/relationships/hyperlink" Target="http://pic.twitter.com/47yuHQhkSd" TargetMode="External"/><Relationship Id="rId2154" Type="http://schemas.openxmlformats.org/officeDocument/2006/relationships/hyperlink" Target="https://youtu.be/-blKmvE6OVw" TargetMode="External"/><Relationship Id="rId3484" Type="http://schemas.openxmlformats.org/officeDocument/2006/relationships/hyperlink" Target="http://www.capetownbookings.co.za" TargetMode="External"/><Relationship Id="rId2155" Type="http://schemas.openxmlformats.org/officeDocument/2006/relationships/hyperlink" Target="http://www.gettinunbusybook.com" TargetMode="External"/><Relationship Id="rId3487" Type="http://schemas.openxmlformats.org/officeDocument/2006/relationships/hyperlink" Target="https://pbs.twimg.com/media/EOTZ1RvU4AMnhiQ.jpg" TargetMode="External"/><Relationship Id="rId2156" Type="http://schemas.openxmlformats.org/officeDocument/2006/relationships/hyperlink" Target="http://pic.twitter.com/XJC340gw83" TargetMode="External"/><Relationship Id="rId3486" Type="http://schemas.openxmlformats.org/officeDocument/2006/relationships/hyperlink" Target="https://www.instagram.com/spna.yg.instrctr/" TargetMode="External"/><Relationship Id="rId2157" Type="http://schemas.openxmlformats.org/officeDocument/2006/relationships/hyperlink" Target="http://ow.ly/MnFo30q9TBb" TargetMode="External"/><Relationship Id="rId3489" Type="http://schemas.openxmlformats.org/officeDocument/2006/relationships/hyperlink" Target="https://on.mktw.net/3aasT5R" TargetMode="External"/><Relationship Id="rId2158" Type="http://schemas.openxmlformats.org/officeDocument/2006/relationships/hyperlink" Target="https://pbs.twimg.com/media/EOaUoMmXsAEgGxn.jpg" TargetMode="External"/><Relationship Id="rId3488" Type="http://schemas.openxmlformats.org/officeDocument/2006/relationships/hyperlink" Target="http://talkaboutfailures.com" TargetMode="External"/><Relationship Id="rId2104" Type="http://schemas.openxmlformats.org/officeDocument/2006/relationships/hyperlink" Target="https://cbttherapymanchester.co.uk/" TargetMode="External"/><Relationship Id="rId3436" Type="http://schemas.openxmlformats.org/officeDocument/2006/relationships/hyperlink" Target="https://buff.ly/2YpKQdI" TargetMode="External"/><Relationship Id="rId4767" Type="http://schemas.openxmlformats.org/officeDocument/2006/relationships/hyperlink" Target="https://pbs.twimg.com/media/EOL_bXjXkAIYutE.jpg" TargetMode="External"/><Relationship Id="rId2105" Type="http://schemas.openxmlformats.org/officeDocument/2006/relationships/hyperlink" Target="https://psychcentral.com/news/2020/01/15/does-it-matter-what-we-eat-for-our-mental-health/153072.html" TargetMode="External"/><Relationship Id="rId3435" Type="http://schemas.openxmlformats.org/officeDocument/2006/relationships/hyperlink" Target="https://jmkthought.blogspot.com/" TargetMode="External"/><Relationship Id="rId4766" Type="http://schemas.openxmlformats.org/officeDocument/2006/relationships/hyperlink" Target="http://www.serenity-hypnotherapy.co.uk" TargetMode="External"/><Relationship Id="rId2106" Type="http://schemas.openxmlformats.org/officeDocument/2006/relationships/hyperlink" Target="http://trystressmanagement.com" TargetMode="External"/><Relationship Id="rId3438" Type="http://schemas.openxmlformats.org/officeDocument/2006/relationships/hyperlink" Target="https://holistic-alternatives.us/what-we-treat/insomnia/" TargetMode="External"/><Relationship Id="rId4769" Type="http://schemas.openxmlformats.org/officeDocument/2006/relationships/hyperlink" Target="http://bit.ly/2tO7K0w" TargetMode="External"/><Relationship Id="rId2107" Type="http://schemas.openxmlformats.org/officeDocument/2006/relationships/hyperlink" Target="https://pbs.twimg.com/media/EOahmUKX0AEzUuQ.jpg" TargetMode="External"/><Relationship Id="rId3437" Type="http://schemas.openxmlformats.org/officeDocument/2006/relationships/hyperlink" Target="https://pbs.twimg.com/media/EOP8y2pWkAEAWuv.jpg" TargetMode="External"/><Relationship Id="rId4768" Type="http://schemas.openxmlformats.org/officeDocument/2006/relationships/hyperlink" Target="http://www.serenity-hypnotherapy.co.uk" TargetMode="External"/><Relationship Id="rId2108" Type="http://schemas.openxmlformats.org/officeDocument/2006/relationships/hyperlink" Target="https://debigoldben.com/" TargetMode="External"/><Relationship Id="rId2109" Type="http://schemas.openxmlformats.org/officeDocument/2006/relationships/hyperlink" Target="https://www.wealthprofessional.ca/news/industry-news/canadians-lose-two-hours-daily-to-financial-worries/324941" TargetMode="External"/><Relationship Id="rId3439" Type="http://schemas.openxmlformats.org/officeDocument/2006/relationships/hyperlink" Target="https://pbs.twimg.com/media/EOTuDl0WsAEpgB9.jpg" TargetMode="External"/><Relationship Id="rId3430" Type="http://schemas.openxmlformats.org/officeDocument/2006/relationships/hyperlink" Target="http://m.imdb.com/name/nm4874657/" TargetMode="External"/><Relationship Id="rId4761" Type="http://schemas.openxmlformats.org/officeDocument/2006/relationships/hyperlink" Target="https://pbs.twimg.com/media/EOMAB-wUcAAnmkH.jpg" TargetMode="External"/><Relationship Id="rId4760" Type="http://schemas.openxmlformats.org/officeDocument/2006/relationships/hyperlink" Target="http://ownyourdestinycoaching.com" TargetMode="External"/><Relationship Id="rId2100" Type="http://schemas.openxmlformats.org/officeDocument/2006/relationships/hyperlink" Target="http://www.remarkableresilience.blog" TargetMode="External"/><Relationship Id="rId3432" Type="http://schemas.openxmlformats.org/officeDocument/2006/relationships/hyperlink" Target="http://www.ibdrelief.com" TargetMode="External"/><Relationship Id="rId4763" Type="http://schemas.openxmlformats.org/officeDocument/2006/relationships/hyperlink" Target="http://starteamusa.net" TargetMode="External"/><Relationship Id="rId2101" Type="http://schemas.openxmlformats.org/officeDocument/2006/relationships/hyperlink" Target="https://ivypanda.com/blog/stress-management-youre-doing-it-wrong-and-heres-why/" TargetMode="External"/><Relationship Id="rId3431" Type="http://schemas.openxmlformats.org/officeDocument/2006/relationships/hyperlink" Target="https://pbs.twimg.com/media/EOTxgwgWoAAPwbq.jpg" TargetMode="External"/><Relationship Id="rId4762" Type="http://schemas.openxmlformats.org/officeDocument/2006/relationships/hyperlink" Target="http://www.melottimedia.com.au" TargetMode="External"/><Relationship Id="rId2102" Type="http://schemas.openxmlformats.org/officeDocument/2006/relationships/hyperlink" Target="http://about.me/irenefenswick" TargetMode="External"/><Relationship Id="rId3434" Type="http://schemas.openxmlformats.org/officeDocument/2006/relationships/hyperlink" Target="https://pbs.twimg.com/media/EOTw_OzX4AcZnw9.png" TargetMode="External"/><Relationship Id="rId4765" Type="http://schemas.openxmlformats.org/officeDocument/2006/relationships/hyperlink" Target="http://www.healthtalktoday.net" TargetMode="External"/><Relationship Id="rId2103" Type="http://schemas.openxmlformats.org/officeDocument/2006/relationships/hyperlink" Target="https://pbs.twimg.com/media/EOaiFs7UYAQ_YnI.jpg" TargetMode="External"/><Relationship Id="rId3433" Type="http://schemas.openxmlformats.org/officeDocument/2006/relationships/hyperlink" Target="https://lttr.ai/MLVv" TargetMode="External"/><Relationship Id="rId4764" Type="http://schemas.openxmlformats.org/officeDocument/2006/relationships/hyperlink" Target="https://pbs.twimg.com/media/EOL_svXWkAAC7-g.jpg" TargetMode="External"/><Relationship Id="rId3425" Type="http://schemas.openxmlformats.org/officeDocument/2006/relationships/hyperlink" Target="http://ashishbedekar.brandyourself.com/" TargetMode="External"/><Relationship Id="rId4756" Type="http://schemas.openxmlformats.org/officeDocument/2006/relationships/hyperlink" Target="https://pbs.twimg.com/media/EOMByoRWsAAgpoK.jpg" TargetMode="External"/><Relationship Id="rId3424" Type="http://schemas.openxmlformats.org/officeDocument/2006/relationships/hyperlink" Target="https://www.maxkirsten.com" TargetMode="External"/><Relationship Id="rId4755" Type="http://schemas.openxmlformats.org/officeDocument/2006/relationships/hyperlink" Target="https://www.happyconfidentkids.org.uk/top-tips" TargetMode="External"/><Relationship Id="rId3427" Type="http://schemas.openxmlformats.org/officeDocument/2006/relationships/hyperlink" Target="https://pbs.twimg.com/media/EOTyT9RXUAAEmHB.jpg" TargetMode="External"/><Relationship Id="rId4758" Type="http://schemas.openxmlformats.org/officeDocument/2006/relationships/hyperlink" Target="https://bit.ly/36WFSq0" TargetMode="External"/><Relationship Id="rId3426" Type="http://schemas.openxmlformats.org/officeDocument/2006/relationships/hyperlink" Target="https://lttr.ai/MLXB" TargetMode="External"/><Relationship Id="rId4757" Type="http://schemas.openxmlformats.org/officeDocument/2006/relationships/hyperlink" Target="http://www.happyconfidentkids.org.uk" TargetMode="External"/><Relationship Id="rId3429" Type="http://schemas.openxmlformats.org/officeDocument/2006/relationships/hyperlink" Target="https://pbs.twimg.com/media/EOTxg3pVAAAxckt.jpg" TargetMode="External"/><Relationship Id="rId3428" Type="http://schemas.openxmlformats.org/officeDocument/2006/relationships/hyperlink" Target="http://normaesler.com" TargetMode="External"/><Relationship Id="rId4759" Type="http://schemas.openxmlformats.org/officeDocument/2006/relationships/hyperlink" Target="https://pbs.twimg.com/media/EOMBYHLX4AA5-rh.jpg" TargetMode="External"/><Relationship Id="rId899" Type="http://schemas.openxmlformats.org/officeDocument/2006/relationships/hyperlink" Target="http://zzedibles.com" TargetMode="External"/><Relationship Id="rId898" Type="http://schemas.openxmlformats.org/officeDocument/2006/relationships/hyperlink" Target="http://navstress.wordpress.com" TargetMode="External"/><Relationship Id="rId897" Type="http://schemas.openxmlformats.org/officeDocument/2006/relationships/hyperlink" Target="https://pbs.twimg.com/media/EOgY9lGXkAEGJW7.png" TargetMode="External"/><Relationship Id="rId896" Type="http://schemas.openxmlformats.org/officeDocument/2006/relationships/hyperlink" Target="https://groomandstyle.com" TargetMode="External"/><Relationship Id="rId891" Type="http://schemas.openxmlformats.org/officeDocument/2006/relationships/hyperlink" Target="https://dlghtfl.co/2R3gPMl" TargetMode="External"/><Relationship Id="rId890" Type="http://schemas.openxmlformats.org/officeDocument/2006/relationships/hyperlink" Target="http://theconversation.com/why-bosses-should-let-employees-surf-the-web-at-work-128444?utm_source=twitter&amp;utm_medium=twitterbutton" TargetMode="External"/><Relationship Id="rId4750" Type="http://schemas.openxmlformats.org/officeDocument/2006/relationships/hyperlink" Target="https://www.puregreenexpress.ca/strawberry-cough.html" TargetMode="External"/><Relationship Id="rId895" Type="http://schemas.openxmlformats.org/officeDocument/2006/relationships/hyperlink" Target="https://pbs.twimg.com/media/EOgZU79WAAISibp.jpg" TargetMode="External"/><Relationship Id="rId3421" Type="http://schemas.openxmlformats.org/officeDocument/2006/relationships/hyperlink" Target="http://www.thetimefairy.co.uk/bookings" TargetMode="External"/><Relationship Id="rId4752" Type="http://schemas.openxmlformats.org/officeDocument/2006/relationships/hyperlink" Target="https://hubs.ly/H0myxSx0" TargetMode="External"/><Relationship Id="rId894" Type="http://schemas.openxmlformats.org/officeDocument/2006/relationships/hyperlink" Target="https://www.z-physique.com/cant-meditate-9-ways-break-free-stress/" TargetMode="External"/><Relationship Id="rId3420" Type="http://schemas.openxmlformats.org/officeDocument/2006/relationships/hyperlink" Target="https://pbs.twimg.com/media/EOT1lo1WsAAC7n4.jpg" TargetMode="External"/><Relationship Id="rId4751" Type="http://schemas.openxmlformats.org/officeDocument/2006/relationships/hyperlink" Target="https://www.puregreenexpress.ca" TargetMode="External"/><Relationship Id="rId893" Type="http://schemas.openxmlformats.org/officeDocument/2006/relationships/hyperlink" Target="http://www.delightfulcommunications.com" TargetMode="External"/><Relationship Id="rId3423" Type="http://schemas.openxmlformats.org/officeDocument/2006/relationships/hyperlink" Target="http://jaynelinney.wordpress.com" TargetMode="External"/><Relationship Id="rId4754" Type="http://schemas.openxmlformats.org/officeDocument/2006/relationships/hyperlink" Target="http://businessjournaldaily.com" TargetMode="External"/><Relationship Id="rId892" Type="http://schemas.openxmlformats.org/officeDocument/2006/relationships/hyperlink" Target="https://pbs.twimg.com/media/EOgZWoqX4AA2xZT.jpg" TargetMode="External"/><Relationship Id="rId3422" Type="http://schemas.openxmlformats.org/officeDocument/2006/relationships/hyperlink" Target="https://www.theguardian.com/society/2020/jan/15/private-renting-making-millions-sick-england-poll?CMP=share_btn_tw" TargetMode="External"/><Relationship Id="rId4753" Type="http://schemas.openxmlformats.org/officeDocument/2006/relationships/hyperlink" Target="https://pbs.twimg.com/media/EOMB7sfXsAMctjC.jpg" TargetMode="External"/><Relationship Id="rId2126" Type="http://schemas.openxmlformats.org/officeDocument/2006/relationships/hyperlink" Target="http://www.stratechscientific.com.au" TargetMode="External"/><Relationship Id="rId3458" Type="http://schemas.openxmlformats.org/officeDocument/2006/relationships/hyperlink" Target="https://pbs.twimg.com/media/EOTnqFHWsAEzbZN.jpg" TargetMode="External"/><Relationship Id="rId4789" Type="http://schemas.openxmlformats.org/officeDocument/2006/relationships/hyperlink" Target="http://www.moderntherapy.online" TargetMode="External"/><Relationship Id="rId2127" Type="http://schemas.openxmlformats.org/officeDocument/2006/relationships/hyperlink" Target="http://www.sweetvirtues.com" TargetMode="External"/><Relationship Id="rId3457" Type="http://schemas.openxmlformats.org/officeDocument/2006/relationships/hyperlink" Target="http://bit.ly/30mbpio" TargetMode="External"/><Relationship Id="rId4788" Type="http://schemas.openxmlformats.org/officeDocument/2006/relationships/hyperlink" Target="http://www.simplyhealthclinic.co.uk" TargetMode="External"/><Relationship Id="rId2128" Type="http://schemas.openxmlformats.org/officeDocument/2006/relationships/hyperlink" Target="https://www.theguardian.com/lifeandstyle/shortcuts/2020/jan/14/are-you-really-at-your-most-miserable-at-47-years-old" TargetMode="External"/><Relationship Id="rId2129" Type="http://schemas.openxmlformats.org/officeDocument/2006/relationships/hyperlink" Target="http://ow.ly/3mTe50xXa77" TargetMode="External"/><Relationship Id="rId3459" Type="http://schemas.openxmlformats.org/officeDocument/2006/relationships/hyperlink" Target="http://bloodfurycomic.tumblr.com" TargetMode="External"/><Relationship Id="rId3450" Type="http://schemas.openxmlformats.org/officeDocument/2006/relationships/hyperlink" Target="https://qoo.ly/33utwd" TargetMode="External"/><Relationship Id="rId4781" Type="http://schemas.openxmlformats.org/officeDocument/2006/relationships/hyperlink" Target="http://thegutstuff.com" TargetMode="External"/><Relationship Id="rId4780" Type="http://schemas.openxmlformats.org/officeDocument/2006/relationships/hyperlink" Target="https://pbs.twimg.com/media/EOL9ZrSX4AEMIMI.jpg" TargetMode="External"/><Relationship Id="rId2120" Type="http://schemas.openxmlformats.org/officeDocument/2006/relationships/hyperlink" Target="http://pic.twitter.com/0MPfI8gh0z" TargetMode="External"/><Relationship Id="rId3452" Type="http://schemas.openxmlformats.org/officeDocument/2006/relationships/hyperlink" Target="http://pic.twitter.com/V5xM9RchDr" TargetMode="External"/><Relationship Id="rId4783" Type="http://schemas.openxmlformats.org/officeDocument/2006/relationships/hyperlink" Target="http://theartistsmassage.com" TargetMode="External"/><Relationship Id="rId2121" Type="http://schemas.openxmlformats.org/officeDocument/2006/relationships/hyperlink" Target="http://emersenlee.wordpress.com" TargetMode="External"/><Relationship Id="rId3451" Type="http://schemas.openxmlformats.org/officeDocument/2006/relationships/hyperlink" Target="http://www.thebraincollective.c.uk" TargetMode="External"/><Relationship Id="rId4782" Type="http://schemas.openxmlformats.org/officeDocument/2006/relationships/hyperlink" Target="https://pbs.twimg.com/media/EOL9YxDWoAAx4nq.jpg" TargetMode="External"/><Relationship Id="rId2122" Type="http://schemas.openxmlformats.org/officeDocument/2006/relationships/hyperlink" Target="https://theatreandmusic.uic.edu/newsdetails/130/123" TargetMode="External"/><Relationship Id="rId3454" Type="http://schemas.openxmlformats.org/officeDocument/2006/relationships/hyperlink" Target="https://twitter.com/dr_samirparikh/status/1215484620541698048" TargetMode="External"/><Relationship Id="rId4785" Type="http://schemas.openxmlformats.org/officeDocument/2006/relationships/hyperlink" Target="http://theartistsmassage.com" TargetMode="External"/><Relationship Id="rId2123" Type="http://schemas.openxmlformats.org/officeDocument/2006/relationships/hyperlink" Target="http://www.mhsschoir.weebly.com" TargetMode="External"/><Relationship Id="rId3453" Type="http://schemas.openxmlformats.org/officeDocument/2006/relationships/hyperlink" Target="http://hypnosissouthlondon.co.uk" TargetMode="External"/><Relationship Id="rId4784" Type="http://schemas.openxmlformats.org/officeDocument/2006/relationships/hyperlink" Target="https://pbs.twimg.com/media/EOL9bU4WoAc_uBP.jpg" TargetMode="External"/><Relationship Id="rId2124" Type="http://schemas.openxmlformats.org/officeDocument/2006/relationships/hyperlink" Target="https://www.ncbi.nlm.nih.gov/pubmed/31939334" TargetMode="External"/><Relationship Id="rId3456" Type="http://schemas.openxmlformats.org/officeDocument/2006/relationships/hyperlink" Target="http://www.fortishealthcare.com/india/clinical-speciality/mental-health-and-behavioural-sciences-268" TargetMode="External"/><Relationship Id="rId4787" Type="http://schemas.openxmlformats.org/officeDocument/2006/relationships/hyperlink" Target="https://pbs.twimg.com/media/EOL8jThXsAETGsz.jpg" TargetMode="External"/><Relationship Id="rId2125" Type="http://schemas.openxmlformats.org/officeDocument/2006/relationships/hyperlink" Target="https://pbs.twimg.com/media/EOadEwNWAAAd3Da.png" TargetMode="External"/><Relationship Id="rId3455" Type="http://schemas.openxmlformats.org/officeDocument/2006/relationships/hyperlink" Target="https://pbs.twimg.com/media/EN5EeC7W4AAvwOn.jpg" TargetMode="External"/><Relationship Id="rId4786" Type="http://schemas.openxmlformats.org/officeDocument/2006/relationships/hyperlink" Target="https://www.simplyhealthclinic.co.uk/contact-us/" TargetMode="External"/><Relationship Id="rId2115" Type="http://schemas.openxmlformats.org/officeDocument/2006/relationships/hyperlink" Target="https://enhancedwellbeing.com" TargetMode="External"/><Relationship Id="rId3447" Type="http://schemas.openxmlformats.org/officeDocument/2006/relationships/hyperlink" Target="http://bit.ly/CircadianRhythmHairLoss" TargetMode="External"/><Relationship Id="rId4778" Type="http://schemas.openxmlformats.org/officeDocument/2006/relationships/hyperlink" Target="https://gleeyoga.com" TargetMode="External"/><Relationship Id="rId2116" Type="http://schemas.openxmlformats.org/officeDocument/2006/relationships/hyperlink" Target="https://www.bigissue.com/latest/people-on-housing-benefit-are-sick-with-worry-an-extra-10-wont-help/" TargetMode="External"/><Relationship Id="rId3446" Type="http://schemas.openxmlformats.org/officeDocument/2006/relationships/hyperlink" Target="http://www.discoveryourbounce.com/forbusiness/" TargetMode="External"/><Relationship Id="rId4777" Type="http://schemas.openxmlformats.org/officeDocument/2006/relationships/hyperlink" Target="https://pbs.twimg.com/media/EOL909kUwAEflEx.png" TargetMode="External"/><Relationship Id="rId2117" Type="http://schemas.openxmlformats.org/officeDocument/2006/relationships/hyperlink" Target="http://www.hja.net/legal-services/social-housing/" TargetMode="External"/><Relationship Id="rId3449" Type="http://schemas.openxmlformats.org/officeDocument/2006/relationships/hyperlink" Target="http://www.belgraviacentre.com" TargetMode="External"/><Relationship Id="rId2118" Type="http://schemas.openxmlformats.org/officeDocument/2006/relationships/hyperlink" Target="https://www.buzzsprout.com/277608/2493451-teachers-in-transition-episode-42-stress-and-some-startling-statistics" TargetMode="External"/><Relationship Id="rId3448" Type="http://schemas.openxmlformats.org/officeDocument/2006/relationships/hyperlink" Target="https://pbs.twimg.com/media/EOTq0PVXsAEawk9.jpg" TargetMode="External"/><Relationship Id="rId4779" Type="http://schemas.openxmlformats.org/officeDocument/2006/relationships/hyperlink" Target="https://thegutstuff.com/the-gut-blog/stress-and-the-gut/" TargetMode="External"/><Relationship Id="rId2119" Type="http://schemas.openxmlformats.org/officeDocument/2006/relationships/hyperlink" Target="http://teachersintransition.com" TargetMode="External"/><Relationship Id="rId4770" Type="http://schemas.openxmlformats.org/officeDocument/2006/relationships/hyperlink" Target="https://pbs.twimg.com/media/EOL-gNWWsAExhLl.jpg" TargetMode="External"/><Relationship Id="rId3441" Type="http://schemas.openxmlformats.org/officeDocument/2006/relationships/hyperlink" Target="https://mindfulnessmeditation.thinkific.com/courses/mindfulness-for-bu" TargetMode="External"/><Relationship Id="rId4772" Type="http://schemas.openxmlformats.org/officeDocument/2006/relationships/hyperlink" Target="http://www.soisfibromyalgiareal.com/i-have-fibromyalgiai-work-on-stressthe-fibromyalgia-and-stress-connection/" TargetMode="External"/><Relationship Id="rId2110" Type="http://schemas.openxmlformats.org/officeDocument/2006/relationships/hyperlink" Target="http://prestoneducation.com" TargetMode="External"/><Relationship Id="rId3440" Type="http://schemas.openxmlformats.org/officeDocument/2006/relationships/hyperlink" Target="https://holistic-alternatives.us/" TargetMode="External"/><Relationship Id="rId4771" Type="http://schemas.openxmlformats.org/officeDocument/2006/relationships/hyperlink" Target="http://www.aiha.org" TargetMode="External"/><Relationship Id="rId2111" Type="http://schemas.openxmlformats.org/officeDocument/2006/relationships/hyperlink" Target="https://www.prestoneducation.com/" TargetMode="External"/><Relationship Id="rId3443" Type="http://schemas.openxmlformats.org/officeDocument/2006/relationships/hyperlink" Target="https://bit.ly/2u2k2m4" TargetMode="External"/><Relationship Id="rId4774" Type="http://schemas.openxmlformats.org/officeDocument/2006/relationships/hyperlink" Target="http://bit.ly/2xvvc2G" TargetMode="External"/><Relationship Id="rId2112" Type="http://schemas.openxmlformats.org/officeDocument/2006/relationships/hyperlink" Target="https://pbs.twimg.com/media/EOagZVsX4AA_Z6S.jpg" TargetMode="External"/><Relationship Id="rId3442" Type="http://schemas.openxmlformats.org/officeDocument/2006/relationships/hyperlink" Target="http://www.mindfulnessmeditationinstitute.org/" TargetMode="External"/><Relationship Id="rId4773" Type="http://schemas.openxmlformats.org/officeDocument/2006/relationships/hyperlink" Target="http://www.soisfibromyalgiareal.com" TargetMode="External"/><Relationship Id="rId2113" Type="http://schemas.openxmlformats.org/officeDocument/2006/relationships/hyperlink" Target="https://buff.ly/2E6OIVe" TargetMode="External"/><Relationship Id="rId3445" Type="http://schemas.openxmlformats.org/officeDocument/2006/relationships/hyperlink" Target="https://www.keepthefaith.co.uk/2019/12/31/managing-wellbeing-at-work/" TargetMode="External"/><Relationship Id="rId4776" Type="http://schemas.openxmlformats.org/officeDocument/2006/relationships/hyperlink" Target="https://gleeyoga.com/gleeyoga-depression-anxiety.php" TargetMode="External"/><Relationship Id="rId2114" Type="http://schemas.openxmlformats.org/officeDocument/2006/relationships/hyperlink" Target="https://pbs.twimg.com/media/EOagOS9XsAUA-lo.jpg" TargetMode="External"/><Relationship Id="rId3444" Type="http://schemas.openxmlformats.org/officeDocument/2006/relationships/hyperlink" Target="http://www.bouldernuadthaispa.com" TargetMode="External"/><Relationship Id="rId4775" Type="http://schemas.openxmlformats.org/officeDocument/2006/relationships/hyperlink" Target="https://pbs.twimg.com/media/EOL94GtX4AYUFj_.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15.86"/>
    <col customWidth="1" min="3" max="3" width="21.57"/>
    <col customWidth="1" min="4" max="4" width="43.0"/>
    <col customWidth="1" min="5" max="5" width="18.71"/>
    <col customWidth="1" min="6" max="6" width="21.57"/>
  </cols>
  <sheetData>
    <row r="1" ht="24.0" customHeight="1">
      <c r="A1" s="4"/>
      <c r="B1" s="5" t="s">
        <v>3</v>
      </c>
      <c r="C1" s="6"/>
      <c r="D1" s="6"/>
      <c r="E1" s="6"/>
      <c r="F1" s="6"/>
      <c r="G1" s="6"/>
      <c r="H1" s="6"/>
      <c r="I1" s="6"/>
      <c r="J1" s="6"/>
      <c r="K1" s="6"/>
      <c r="L1" s="7"/>
      <c r="M1" s="7"/>
      <c r="N1" s="7"/>
      <c r="O1" s="7"/>
      <c r="P1" s="7"/>
      <c r="Q1" s="6"/>
      <c r="R1" s="6"/>
      <c r="S1" s="6"/>
      <c r="T1" s="6"/>
      <c r="U1" s="7"/>
      <c r="V1" s="6"/>
      <c r="W1" s="6"/>
      <c r="X1" s="6"/>
      <c r="Y1" s="6"/>
      <c r="Z1" s="6"/>
    </row>
    <row r="2" ht="24.0" customHeight="1">
      <c r="A2" s="8" t="s">
        <v>0</v>
      </c>
      <c r="B2" s="9" t="s">
        <v>4</v>
      </c>
      <c r="C2" s="9" t="s">
        <v>5</v>
      </c>
      <c r="D2" s="9" t="s">
        <v>6</v>
      </c>
      <c r="E2" s="9" t="s">
        <v>7</v>
      </c>
      <c r="F2" s="9" t="s">
        <v>8</v>
      </c>
      <c r="G2" s="9" t="s">
        <v>9</v>
      </c>
      <c r="H2" s="9" t="s">
        <v>10</v>
      </c>
      <c r="I2" s="9" t="s">
        <v>11</v>
      </c>
      <c r="J2" s="9" t="s">
        <v>12</v>
      </c>
      <c r="K2" s="9" t="s">
        <v>13</v>
      </c>
      <c r="L2" s="8" t="s">
        <v>14</v>
      </c>
      <c r="M2" s="8" t="s">
        <v>15</v>
      </c>
      <c r="N2" s="8" t="s">
        <v>16</v>
      </c>
      <c r="O2" s="8" t="s">
        <v>17</v>
      </c>
      <c r="P2" s="8" t="s">
        <v>18</v>
      </c>
      <c r="Q2" s="9" t="s">
        <v>10</v>
      </c>
      <c r="R2" s="9" t="s">
        <v>19</v>
      </c>
      <c r="S2" s="9" t="s">
        <v>20</v>
      </c>
      <c r="T2" s="9" t="s">
        <v>21</v>
      </c>
      <c r="U2" s="8" t="s">
        <v>22</v>
      </c>
      <c r="V2" s="10"/>
      <c r="W2" s="10"/>
      <c r="X2" s="10"/>
      <c r="Y2" s="10"/>
      <c r="Z2" s="10"/>
    </row>
    <row r="3">
      <c r="A3" s="11">
        <v>43848.93511574074</v>
      </c>
      <c r="B3" s="12" t="str">
        <f>HYPERLINK("https://twitter.com/UnemployedGames","@UnemployedGames")</f>
        <v>@UnemployedGames</v>
      </c>
      <c r="C3" s="1" t="s">
        <v>23</v>
      </c>
      <c r="D3" s="1" t="s">
        <v>24</v>
      </c>
      <c r="E3" s="12" t="str">
        <f>HYPERLINK("https://twitter.com/UnemployedGames/status/1218736479201058816","1218736479201058816")</f>
        <v>1218736479201058816</v>
      </c>
      <c r="F3" s="13" t="s">
        <v>25</v>
      </c>
      <c r="G3" s="13" t="s">
        <v>26</v>
      </c>
      <c r="H3" s="14"/>
      <c r="I3" s="15">
        <v>0.0</v>
      </c>
      <c r="J3" s="15">
        <v>0.0</v>
      </c>
      <c r="K3" s="12" t="str">
        <f>HYPERLINK("http://publicize.wp.com/","WordPress.com")</f>
        <v>WordPress.com</v>
      </c>
      <c r="L3" s="16">
        <v>2888.0</v>
      </c>
      <c r="M3" s="16">
        <v>3090.0</v>
      </c>
      <c r="N3" s="16">
        <v>145.0</v>
      </c>
      <c r="O3" s="17"/>
      <c r="P3" s="18">
        <v>40924.96976851852</v>
      </c>
      <c r="Q3" s="1" t="s">
        <v>27</v>
      </c>
      <c r="R3" s="1" t="s">
        <v>28</v>
      </c>
      <c r="S3" s="13" t="s">
        <v>29</v>
      </c>
      <c r="T3" s="14"/>
      <c r="U3" s="19" t="str">
        <f>HYPERLINK("https://pbs.twimg.com/profile_images/1211906098237759488/f2da9YFm.jpg","View")</f>
        <v>View</v>
      </c>
      <c r="V3" s="14"/>
      <c r="W3" s="14"/>
      <c r="X3" s="14"/>
      <c r="Y3" s="14"/>
      <c r="Z3" s="14"/>
    </row>
    <row r="4">
      <c r="A4" s="11">
        <v>43848.92673611111</v>
      </c>
      <c r="B4" s="12" t="str">
        <f>HYPERLINK("https://twitter.com/DFalecki","@DFalecki")</f>
        <v>@DFalecki</v>
      </c>
      <c r="C4" s="1" t="s">
        <v>30</v>
      </c>
      <c r="D4" s="1" t="s">
        <v>31</v>
      </c>
      <c r="E4" s="12" t="str">
        <f>HYPERLINK("https://twitter.com/DFalecki/status/1218733442235535360","1218733442235535360")</f>
        <v>1218733442235535360</v>
      </c>
      <c r="F4" s="13" t="s">
        <v>32</v>
      </c>
      <c r="G4" s="14"/>
      <c r="H4" s="14"/>
      <c r="I4" s="15">
        <v>0.0</v>
      </c>
      <c r="J4" s="15">
        <v>1.0</v>
      </c>
      <c r="K4" s="12" t="str">
        <f>HYPERLINK("https://www.hootsuite.com","Hootsuite Inc.")</f>
        <v>Hootsuite Inc.</v>
      </c>
      <c r="L4" s="16">
        <v>886.0</v>
      </c>
      <c r="M4" s="16">
        <v>636.0</v>
      </c>
      <c r="N4" s="16">
        <v>92.0</v>
      </c>
      <c r="O4" s="17"/>
      <c r="P4" s="18">
        <v>42106.25785879629</v>
      </c>
      <c r="Q4" s="1" t="s">
        <v>33</v>
      </c>
      <c r="R4" s="1" t="s">
        <v>34</v>
      </c>
      <c r="S4" s="13" t="s">
        <v>35</v>
      </c>
      <c r="T4" s="14"/>
      <c r="U4" s="19" t="str">
        <f>HYPERLINK("https://pbs.twimg.com/profile_images/587241235741409281/U-fYeITu.jpg","View")</f>
        <v>View</v>
      </c>
      <c r="V4" s="14"/>
      <c r="W4" s="14"/>
      <c r="X4" s="14"/>
      <c r="Y4" s="14"/>
      <c r="Z4" s="14"/>
    </row>
    <row r="5">
      <c r="A5" s="11">
        <v>43848.92361111111</v>
      </c>
      <c r="B5" s="12" t="str">
        <f>HYPERLINK("https://twitter.com/successmagazine","@successmagazine")</f>
        <v>@successmagazine</v>
      </c>
      <c r="C5" s="1" t="s">
        <v>36</v>
      </c>
      <c r="D5" s="1" t="s">
        <v>37</v>
      </c>
      <c r="E5" s="12" t="str">
        <f>HYPERLINK("https://twitter.com/successmagazine/status/1218732310696288256","1218732310696288256")</f>
        <v>1218732310696288256</v>
      </c>
      <c r="F5" s="14"/>
      <c r="G5" s="14"/>
      <c r="H5" s="14"/>
      <c r="I5" s="15">
        <v>5.0</v>
      </c>
      <c r="J5" s="15">
        <v>15.0</v>
      </c>
      <c r="K5" s="12" t="str">
        <f>HYPERLINK("https://sproutsocial.com","Sprout Social")</f>
        <v>Sprout Social</v>
      </c>
      <c r="L5" s="16">
        <v>333427.0</v>
      </c>
      <c r="M5" s="16">
        <v>2908.0</v>
      </c>
      <c r="N5" s="16">
        <v>4006.0</v>
      </c>
      <c r="O5" s="20" t="s">
        <v>38</v>
      </c>
      <c r="P5" s="18">
        <v>39974.52744212963</v>
      </c>
      <c r="Q5" s="14"/>
      <c r="R5" s="1" t="s">
        <v>39</v>
      </c>
      <c r="S5" s="13" t="s">
        <v>40</v>
      </c>
      <c r="T5" s="14"/>
      <c r="U5" s="19" t="str">
        <f>HYPERLINK("https://pbs.twimg.com/profile_images/981915497879879681/QXbYxHKx.jpg","View")</f>
        <v>View</v>
      </c>
      <c r="V5" s="14"/>
      <c r="W5" s="14"/>
      <c r="X5" s="14"/>
      <c r="Y5" s="14"/>
      <c r="Z5" s="14"/>
    </row>
    <row r="6">
      <c r="A6" s="11">
        <v>43848.919444444444</v>
      </c>
      <c r="B6" s="12" t="str">
        <f>HYPERLINK("https://twitter.com/KenOkel","@KenOkel")</f>
        <v>@KenOkel</v>
      </c>
      <c r="C6" s="1" t="s">
        <v>41</v>
      </c>
      <c r="D6" s="1" t="s">
        <v>42</v>
      </c>
      <c r="E6" s="12" t="str">
        <f>HYPERLINK("https://twitter.com/KenOkel/status/1218730799962390528","1218730799962390528")</f>
        <v>1218730799962390528</v>
      </c>
      <c r="F6" s="13" t="s">
        <v>43</v>
      </c>
      <c r="G6" s="14"/>
      <c r="H6" s="14"/>
      <c r="I6" s="15">
        <v>0.0</v>
      </c>
      <c r="J6" s="15">
        <v>0.0</v>
      </c>
      <c r="K6" s="12" t="str">
        <f>HYPERLINK("https://about.twitter.com/products/tweetdeck","TweetDeck")</f>
        <v>TweetDeck</v>
      </c>
      <c r="L6" s="16">
        <v>603.0</v>
      </c>
      <c r="M6" s="16">
        <v>261.0</v>
      </c>
      <c r="N6" s="16">
        <v>827.0</v>
      </c>
      <c r="O6" s="17"/>
      <c r="P6" s="18">
        <v>39880.78482638889</v>
      </c>
      <c r="Q6" s="1" t="s">
        <v>44</v>
      </c>
      <c r="R6" s="1" t="s">
        <v>45</v>
      </c>
      <c r="S6" s="13" t="s">
        <v>46</v>
      </c>
      <c r="T6" s="14"/>
      <c r="U6" s="19" t="str">
        <f>HYPERLINK("https://pbs.twimg.com/profile_images/805116072785563648/LPXnbxnK.jpg","View")</f>
        <v>View</v>
      </c>
      <c r="V6" s="14"/>
      <c r="W6" s="14"/>
      <c r="X6" s="14"/>
      <c r="Y6" s="14"/>
      <c r="Z6" s="14"/>
    </row>
    <row r="7">
      <c r="A7" s="11">
        <v>43848.91509259259</v>
      </c>
      <c r="B7" s="12" t="str">
        <f>HYPERLINK("https://twitter.com/NeelRaman","@NeelRaman")</f>
        <v>@NeelRaman</v>
      </c>
      <c r="C7" s="1" t="s">
        <v>47</v>
      </c>
      <c r="D7" s="1" t="s">
        <v>48</v>
      </c>
      <c r="E7" s="12" t="str">
        <f>HYPERLINK("https://twitter.com/NeelRaman/status/1218729222706999297","1218729222706999297")</f>
        <v>1218729222706999297</v>
      </c>
      <c r="F7" s="13" t="s">
        <v>49</v>
      </c>
      <c r="G7" s="13" t="s">
        <v>50</v>
      </c>
      <c r="H7" s="14"/>
      <c r="I7" s="15">
        <v>0.0</v>
      </c>
      <c r="J7" s="15">
        <v>0.0</v>
      </c>
      <c r="K7" s="12" t="str">
        <f>HYPERLINK("https://missinglettr.com","Missinglettr")</f>
        <v>Missinglettr</v>
      </c>
      <c r="L7" s="16">
        <v>1214.0</v>
      </c>
      <c r="M7" s="16">
        <v>43.0</v>
      </c>
      <c r="N7" s="16">
        <v>38.0</v>
      </c>
      <c r="O7" s="17"/>
      <c r="P7" s="18">
        <v>39755.799166666664</v>
      </c>
      <c r="Q7" s="1" t="s">
        <v>51</v>
      </c>
      <c r="R7" s="1" t="s">
        <v>52</v>
      </c>
      <c r="S7" s="13" t="s">
        <v>53</v>
      </c>
      <c r="T7" s="14"/>
      <c r="U7" s="19" t="str">
        <f>HYPERLINK("https://pbs.twimg.com/profile_images/787482059463733248/wHVv4pql.jpg","View")</f>
        <v>View</v>
      </c>
      <c r="V7" s="14"/>
      <c r="W7" s="14"/>
      <c r="X7" s="14"/>
      <c r="Y7" s="14"/>
      <c r="Z7" s="14"/>
    </row>
    <row r="8">
      <c r="A8" s="11">
        <v>43848.913888888885</v>
      </c>
      <c r="B8" s="12" t="str">
        <f>HYPERLINK("https://twitter.com/AlyBCo1","@AlyBCo1")</f>
        <v>@AlyBCo1</v>
      </c>
      <c r="C8" s="1" t="s">
        <v>54</v>
      </c>
      <c r="D8" s="1" t="s">
        <v>55</v>
      </c>
      <c r="E8" s="12" t="str">
        <f>HYPERLINK("https://twitter.com/AlyBCo1/status/1218728787409588224","1218728787409588224")</f>
        <v>1218728787409588224</v>
      </c>
      <c r="F8" s="14"/>
      <c r="G8" s="14"/>
      <c r="H8" s="14"/>
      <c r="I8" s="15">
        <v>0.0</v>
      </c>
      <c r="J8" s="15">
        <v>0.0</v>
      </c>
      <c r="K8" s="12" t="str">
        <f>HYPERLINK("https://buffer.com","Buffer")</f>
        <v>Buffer</v>
      </c>
      <c r="L8" s="16">
        <v>4.0</v>
      </c>
      <c r="M8" s="16">
        <v>1.0</v>
      </c>
      <c r="N8" s="16">
        <v>1.0</v>
      </c>
      <c r="O8" s="17"/>
      <c r="P8" s="18">
        <v>43434.547696759255</v>
      </c>
      <c r="Q8" s="1" t="s">
        <v>56</v>
      </c>
      <c r="R8" s="1" t="s">
        <v>57</v>
      </c>
      <c r="S8" s="13" t="s">
        <v>58</v>
      </c>
      <c r="T8" s="14"/>
      <c r="U8" s="19" t="str">
        <f>HYPERLINK("https://pbs.twimg.com/profile_images/1156389928701431808/V68JZU0i.jpg","View")</f>
        <v>View</v>
      </c>
      <c r="V8" s="14"/>
      <c r="W8" s="14"/>
      <c r="X8" s="14"/>
      <c r="Y8" s="14"/>
      <c r="Z8" s="14"/>
    </row>
    <row r="9">
      <c r="A9" s="11">
        <v>43848.90525462963</v>
      </c>
      <c r="B9" s="12" t="str">
        <f>HYPERLINK("https://twitter.com/EASDHakimi","@EASDHakimi")</f>
        <v>@EASDHakimi</v>
      </c>
      <c r="C9" s="1" t="s">
        <v>59</v>
      </c>
      <c r="D9" s="1" t="s">
        <v>60</v>
      </c>
      <c r="E9" s="12" t="str">
        <f>HYPERLINK("https://twitter.com/EASDHakimi/status/1218725658064556032","1218725658064556032")</f>
        <v>1218725658064556032</v>
      </c>
      <c r="F9" s="1" t="s">
        <v>61</v>
      </c>
      <c r="G9" s="14"/>
      <c r="H9" s="14"/>
      <c r="I9" s="15">
        <v>0.0</v>
      </c>
      <c r="J9" s="15">
        <v>0.0</v>
      </c>
      <c r="K9" s="12" t="str">
        <f>HYPERLINK("http://twitter.com/download/iphone","Twitter for iPhone")</f>
        <v>Twitter for iPhone</v>
      </c>
      <c r="L9" s="16">
        <v>87.0</v>
      </c>
      <c r="M9" s="16">
        <v>145.0</v>
      </c>
      <c r="N9" s="16">
        <v>1.0</v>
      </c>
      <c r="O9" s="17"/>
      <c r="P9" s="18">
        <v>43743.30758101852</v>
      </c>
      <c r="Q9" s="1" t="s">
        <v>62</v>
      </c>
      <c r="R9" s="1" t="s">
        <v>63</v>
      </c>
      <c r="S9" s="13" t="s">
        <v>64</v>
      </c>
      <c r="T9" s="14"/>
      <c r="U9" s="19" t="str">
        <f>HYPERLINK("https://pbs.twimg.com/profile_images/1180443627857862658/xOXbr3XP.jpg","View")</f>
        <v>View</v>
      </c>
      <c r="V9" s="14"/>
      <c r="W9" s="14"/>
      <c r="X9" s="14"/>
      <c r="Y9" s="14"/>
      <c r="Z9" s="14"/>
    </row>
    <row r="10">
      <c r="A10" s="11">
        <v>43848.90454861111</v>
      </c>
      <c r="B10" s="12" t="str">
        <f>HYPERLINK("https://twitter.com/pawangreatt","@pawangreatt")</f>
        <v>@pawangreatt</v>
      </c>
      <c r="C10" s="1" t="s">
        <v>65</v>
      </c>
      <c r="D10" s="1" t="s">
        <v>66</v>
      </c>
      <c r="E10" s="12" t="str">
        <f>HYPERLINK("https://twitter.com/pawangreatt/status/1218725402811568129","1218725402811568129")</f>
        <v>1218725402811568129</v>
      </c>
      <c r="F10" s="14"/>
      <c r="G10" s="13" t="s">
        <v>67</v>
      </c>
      <c r="H10" s="14"/>
      <c r="I10" s="15">
        <v>0.0</v>
      </c>
      <c r="J10" s="15">
        <v>2.0</v>
      </c>
      <c r="K10" s="12" t="str">
        <f t="shared" ref="K10:K13" si="1">HYPERLINK("http://twitter.com/download/android","Twitter for Android")</f>
        <v>Twitter for Android</v>
      </c>
      <c r="L10" s="16">
        <v>1881.0</v>
      </c>
      <c r="M10" s="16">
        <v>1590.0</v>
      </c>
      <c r="N10" s="16">
        <v>0.0</v>
      </c>
      <c r="O10" s="17"/>
      <c r="P10" s="18">
        <v>42657.38049768518</v>
      </c>
      <c r="Q10" s="1" t="s">
        <v>68</v>
      </c>
      <c r="R10" s="1" t="s">
        <v>69</v>
      </c>
      <c r="S10" s="14"/>
      <c r="T10" s="14"/>
      <c r="U10" s="19" t="str">
        <f>HYPERLINK("https://pbs.twimg.com/profile_images/1218519291043008512/DLEMM4_L.jpg","View")</f>
        <v>View</v>
      </c>
      <c r="V10" s="14"/>
      <c r="W10" s="14"/>
      <c r="X10" s="14"/>
      <c r="Y10" s="14"/>
      <c r="Z10" s="14"/>
    </row>
    <row r="11">
      <c r="A11" s="11">
        <v>43848.90451388889</v>
      </c>
      <c r="B11" s="12" t="str">
        <f>HYPERLINK("https://twitter.com/2020Aditisharma","@2020Aditisharma")</f>
        <v>@2020Aditisharma</v>
      </c>
      <c r="C11" s="1" t="s">
        <v>70</v>
      </c>
      <c r="D11" s="1" t="s">
        <v>71</v>
      </c>
      <c r="E11" s="12" t="str">
        <f>HYPERLINK("https://twitter.com/2020Aditisharma/status/1218725391101132800","1218725391101132800")</f>
        <v>1218725391101132800</v>
      </c>
      <c r="F11" s="14"/>
      <c r="G11" s="14"/>
      <c r="H11" s="14"/>
      <c r="I11" s="15">
        <v>6.0</v>
      </c>
      <c r="J11" s="15">
        <v>3.0</v>
      </c>
      <c r="K11" s="12" t="str">
        <f t="shared" si="1"/>
        <v>Twitter for Android</v>
      </c>
      <c r="L11" s="16">
        <v>506.0</v>
      </c>
      <c r="M11" s="16">
        <v>914.0</v>
      </c>
      <c r="N11" s="16">
        <v>1.0</v>
      </c>
      <c r="O11" s="17"/>
      <c r="P11" s="18">
        <v>43729.20600694444</v>
      </c>
      <c r="Q11" s="1" t="s">
        <v>72</v>
      </c>
      <c r="R11" s="1" t="s">
        <v>73</v>
      </c>
      <c r="S11" s="13" t="s">
        <v>74</v>
      </c>
      <c r="T11" s="14"/>
      <c r="U11" s="19" t="str">
        <f>HYPERLINK("https://pbs.twimg.com/profile_images/1215552642874691584/yh_WRv_3.jpg","View")</f>
        <v>View</v>
      </c>
      <c r="V11" s="14"/>
      <c r="W11" s="14"/>
      <c r="X11" s="14"/>
      <c r="Y11" s="14"/>
      <c r="Z11" s="14"/>
    </row>
    <row r="12">
      <c r="A12" s="11">
        <v>43848.902453703704</v>
      </c>
      <c r="B12" s="12" t="str">
        <f>HYPERLINK("https://twitter.com/VictorColumba","@VictorColumba")</f>
        <v>@VictorColumba</v>
      </c>
      <c r="C12" s="1" t="s">
        <v>75</v>
      </c>
      <c r="D12" s="1" t="s">
        <v>76</v>
      </c>
      <c r="E12" s="12" t="str">
        <f>HYPERLINK("https://twitter.com/VictorColumba/status/1218724644309622784","1218724644309622784")</f>
        <v>1218724644309622784</v>
      </c>
      <c r="F12" s="14"/>
      <c r="G12" s="14"/>
      <c r="H12" s="14"/>
      <c r="I12" s="15">
        <v>0.0</v>
      </c>
      <c r="J12" s="15">
        <v>0.0</v>
      </c>
      <c r="K12" s="12" t="str">
        <f t="shared" si="1"/>
        <v>Twitter for Android</v>
      </c>
      <c r="L12" s="16">
        <v>531.0</v>
      </c>
      <c r="M12" s="16">
        <v>991.0</v>
      </c>
      <c r="N12" s="16">
        <v>17.0</v>
      </c>
      <c r="O12" s="17"/>
      <c r="P12" s="18">
        <v>40243.2171875</v>
      </c>
      <c r="Q12" s="1" t="s">
        <v>77</v>
      </c>
      <c r="R12" s="1" t="s">
        <v>78</v>
      </c>
      <c r="S12" s="14"/>
      <c r="T12" s="14"/>
      <c r="U12" s="19" t="str">
        <f>HYPERLINK("https://pbs.twimg.com/profile_images/1037243956743102464/ccX4dr2v.jpg","View")</f>
        <v>View</v>
      </c>
      <c r="V12" s="14"/>
      <c r="W12" s="14"/>
      <c r="X12" s="14"/>
      <c r="Y12" s="14"/>
      <c r="Z12" s="14"/>
    </row>
    <row r="13">
      <c r="A13" s="11">
        <v>43848.894479166665</v>
      </c>
      <c r="B13" s="12" t="str">
        <f>HYPERLINK("https://twitter.com/monkeykngtweets","@monkeykngtweets")</f>
        <v>@monkeykngtweets</v>
      </c>
      <c r="C13" s="1" t="s">
        <v>79</v>
      </c>
      <c r="D13" s="1" t="s">
        <v>80</v>
      </c>
      <c r="E13" s="12" t="str">
        <f>HYPERLINK("https://twitter.com/monkeykngtweets/status/1218721754652143616","1218721754652143616")</f>
        <v>1218721754652143616</v>
      </c>
      <c r="F13" s="14"/>
      <c r="G13" s="13" t="s">
        <v>81</v>
      </c>
      <c r="H13" s="14"/>
      <c r="I13" s="15">
        <v>0.0</v>
      </c>
      <c r="J13" s="15">
        <v>0.0</v>
      </c>
      <c r="K13" s="12" t="str">
        <f t="shared" si="1"/>
        <v>Twitter for Android</v>
      </c>
      <c r="L13" s="16">
        <v>17.0</v>
      </c>
      <c r="M13" s="16">
        <v>125.0</v>
      </c>
      <c r="N13" s="16">
        <v>0.0</v>
      </c>
      <c r="O13" s="17"/>
      <c r="P13" s="18">
        <v>43845.058229166665</v>
      </c>
      <c r="Q13" s="14"/>
      <c r="R13" s="1" t="s">
        <v>82</v>
      </c>
      <c r="S13" s="13" t="s">
        <v>83</v>
      </c>
      <c r="T13" s="14"/>
      <c r="U13" s="19" t="str">
        <f>HYPERLINK("https://pbs.twimg.com/profile_images/1217331687459176448/UsA4RnZ_.jpg","View")</f>
        <v>View</v>
      </c>
      <c r="V13" s="14"/>
      <c r="W13" s="14"/>
      <c r="X13" s="14"/>
      <c r="Y13" s="14"/>
      <c r="Z13" s="14"/>
    </row>
    <row r="14">
      <c r="A14" s="11">
        <v>43848.89398148148</v>
      </c>
      <c r="B14" s="12" t="str">
        <f>HYPERLINK("https://twitter.com/nickengerer","@nickengerer")</f>
        <v>@nickengerer</v>
      </c>
      <c r="C14" s="1" t="s">
        <v>84</v>
      </c>
      <c r="D14" s="1" t="s">
        <v>85</v>
      </c>
      <c r="E14" s="12" t="str">
        <f>HYPERLINK("https://twitter.com/nickengerer/status/1218721572451602432","1218721572451602432")</f>
        <v>1218721572451602432</v>
      </c>
      <c r="F14" s="14"/>
      <c r="G14" s="14"/>
      <c r="H14" s="14"/>
      <c r="I14" s="15">
        <v>0.0</v>
      </c>
      <c r="J14" s="15">
        <v>0.0</v>
      </c>
      <c r="K14" s="12" t="str">
        <f>HYPERLINK("http://twitter.com/#!/download/ipad","Twitter for iPad")</f>
        <v>Twitter for iPad</v>
      </c>
      <c r="L14" s="16">
        <v>1181.0</v>
      </c>
      <c r="M14" s="16">
        <v>969.0</v>
      </c>
      <c r="N14" s="16">
        <v>99.0</v>
      </c>
      <c r="O14" s="17"/>
      <c r="P14" s="18">
        <v>41067.02836805556</v>
      </c>
      <c r="Q14" s="1" t="s">
        <v>86</v>
      </c>
      <c r="R14" s="1" t="s">
        <v>87</v>
      </c>
      <c r="S14" s="13" t="s">
        <v>88</v>
      </c>
      <c r="T14" s="14"/>
      <c r="U14" s="19" t="str">
        <f>HYPERLINK("https://pbs.twimg.com/profile_images/1177424315546890240/e5IsBpgc.jpg","View")</f>
        <v>View</v>
      </c>
      <c r="V14" s="14"/>
      <c r="W14" s="14"/>
      <c r="X14" s="14"/>
      <c r="Y14" s="14"/>
      <c r="Z14" s="14"/>
    </row>
    <row r="15">
      <c r="A15" s="11">
        <v>43848.890381944446</v>
      </c>
      <c r="B15" s="12" t="str">
        <f>HYPERLINK("https://twitter.com/apinkstar11_","@apinkstar11_")</f>
        <v>@apinkstar11_</v>
      </c>
      <c r="C15" s="1" t="s">
        <v>89</v>
      </c>
      <c r="D15" s="1" t="s">
        <v>90</v>
      </c>
      <c r="E15" s="12" t="str">
        <f>HYPERLINK("https://twitter.com/apinkstar11_/status/1218720268069171201","1218720268069171201")</f>
        <v>1218720268069171201</v>
      </c>
      <c r="F15" s="13" t="s">
        <v>91</v>
      </c>
      <c r="G15" s="13" t="s">
        <v>92</v>
      </c>
      <c r="H15" s="14"/>
      <c r="I15" s="15">
        <v>6.0</v>
      </c>
      <c r="J15" s="15">
        <v>21.0</v>
      </c>
      <c r="K15" s="12" t="str">
        <f>HYPERLINK("https://mobile.twitter.com","Twitter Web App")</f>
        <v>Twitter Web App</v>
      </c>
      <c r="L15" s="16">
        <v>4394.0</v>
      </c>
      <c r="M15" s="16">
        <v>156.0</v>
      </c>
      <c r="N15" s="16">
        <v>94.0</v>
      </c>
      <c r="O15" s="17"/>
      <c r="P15" s="18">
        <v>43127.98075231482</v>
      </c>
      <c r="Q15" s="14"/>
      <c r="R15" s="1" t="s">
        <v>93</v>
      </c>
      <c r="S15" s="14"/>
      <c r="T15" s="14"/>
      <c r="U15" s="19" t="str">
        <f>HYPERLINK("https://pbs.twimg.com/profile_images/1217814224350482433/A_dSgVY7.jpg","View")</f>
        <v>View</v>
      </c>
      <c r="V15" s="14"/>
      <c r="W15" s="14"/>
      <c r="X15" s="14"/>
      <c r="Y15" s="14"/>
      <c r="Z15" s="14"/>
    </row>
    <row r="16">
      <c r="A16" s="11">
        <v>43848.88888888889</v>
      </c>
      <c r="B16" s="12" t="str">
        <f>HYPERLINK("https://twitter.com/TrainingMindful","@TrainingMindful")</f>
        <v>@TrainingMindful</v>
      </c>
      <c r="C16" s="1" t="s">
        <v>94</v>
      </c>
      <c r="D16" s="1" t="s">
        <v>95</v>
      </c>
      <c r="E16" s="12" t="str">
        <f>HYPERLINK("https://twitter.com/TrainingMindful/status/1218719727310266368","1218719727310266368")</f>
        <v>1218719727310266368</v>
      </c>
      <c r="F16" s="13" t="s">
        <v>96</v>
      </c>
      <c r="G16" s="14"/>
      <c r="H16" s="14"/>
      <c r="I16" s="15">
        <v>0.0</v>
      </c>
      <c r="J16" s="15">
        <v>0.0</v>
      </c>
      <c r="K16" s="12" t="str">
        <f>HYPERLINK("https://www.socialoomph.com","SocialOomph")</f>
        <v>SocialOomph</v>
      </c>
      <c r="L16" s="16">
        <v>185303.0</v>
      </c>
      <c r="M16" s="16">
        <v>43980.0</v>
      </c>
      <c r="N16" s="16">
        <v>2800.0</v>
      </c>
      <c r="O16" s="17"/>
      <c r="P16" s="18">
        <v>41286.039305555554</v>
      </c>
      <c r="Q16" s="1" t="s">
        <v>97</v>
      </c>
      <c r="R16" s="1" t="s">
        <v>98</v>
      </c>
      <c r="S16" s="13" t="s">
        <v>99</v>
      </c>
      <c r="T16" s="14"/>
      <c r="U16" s="19" t="str">
        <f>HYPERLINK("https://pbs.twimg.com/profile_images/566526924059459584/gdMxDA9x.jpeg","View")</f>
        <v>View</v>
      </c>
      <c r="V16" s="14"/>
      <c r="W16" s="14"/>
      <c r="X16" s="14"/>
      <c r="Y16" s="14"/>
      <c r="Z16" s="14"/>
    </row>
    <row r="17">
      <c r="A17" s="11">
        <v>43848.881064814814</v>
      </c>
      <c r="B17" s="12" t="str">
        <f>HYPERLINK("https://twitter.com/HHTalkRadio","@HHTalkRadio")</f>
        <v>@HHTalkRadio</v>
      </c>
      <c r="C17" s="1" t="s">
        <v>100</v>
      </c>
      <c r="D17" s="1" t="s">
        <v>101</v>
      </c>
      <c r="E17" s="12" t="str">
        <f>HYPERLINK("https://twitter.com/HHTalkRadio/status/1218716893802115072","1218716893802115072")</f>
        <v>1218716893802115072</v>
      </c>
      <c r="F17" s="14"/>
      <c r="G17" s="14"/>
      <c r="H17" s="14"/>
      <c r="I17" s="15">
        <v>3.0</v>
      </c>
      <c r="J17" s="15">
        <v>4.0</v>
      </c>
      <c r="K17" s="12" t="str">
        <f>HYPERLINK("http://twitter.com/download/iphone","Twitter for iPhone")</f>
        <v>Twitter for iPhone</v>
      </c>
      <c r="L17" s="16">
        <v>3663.0</v>
      </c>
      <c r="M17" s="16">
        <v>2485.0</v>
      </c>
      <c r="N17" s="16">
        <v>39.0</v>
      </c>
      <c r="O17" s="17"/>
      <c r="P17" s="18">
        <v>41011.659537037034</v>
      </c>
      <c r="Q17" s="1" t="s">
        <v>102</v>
      </c>
      <c r="R17" s="1" t="s">
        <v>103</v>
      </c>
      <c r="S17" s="13" t="s">
        <v>104</v>
      </c>
      <c r="T17" s="14"/>
      <c r="U17" s="19" t="str">
        <f>HYPERLINK("https://pbs.twimg.com/profile_images/560174196618035200/-hq0UrXc.png","View")</f>
        <v>View</v>
      </c>
      <c r="V17" s="14"/>
      <c r="W17" s="14"/>
      <c r="X17" s="14"/>
      <c r="Y17" s="14"/>
      <c r="Z17" s="14"/>
    </row>
    <row r="18">
      <c r="A18" s="11">
        <v>43848.87795138889</v>
      </c>
      <c r="B18" s="12" t="str">
        <f>HYPERLINK("https://twitter.com/BeingWellWithin","@BeingWellWithin")</f>
        <v>@BeingWellWithin</v>
      </c>
      <c r="C18" s="1" t="s">
        <v>105</v>
      </c>
      <c r="D18" s="1" t="s">
        <v>106</v>
      </c>
      <c r="E18" s="12" t="str">
        <f>HYPERLINK("https://twitter.com/BeingWellWithin/status/1218715765467205634","1218715765467205634")</f>
        <v>1218715765467205634</v>
      </c>
      <c r="F18" s="13" t="s">
        <v>107</v>
      </c>
      <c r="G18" s="14"/>
      <c r="H18" s="14"/>
      <c r="I18" s="15">
        <v>0.0</v>
      </c>
      <c r="J18" s="15">
        <v>0.0</v>
      </c>
      <c r="K18" s="12" t="str">
        <f>HYPERLINK("https://www.socialoomph.com","SocialOomph")</f>
        <v>SocialOomph</v>
      </c>
      <c r="L18" s="16">
        <v>229.0</v>
      </c>
      <c r="M18" s="16">
        <v>193.0</v>
      </c>
      <c r="N18" s="16">
        <v>6.0</v>
      </c>
      <c r="O18" s="17"/>
      <c r="P18" s="18">
        <v>40755.445381944446</v>
      </c>
      <c r="Q18" s="1" t="s">
        <v>108</v>
      </c>
      <c r="R18" s="1" t="s">
        <v>109</v>
      </c>
      <c r="S18" s="13" t="s">
        <v>110</v>
      </c>
      <c r="T18" s="14"/>
      <c r="U18" s="19" t="str">
        <f>HYPERLINK("https://pbs.twimg.com/profile_images/786742235631087616/ngdp9x1y.jpg","View")</f>
        <v>View</v>
      </c>
      <c r="V18" s="14"/>
      <c r="W18" s="14"/>
      <c r="X18" s="14"/>
      <c r="Y18" s="14"/>
      <c r="Z18" s="14"/>
    </row>
    <row r="19">
      <c r="A19" s="11">
        <v>43848.87634259259</v>
      </c>
      <c r="B19" s="12" t="str">
        <f>HYPERLINK("https://twitter.com/EdiblesZz","@EdiblesZz")</f>
        <v>@EdiblesZz</v>
      </c>
      <c r="C19" s="1" t="s">
        <v>111</v>
      </c>
      <c r="D19" s="1" t="s">
        <v>112</v>
      </c>
      <c r="E19" s="12" t="str">
        <f>HYPERLINK("https://twitter.com/EdiblesZz/status/1218715181083176961","1218715181083176961")</f>
        <v>1218715181083176961</v>
      </c>
      <c r="F19" s="13" t="s">
        <v>113</v>
      </c>
      <c r="G19" s="13" t="s">
        <v>114</v>
      </c>
      <c r="H19" s="14"/>
      <c r="I19" s="15">
        <v>1.0</v>
      </c>
      <c r="J19" s="15">
        <v>2.0</v>
      </c>
      <c r="K19" s="12" t="str">
        <f>HYPERLINK("https://mobile.twitter.com","Twitter Web App")</f>
        <v>Twitter Web App</v>
      </c>
      <c r="L19" s="16">
        <v>572.0</v>
      </c>
      <c r="M19" s="16">
        <v>2994.0</v>
      </c>
      <c r="N19" s="16">
        <v>0.0</v>
      </c>
      <c r="O19" s="17"/>
      <c r="P19" s="18">
        <v>43710.57782407408</v>
      </c>
      <c r="Q19" s="1" t="s">
        <v>115</v>
      </c>
      <c r="R19" s="1" t="s">
        <v>116</v>
      </c>
      <c r="S19" s="13" t="s">
        <v>117</v>
      </c>
      <c r="T19" s="14"/>
      <c r="U19" s="19" t="str">
        <f>HYPERLINK("https://pbs.twimg.com/profile_images/1168582465058934785/vS2Yhnlj.jpg","View")</f>
        <v>View</v>
      </c>
      <c r="V19" s="14"/>
      <c r="W19" s="14"/>
      <c r="X19" s="14"/>
      <c r="Y19" s="14"/>
      <c r="Z19" s="14"/>
    </row>
    <row r="20">
      <c r="A20" s="11">
        <v>43848.875069444446</v>
      </c>
      <c r="B20" s="12" t="str">
        <f>HYPERLINK("https://twitter.com/myjearney","@myjearney")</f>
        <v>@myjearney</v>
      </c>
      <c r="C20" s="1" t="s">
        <v>118</v>
      </c>
      <c r="D20" s="1" t="s">
        <v>119</v>
      </c>
      <c r="E20" s="12" t="str">
        <f>HYPERLINK("https://twitter.com/myjearney/status/1218714720997453825","1218714720997453825")</f>
        <v>1218714720997453825</v>
      </c>
      <c r="F20" s="14"/>
      <c r="G20" s="13" t="s">
        <v>120</v>
      </c>
      <c r="H20" s="14"/>
      <c r="I20" s="15">
        <v>0.0</v>
      </c>
      <c r="J20" s="15">
        <v>0.0</v>
      </c>
      <c r="K20" s="12" t="str">
        <f>HYPERLINK("https://publbox.com","PublBox ")</f>
        <v>PublBox </v>
      </c>
      <c r="L20" s="16">
        <v>192.0</v>
      </c>
      <c r="M20" s="16">
        <v>242.0</v>
      </c>
      <c r="N20" s="16">
        <v>2.0</v>
      </c>
      <c r="O20" s="17"/>
      <c r="P20" s="18">
        <v>43507.80075231481</v>
      </c>
      <c r="Q20" s="1" t="s">
        <v>51</v>
      </c>
      <c r="R20" s="1" t="s">
        <v>121</v>
      </c>
      <c r="S20" s="13" t="s">
        <v>122</v>
      </c>
      <c r="T20" s="14"/>
      <c r="U20" s="19" t="str">
        <f>HYPERLINK("https://pbs.twimg.com/profile_images/1159427030301020160/9BxI4ck0.jpg","View")</f>
        <v>View</v>
      </c>
      <c r="V20" s="14"/>
      <c r="W20" s="14"/>
      <c r="X20" s="14"/>
      <c r="Y20" s="14"/>
      <c r="Z20" s="14"/>
    </row>
    <row r="21">
      <c r="A21" s="11">
        <v>43848.870983796296</v>
      </c>
      <c r="B21" s="12" t="str">
        <f>HYPERLINK("https://twitter.com/Travelingthrou1","@Travelingthrou1")</f>
        <v>@Travelingthrou1</v>
      </c>
      <c r="C21" s="1" t="s">
        <v>123</v>
      </c>
      <c r="D21" s="1" t="s">
        <v>124</v>
      </c>
      <c r="E21" s="12" t="str">
        <f>HYPERLINK("https://twitter.com/Travelingthrou1/status/1218713240479371265","1218713240479371265")</f>
        <v>1218713240479371265</v>
      </c>
      <c r="F21" s="13" t="s">
        <v>125</v>
      </c>
      <c r="G21" s="14"/>
      <c r="H21" s="14"/>
      <c r="I21" s="15">
        <v>0.0</v>
      </c>
      <c r="J21" s="15">
        <v>0.0</v>
      </c>
      <c r="K21" s="12" t="str">
        <f>HYPERLINK("https://travelingthroughlifedaybyday.com","travelingthrou1")</f>
        <v>travelingthrou1</v>
      </c>
      <c r="L21" s="16">
        <v>399.0</v>
      </c>
      <c r="M21" s="16">
        <v>493.0</v>
      </c>
      <c r="N21" s="16">
        <v>0.0</v>
      </c>
      <c r="O21" s="17"/>
      <c r="P21" s="18">
        <v>43318.04958333333</v>
      </c>
      <c r="Q21" s="14"/>
      <c r="R21" s="1" t="s">
        <v>126</v>
      </c>
      <c r="S21" s="13" t="s">
        <v>127</v>
      </c>
      <c r="T21" s="14"/>
      <c r="U21" s="19" t="str">
        <f>HYPERLINK("https://pbs.twimg.com/profile_images/1027323887833546753/aj4OB3jB.jpg","View")</f>
        <v>View</v>
      </c>
      <c r="V21" s="14"/>
      <c r="W21" s="14"/>
      <c r="X21" s="14"/>
      <c r="Y21" s="14"/>
      <c r="Z21" s="14"/>
    </row>
    <row r="22">
      <c r="A22" s="11">
        <v>43848.86519675926</v>
      </c>
      <c r="B22" s="12" t="str">
        <f>HYPERLINK("https://twitter.com/CanineConsult","@CanineConsult")</f>
        <v>@CanineConsult</v>
      </c>
      <c r="C22" s="1" t="s">
        <v>128</v>
      </c>
      <c r="D22" s="1" t="s">
        <v>129</v>
      </c>
      <c r="E22" s="12" t="str">
        <f>HYPERLINK("https://twitter.com/CanineConsult/status/1218711143084109824","1218711143084109824")</f>
        <v>1218711143084109824</v>
      </c>
      <c r="F22" s="13" t="s">
        <v>130</v>
      </c>
      <c r="G22" s="13" t="s">
        <v>131</v>
      </c>
      <c r="H22" s="14"/>
      <c r="I22" s="15">
        <v>0.0</v>
      </c>
      <c r="J22" s="15">
        <v>0.0</v>
      </c>
      <c r="K22" s="12" t="str">
        <f>HYPERLINK("http://www.mailchimp.com","Mailchimp")</f>
        <v>Mailchimp</v>
      </c>
      <c r="L22" s="16">
        <v>244.0</v>
      </c>
      <c r="M22" s="16">
        <v>343.0</v>
      </c>
      <c r="N22" s="16">
        <v>9.0</v>
      </c>
      <c r="O22" s="17"/>
      <c r="P22" s="18">
        <v>41340.471238425926</v>
      </c>
      <c r="Q22" s="1" t="s">
        <v>132</v>
      </c>
      <c r="R22" s="1" t="s">
        <v>133</v>
      </c>
      <c r="S22" s="13" t="s">
        <v>134</v>
      </c>
      <c r="T22" s="14"/>
      <c r="U22" s="19" t="str">
        <f>HYPERLINK("https://pbs.twimg.com/profile_images/3349844361/9de68d798131b83ebf8a1de9064c66f0.jpeg","View")</f>
        <v>View</v>
      </c>
      <c r="V22" s="14"/>
      <c r="W22" s="14"/>
      <c r="X22" s="14"/>
      <c r="Y22" s="14"/>
      <c r="Z22" s="14"/>
    </row>
    <row r="23">
      <c r="A23" s="11">
        <v>43848.854467592595</v>
      </c>
      <c r="B23" s="12" t="str">
        <f>HYPERLINK("https://twitter.com/TweetedByJeanne","@TweetedByJeanne")</f>
        <v>@TweetedByJeanne</v>
      </c>
      <c r="C23" s="1" t="s">
        <v>135</v>
      </c>
      <c r="D23" s="1" t="s">
        <v>136</v>
      </c>
      <c r="E23" s="12" t="str">
        <f>HYPERLINK("https://twitter.com/TweetedByJeanne/status/1218707254175846400","1218707254175846400")</f>
        <v>1218707254175846400</v>
      </c>
      <c r="F23" s="13" t="s">
        <v>137</v>
      </c>
      <c r="G23" s="13" t="s">
        <v>138</v>
      </c>
      <c r="H23" s="14"/>
      <c r="I23" s="15">
        <v>0.0</v>
      </c>
      <c r="J23" s="15">
        <v>1.0</v>
      </c>
      <c r="K23" s="12" t="str">
        <f>HYPERLINK("https://missinglettr.com","Missinglettr")</f>
        <v>Missinglettr</v>
      </c>
      <c r="L23" s="16">
        <v>759.0</v>
      </c>
      <c r="M23" s="16">
        <v>585.0</v>
      </c>
      <c r="N23" s="16">
        <v>14.0</v>
      </c>
      <c r="O23" s="17"/>
      <c r="P23" s="18">
        <v>39376.24958333334</v>
      </c>
      <c r="Q23" s="14"/>
      <c r="R23" s="1" t="s">
        <v>139</v>
      </c>
      <c r="S23" s="13" t="s">
        <v>140</v>
      </c>
      <c r="T23" s="14"/>
      <c r="U23" s="19" t="str">
        <f>HYPERLINK("https://pbs.twimg.com/profile_images/1212485249222885376/GU9N66dR.jpg","View")</f>
        <v>View</v>
      </c>
      <c r="V23" s="14"/>
      <c r="W23" s="14"/>
      <c r="X23" s="14"/>
      <c r="Y23" s="14"/>
      <c r="Z23" s="14"/>
    </row>
    <row r="24">
      <c r="A24" s="11">
        <v>43848.85427083333</v>
      </c>
      <c r="B24" s="12" t="str">
        <f>HYPERLINK("https://twitter.com/GetInControl","@GetInControl")</f>
        <v>@GetInControl</v>
      </c>
      <c r="C24" s="1" t="s">
        <v>141</v>
      </c>
      <c r="D24" s="1" t="s">
        <v>142</v>
      </c>
      <c r="E24" s="12" t="str">
        <f>HYPERLINK("https://twitter.com/GetInControl/status/1218707182302244865","1218707182302244865")</f>
        <v>1218707182302244865</v>
      </c>
      <c r="F24" s="14"/>
      <c r="G24" s="14"/>
      <c r="H24" s="14"/>
      <c r="I24" s="15">
        <v>0.0</v>
      </c>
      <c r="J24" s="15">
        <v>0.0</v>
      </c>
      <c r="K24" s="12" t="str">
        <f>HYPERLINK("https://www.hootsuite.com","Hootsuite Inc.")</f>
        <v>Hootsuite Inc.</v>
      </c>
      <c r="L24" s="16">
        <v>22186.0</v>
      </c>
      <c r="M24" s="16">
        <v>21835.0</v>
      </c>
      <c r="N24" s="16">
        <v>445.0</v>
      </c>
      <c r="O24" s="17"/>
      <c r="P24" s="18">
        <v>42227.6969212963</v>
      </c>
      <c r="Q24" s="1" t="s">
        <v>143</v>
      </c>
      <c r="R24" s="1" t="s">
        <v>144</v>
      </c>
      <c r="S24" s="13" t="s">
        <v>145</v>
      </c>
      <c r="T24" s="14"/>
      <c r="U24" s="19" t="str">
        <f>HYPERLINK("https://pbs.twimg.com/profile_images/631206513269325824/kbwx8-DF.png","View")</f>
        <v>View</v>
      </c>
      <c r="V24" s="14"/>
      <c r="W24" s="14"/>
      <c r="X24" s="14"/>
      <c r="Y24" s="14"/>
      <c r="Z24" s="14"/>
    </row>
    <row r="25">
      <c r="A25" s="11">
        <v>43848.85413194445</v>
      </c>
      <c r="B25" s="12" t="str">
        <f>HYPERLINK("https://twitter.com/isrgrajan","@isrgrajan")</f>
        <v>@isrgrajan</v>
      </c>
      <c r="C25" s="1" t="s">
        <v>146</v>
      </c>
      <c r="D25" s="1" t="s">
        <v>147</v>
      </c>
      <c r="E25" s="12" t="str">
        <f>HYPERLINK("https://twitter.com/isrgrajan/status/1218707131718762496","1218707131718762496")</f>
        <v>1218707131718762496</v>
      </c>
      <c r="F25" s="13" t="s">
        <v>148</v>
      </c>
      <c r="G25" s="13" t="s">
        <v>149</v>
      </c>
      <c r="H25" s="14"/>
      <c r="I25" s="15">
        <v>0.0</v>
      </c>
      <c r="J25" s="15">
        <v>0.0</v>
      </c>
      <c r="K25" s="12" t="str">
        <f>HYPERLINK("http://www.isrg.in/","Isrg")</f>
        <v>Isrg</v>
      </c>
      <c r="L25" s="16">
        <v>3300.0</v>
      </c>
      <c r="M25" s="16">
        <v>80.0</v>
      </c>
      <c r="N25" s="16">
        <v>45.0</v>
      </c>
      <c r="O25" s="17"/>
      <c r="P25" s="18">
        <v>40108.413819444446</v>
      </c>
      <c r="Q25" s="1" t="s">
        <v>150</v>
      </c>
      <c r="R25" s="1" t="s">
        <v>151</v>
      </c>
      <c r="S25" s="13" t="s">
        <v>152</v>
      </c>
      <c r="T25" s="14"/>
      <c r="U25" s="19" t="str">
        <f>HYPERLINK("https://pbs.twimg.com/profile_images/1190988064765743106/FJrzpCN1.jpg","View")</f>
        <v>View</v>
      </c>
      <c r="V25" s="14"/>
      <c r="W25" s="14"/>
      <c r="X25" s="14"/>
      <c r="Y25" s="14"/>
      <c r="Z25" s="14"/>
    </row>
    <row r="26">
      <c r="A26" s="11">
        <v>43848.83788194445</v>
      </c>
      <c r="B26" s="12" t="str">
        <f>HYPERLINK("https://twitter.com/drdiane_","@drdiane_")</f>
        <v>@drdiane_</v>
      </c>
      <c r="C26" s="1" t="s">
        <v>153</v>
      </c>
      <c r="D26" s="1" t="s">
        <v>154</v>
      </c>
      <c r="E26" s="12" t="str">
        <f>HYPERLINK("https://twitter.com/drdiane_/status/1218701243306192897","1218701243306192897")</f>
        <v>1218701243306192897</v>
      </c>
      <c r="F26" s="13" t="s">
        <v>155</v>
      </c>
      <c r="G26" s="14"/>
      <c r="H26" s="14"/>
      <c r="I26" s="15">
        <v>0.0</v>
      </c>
      <c r="J26" s="15">
        <v>0.0</v>
      </c>
      <c r="K26" s="12" t="str">
        <f>HYPERLINK("http://twitter.com","Twitter Web Client")</f>
        <v>Twitter Web Client</v>
      </c>
      <c r="L26" s="16">
        <v>1142.0</v>
      </c>
      <c r="M26" s="16">
        <v>886.0</v>
      </c>
      <c r="N26" s="16">
        <v>49.0</v>
      </c>
      <c r="O26" s="17"/>
      <c r="P26" s="18">
        <v>40045.9516087963</v>
      </c>
      <c r="Q26" s="1" t="s">
        <v>156</v>
      </c>
      <c r="R26" s="1" t="s">
        <v>157</v>
      </c>
      <c r="S26" s="13" t="s">
        <v>158</v>
      </c>
      <c r="T26" s="14"/>
      <c r="U26" s="19" t="str">
        <f>HYPERLINK("https://pbs.twimg.com/profile_images/397525303/4747-80Edited.jpg","View")</f>
        <v>View</v>
      </c>
      <c r="V26" s="14"/>
      <c r="W26" s="14"/>
      <c r="X26" s="14"/>
      <c r="Y26" s="14"/>
      <c r="Z26" s="14"/>
    </row>
    <row r="27">
      <c r="A27" s="11">
        <v>43848.83346064815</v>
      </c>
      <c r="B27" s="12" t="str">
        <f>HYPERLINK("https://twitter.com/flightwit","@flightwit")</f>
        <v>@flightwit</v>
      </c>
      <c r="C27" s="1" t="s">
        <v>159</v>
      </c>
      <c r="D27" s="1" t="s">
        <v>160</v>
      </c>
      <c r="E27" s="12" t="str">
        <f>HYPERLINK("https://twitter.com/flightwit/status/1218699640201150465","1218699640201150465")</f>
        <v>1218699640201150465</v>
      </c>
      <c r="F27" s="13" t="s">
        <v>161</v>
      </c>
      <c r="G27" s="13" t="s">
        <v>162</v>
      </c>
      <c r="H27" s="14"/>
      <c r="I27" s="15">
        <v>0.0</v>
      </c>
      <c r="J27" s="15">
        <v>0.0</v>
      </c>
      <c r="K27" s="12" t="str">
        <f>HYPERLINK("https://www.socialoomph.com","SocialOomph")</f>
        <v>SocialOomph</v>
      </c>
      <c r="L27" s="16">
        <v>9318.0</v>
      </c>
      <c r="M27" s="16">
        <v>9078.0</v>
      </c>
      <c r="N27" s="16">
        <v>230.0</v>
      </c>
      <c r="O27" s="17"/>
      <c r="P27" s="18">
        <v>39873.53129629629</v>
      </c>
      <c r="Q27" s="1" t="s">
        <v>163</v>
      </c>
      <c r="R27" s="1" t="s">
        <v>164</v>
      </c>
      <c r="S27" s="13" t="s">
        <v>165</v>
      </c>
      <c r="T27" s="14"/>
      <c r="U27" s="19" t="str">
        <f>HYPERLINK("https://pbs.twimg.com/profile_images/459442120999186432/p_n5R9zZ.jpeg","View")</f>
        <v>View</v>
      </c>
      <c r="V27" s="14"/>
      <c r="W27" s="14"/>
      <c r="X27" s="14"/>
      <c r="Y27" s="14"/>
      <c r="Z27" s="14"/>
    </row>
    <row r="28">
      <c r="A28" s="11">
        <v>43848.82988425926</v>
      </c>
      <c r="B28" s="12" t="str">
        <f>HYPERLINK("https://twitter.com/dan_kuschell","@dan_kuschell")</f>
        <v>@dan_kuschell</v>
      </c>
      <c r="C28" s="1" t="s">
        <v>166</v>
      </c>
      <c r="D28" s="1" t="s">
        <v>167</v>
      </c>
      <c r="E28" s="12" t="str">
        <f>HYPERLINK("https://twitter.com/dan_kuschell/status/1218698344446550016","1218698344446550016")</f>
        <v>1218698344446550016</v>
      </c>
      <c r="F28" s="13" t="s">
        <v>168</v>
      </c>
      <c r="G28" s="14"/>
      <c r="H28" s="14"/>
      <c r="I28" s="15">
        <v>0.0</v>
      </c>
      <c r="J28" s="15">
        <v>0.0</v>
      </c>
      <c r="K28" s="12" t="str">
        <f>HYPERLINK("https://www.hootsuite.com","Hootsuite Inc.")</f>
        <v>Hootsuite Inc.</v>
      </c>
      <c r="L28" s="16">
        <v>11283.0</v>
      </c>
      <c r="M28" s="16">
        <v>8496.0</v>
      </c>
      <c r="N28" s="16">
        <v>173.0</v>
      </c>
      <c r="O28" s="17"/>
      <c r="P28" s="18">
        <v>39826.75896990741</v>
      </c>
      <c r="Q28" s="1" t="s">
        <v>169</v>
      </c>
      <c r="R28" s="1" t="s">
        <v>170</v>
      </c>
      <c r="S28" s="13" t="s">
        <v>171</v>
      </c>
      <c r="T28" s="14"/>
      <c r="U28" s="19" t="str">
        <f>HYPERLINK("https://pbs.twimg.com/profile_images/936682916251181056/9yvv9Ac7.jpg","View")</f>
        <v>View</v>
      </c>
      <c r="V28" s="14"/>
      <c r="W28" s="14"/>
      <c r="X28" s="14"/>
      <c r="Y28" s="14"/>
      <c r="Z28" s="14"/>
    </row>
    <row r="29">
      <c r="A29" s="11">
        <v>43848.81664351852</v>
      </c>
      <c r="B29" s="12" t="str">
        <f>HYPERLINK("https://twitter.com/naturals_zen","@naturals_zen")</f>
        <v>@naturals_zen</v>
      </c>
      <c r="C29" s="1" t="s">
        <v>172</v>
      </c>
      <c r="D29" s="1" t="s">
        <v>173</v>
      </c>
      <c r="E29" s="12" t="str">
        <f>HYPERLINK("https://twitter.com/naturals_zen/status/1218693547169320961","1218693547169320961")</f>
        <v>1218693547169320961</v>
      </c>
      <c r="F29" s="13" t="s">
        <v>174</v>
      </c>
      <c r="G29" s="13" t="s">
        <v>175</v>
      </c>
      <c r="H29" s="14"/>
      <c r="I29" s="15">
        <v>0.0</v>
      </c>
      <c r="J29" s="15">
        <v>0.0</v>
      </c>
      <c r="K29" s="12" t="str">
        <f>HYPERLINK("https://mobile.twitter.com","Twitter Web App")</f>
        <v>Twitter Web App</v>
      </c>
      <c r="L29" s="16">
        <v>2.0</v>
      </c>
      <c r="M29" s="16">
        <v>4.0</v>
      </c>
      <c r="N29" s="16">
        <v>0.0</v>
      </c>
      <c r="O29" s="17"/>
      <c r="P29" s="18">
        <v>43665.018437499995</v>
      </c>
      <c r="Q29" s="1" t="s">
        <v>176</v>
      </c>
      <c r="R29" s="1" t="s">
        <v>177</v>
      </c>
      <c r="S29" s="14"/>
      <c r="T29" s="14"/>
      <c r="U29" s="19" t="str">
        <f>HYPERLINK("https://pbs.twimg.com/profile_images/1152072780398989321/9Mvbn8Eh.png","View")</f>
        <v>View</v>
      </c>
      <c r="V29" s="14"/>
      <c r="W29" s="14"/>
      <c r="X29" s="14"/>
      <c r="Y29" s="14"/>
      <c r="Z29" s="14"/>
    </row>
    <row r="30">
      <c r="A30" s="11">
        <v>43848.81270833334</v>
      </c>
      <c r="B30" s="12" t="str">
        <f>HYPERLINK("https://twitter.com/thecrowdview","@thecrowdview")</f>
        <v>@thecrowdview</v>
      </c>
      <c r="C30" s="1" t="s">
        <v>178</v>
      </c>
      <c r="D30" s="1" t="s">
        <v>179</v>
      </c>
      <c r="E30" s="12" t="str">
        <f>HYPERLINK("https://twitter.com/thecrowdview/status/1218692120652828672","1218692120652828672")</f>
        <v>1218692120652828672</v>
      </c>
      <c r="F30" s="13" t="s">
        <v>180</v>
      </c>
      <c r="G30" s="14"/>
      <c r="H30" s="14"/>
      <c r="I30" s="15">
        <v>0.0</v>
      </c>
      <c r="J30" s="15">
        <v>0.0</v>
      </c>
      <c r="K30" s="12" t="str">
        <f>HYPERLINK("http://www.thecrowdview.com","thecrowdview")</f>
        <v>thecrowdview</v>
      </c>
      <c r="L30" s="16">
        <v>4272.0</v>
      </c>
      <c r="M30" s="16">
        <v>1051.0</v>
      </c>
      <c r="N30" s="16">
        <v>126.0</v>
      </c>
      <c r="O30" s="17"/>
      <c r="P30" s="18">
        <v>41470.69158564815</v>
      </c>
      <c r="Q30" s="14"/>
      <c r="R30" s="1" t="s">
        <v>181</v>
      </c>
      <c r="S30" s="14"/>
      <c r="T30" s="14"/>
      <c r="U30" s="19" t="str">
        <f>HYPERLINK("https://pbs.twimg.com/profile_images/923017387221270529/WH_TgSUD.jpg","View")</f>
        <v>View</v>
      </c>
      <c r="V30" s="14"/>
      <c r="W30" s="14"/>
      <c r="X30" s="14"/>
      <c r="Y30" s="14"/>
      <c r="Z30" s="14"/>
    </row>
    <row r="31">
      <c r="A31" s="11">
        <v>43848.81087962963</v>
      </c>
      <c r="B31" s="12" t="str">
        <f>HYPERLINK("https://twitter.com/SheannaRamlogan","@SheannaRamlogan")</f>
        <v>@SheannaRamlogan</v>
      </c>
      <c r="C31" s="1" t="s">
        <v>182</v>
      </c>
      <c r="D31" s="1" t="s">
        <v>183</v>
      </c>
      <c r="E31" s="12" t="str">
        <f>HYPERLINK("https://twitter.com/SheannaRamlogan/status/1218691459374813184","1218691459374813184")</f>
        <v>1218691459374813184</v>
      </c>
      <c r="F31" s="14"/>
      <c r="G31" s="14"/>
      <c r="H31" s="14"/>
      <c r="I31" s="15">
        <v>0.0</v>
      </c>
      <c r="J31" s="15">
        <v>0.0</v>
      </c>
      <c r="K31" s="12" t="str">
        <f t="shared" ref="K31:K32" si="2">HYPERLINK("https://mobile.twitter.com","Twitter Web App")</f>
        <v>Twitter Web App</v>
      </c>
      <c r="L31" s="16">
        <v>1634.0</v>
      </c>
      <c r="M31" s="16">
        <v>185.0</v>
      </c>
      <c r="N31" s="16">
        <v>23.0</v>
      </c>
      <c r="O31" s="17"/>
      <c r="P31" s="18">
        <v>39971.39503472222</v>
      </c>
      <c r="Q31" s="1" t="s">
        <v>184</v>
      </c>
      <c r="R31" s="1" t="s">
        <v>185</v>
      </c>
      <c r="S31" s="14"/>
      <c r="T31" s="14"/>
      <c r="U31" s="19" t="str">
        <f>HYPERLINK("https://pbs.twimg.com/profile_images/1215796090311790592/tI2SXH2q.jpg","View")</f>
        <v>View</v>
      </c>
      <c r="V31" s="14"/>
      <c r="W31" s="14"/>
      <c r="X31" s="14"/>
      <c r="Y31" s="14"/>
      <c r="Z31" s="14"/>
    </row>
    <row r="32">
      <c r="A32" s="11">
        <v>43848.8091087963</v>
      </c>
      <c r="B32" s="12" t="str">
        <f>HYPERLINK("https://twitter.com/NathanMDCunha","@NathanMDCunha")</f>
        <v>@NathanMDCunha</v>
      </c>
      <c r="C32" s="1" t="s">
        <v>186</v>
      </c>
      <c r="D32" s="1" t="s">
        <v>187</v>
      </c>
      <c r="E32" s="12" t="str">
        <f>HYPERLINK("https://twitter.com/NathanMDCunha/status/1218690814504620032","1218690814504620032")</f>
        <v>1218690814504620032</v>
      </c>
      <c r="F32" s="13" t="s">
        <v>188</v>
      </c>
      <c r="G32" s="14"/>
      <c r="H32" s="14"/>
      <c r="I32" s="15">
        <v>1.0</v>
      </c>
      <c r="J32" s="15">
        <v>0.0</v>
      </c>
      <c r="K32" s="12" t="str">
        <f t="shared" si="2"/>
        <v>Twitter Web App</v>
      </c>
      <c r="L32" s="16">
        <v>896.0</v>
      </c>
      <c r="M32" s="16">
        <v>803.0</v>
      </c>
      <c r="N32" s="16">
        <v>40.0</v>
      </c>
      <c r="O32" s="17"/>
      <c r="P32" s="18">
        <v>41741.971863425926</v>
      </c>
      <c r="Q32" s="1" t="s">
        <v>189</v>
      </c>
      <c r="R32" s="1" t="s">
        <v>190</v>
      </c>
      <c r="S32" s="13" t="s">
        <v>191</v>
      </c>
      <c r="T32" s="14"/>
      <c r="U32" s="19" t="str">
        <f>HYPERLINK("https://pbs.twimg.com/profile_images/1152028754358632448/1IEpN86l.jpg","View")</f>
        <v>View</v>
      </c>
      <c r="V32" s="14"/>
      <c r="W32" s="14"/>
      <c r="X32" s="14"/>
      <c r="Y32" s="14"/>
      <c r="Z32" s="14"/>
    </row>
    <row r="33">
      <c r="A33" s="11">
        <v>43848.80236111111</v>
      </c>
      <c r="B33" s="12" t="str">
        <f>HYPERLINK("https://twitter.com/Ohioman2010","@Ohioman2010")</f>
        <v>@Ohioman2010</v>
      </c>
      <c r="C33" s="1" t="s">
        <v>192</v>
      </c>
      <c r="D33" s="1" t="s">
        <v>193</v>
      </c>
      <c r="E33" s="12" t="str">
        <f>HYPERLINK("https://twitter.com/Ohioman2010/status/1218688370890747905","1218688370890747905")</f>
        <v>1218688370890747905</v>
      </c>
      <c r="F33" s="13" t="s">
        <v>194</v>
      </c>
      <c r="G33" s="14"/>
      <c r="H33" s="14"/>
      <c r="I33" s="15">
        <v>0.0</v>
      </c>
      <c r="J33" s="15">
        <v>0.0</v>
      </c>
      <c r="K33" s="12" t="str">
        <f>HYPERLINK("http://twitter.com","Twitter Web Client")</f>
        <v>Twitter Web Client</v>
      </c>
      <c r="L33" s="16">
        <v>2367.0</v>
      </c>
      <c r="M33" s="16">
        <v>1482.0</v>
      </c>
      <c r="N33" s="16">
        <v>231.0</v>
      </c>
      <c r="O33" s="17"/>
      <c r="P33" s="18">
        <v>40435.43912037037</v>
      </c>
      <c r="Q33" s="1" t="s">
        <v>195</v>
      </c>
      <c r="R33" s="1" t="s">
        <v>196</v>
      </c>
      <c r="S33" s="13" t="s">
        <v>197</v>
      </c>
      <c r="T33" s="14"/>
      <c r="U33" s="19" t="str">
        <f>HYPERLINK("https://pbs.twimg.com/profile_images/1095129599170748416/GfYj0DEO.jpg","View")</f>
        <v>View</v>
      </c>
      <c r="V33" s="14"/>
      <c r="W33" s="14"/>
      <c r="X33" s="14"/>
      <c r="Y33" s="14"/>
      <c r="Z33" s="14"/>
    </row>
    <row r="34">
      <c r="A34" s="11">
        <v>43848.7920949074</v>
      </c>
      <c r="B34" s="12" t="str">
        <f>HYPERLINK("https://twitter.com/HypnoNook","@HypnoNook")</f>
        <v>@HypnoNook</v>
      </c>
      <c r="C34" s="1" t="s">
        <v>198</v>
      </c>
      <c r="D34" s="1" t="s">
        <v>199</v>
      </c>
      <c r="E34" s="12" t="str">
        <f>HYPERLINK("https://twitter.com/HypnoNook/status/1218684652027891715","1218684652027891715")</f>
        <v>1218684652027891715</v>
      </c>
      <c r="F34" s="13" t="s">
        <v>200</v>
      </c>
      <c r="G34" s="13" t="s">
        <v>201</v>
      </c>
      <c r="H34" s="14"/>
      <c r="I34" s="15">
        <v>0.0</v>
      </c>
      <c r="J34" s="15">
        <v>0.0</v>
      </c>
      <c r="K34" s="12" t="str">
        <f>HYPERLINK("https://webitix.com","TheTweetPoster")</f>
        <v>TheTweetPoster</v>
      </c>
      <c r="L34" s="16">
        <v>0.0</v>
      </c>
      <c r="M34" s="16">
        <v>0.0</v>
      </c>
      <c r="N34" s="16">
        <v>0.0</v>
      </c>
      <c r="O34" s="17"/>
      <c r="P34" s="18">
        <v>43541.87041666667</v>
      </c>
      <c r="Q34" s="14"/>
      <c r="R34" s="14"/>
      <c r="S34" s="14"/>
      <c r="T34" s="14"/>
      <c r="U34" s="20" t="s">
        <v>202</v>
      </c>
      <c r="V34" s="14"/>
      <c r="W34" s="14"/>
      <c r="X34" s="14"/>
      <c r="Y34" s="14"/>
      <c r="Z34" s="14"/>
    </row>
    <row r="35">
      <c r="A35" s="11">
        <v>43848.78903935185</v>
      </c>
      <c r="B35" s="12" t="str">
        <f>HYPERLINK("https://twitter.com/LyliaRose","@LyliaRose")</f>
        <v>@LyliaRose</v>
      </c>
      <c r="C35" s="1" t="s">
        <v>203</v>
      </c>
      <c r="D35" s="1" t="s">
        <v>204</v>
      </c>
      <c r="E35" s="12" t="str">
        <f>HYPERLINK("https://twitter.com/LyliaRose/status/1218683545452834816","1218683545452834816")</f>
        <v>1218683545452834816</v>
      </c>
      <c r="F35" s="13" t="s">
        <v>205</v>
      </c>
      <c r="G35" s="13" t="s">
        <v>206</v>
      </c>
      <c r="H35" s="14"/>
      <c r="I35" s="15">
        <v>1.0</v>
      </c>
      <c r="J35" s="15">
        <v>1.0</v>
      </c>
      <c r="K35" s="12" t="str">
        <f>HYPERLINK("https://www.socialoomph.com","SocialOomph")</f>
        <v>SocialOomph</v>
      </c>
      <c r="L35" s="16">
        <v>60109.0</v>
      </c>
      <c r="M35" s="16">
        <v>29168.0</v>
      </c>
      <c r="N35" s="16">
        <v>2348.0</v>
      </c>
      <c r="O35" s="17"/>
      <c r="P35" s="18">
        <v>41129.15584490741</v>
      </c>
      <c r="Q35" s="1" t="s">
        <v>207</v>
      </c>
      <c r="R35" s="1" t="s">
        <v>208</v>
      </c>
      <c r="S35" s="13" t="s">
        <v>209</v>
      </c>
      <c r="T35" s="14"/>
      <c r="U35" s="19" t="str">
        <f>HYPERLINK("https://pbs.twimg.com/profile_images/1174019703431413760/dTOFVvHZ.jpg","View")</f>
        <v>View</v>
      </c>
      <c r="V35" s="14"/>
      <c r="W35" s="14"/>
      <c r="X35" s="14"/>
      <c r="Y35" s="14"/>
      <c r="Z35" s="14"/>
    </row>
    <row r="36">
      <c r="A36" s="11">
        <v>43848.78476851852</v>
      </c>
      <c r="B36" s="12" t="str">
        <f>HYPERLINK("https://twitter.com/smallbizbonfire","@smallbizbonfire")</f>
        <v>@smallbizbonfire</v>
      </c>
      <c r="C36" s="1" t="s">
        <v>210</v>
      </c>
      <c r="D36" s="1" t="s">
        <v>211</v>
      </c>
      <c r="E36" s="12" t="str">
        <f>HYPERLINK("https://twitter.com/smallbizbonfire/status/1218681996190216193","1218681996190216193")</f>
        <v>1218681996190216193</v>
      </c>
      <c r="F36" s="13" t="s">
        <v>212</v>
      </c>
      <c r="G36" s="14"/>
      <c r="H36" s="14"/>
      <c r="I36" s="15">
        <v>0.0</v>
      </c>
      <c r="J36" s="15">
        <v>1.0</v>
      </c>
      <c r="K36" s="12" t="str">
        <f>HYPERLINK("https://www.hootsuite.com","Hootsuite Inc.")</f>
        <v>Hootsuite Inc.</v>
      </c>
      <c r="L36" s="16">
        <v>21534.0</v>
      </c>
      <c r="M36" s="16">
        <v>17263.0</v>
      </c>
      <c r="N36" s="16">
        <v>1514.0</v>
      </c>
      <c r="O36" s="17"/>
      <c r="P36" s="18">
        <v>40264.32712962963</v>
      </c>
      <c r="Q36" s="1" t="s">
        <v>213</v>
      </c>
      <c r="R36" s="1" t="s">
        <v>214</v>
      </c>
      <c r="S36" s="13" t="s">
        <v>215</v>
      </c>
      <c r="T36" s="14"/>
      <c r="U36" s="19" t="str">
        <f>HYPERLINK("https://pbs.twimg.com/profile_images/952207473024397313/qduxv6wU.jpg","View")</f>
        <v>View</v>
      </c>
      <c r="V36" s="14"/>
      <c r="W36" s="14"/>
      <c r="X36" s="14"/>
      <c r="Y36" s="14"/>
      <c r="Z36" s="14"/>
    </row>
    <row r="37">
      <c r="A37" s="11">
        <v>43848.78361111111</v>
      </c>
      <c r="B37" s="12" t="str">
        <f>HYPERLINK("https://twitter.com/DubiousByName","@DubiousByName")</f>
        <v>@DubiousByName</v>
      </c>
      <c r="C37" s="1" t="s">
        <v>216</v>
      </c>
      <c r="D37" s="1" t="s">
        <v>217</v>
      </c>
      <c r="E37" s="12" t="str">
        <f>HYPERLINK("https://twitter.com/DubiousByName/status/1218681575635685377","1218681575635685377")</f>
        <v>1218681575635685377</v>
      </c>
      <c r="F37" s="13" t="s">
        <v>218</v>
      </c>
      <c r="G37" s="14"/>
      <c r="H37" s="14"/>
      <c r="I37" s="15">
        <v>0.0</v>
      </c>
      <c r="J37" s="15">
        <v>1.0</v>
      </c>
      <c r="K37" s="12" t="str">
        <f>HYPERLINK("https://mobile.twitter.com","Twitter Web App")</f>
        <v>Twitter Web App</v>
      </c>
      <c r="L37" s="16">
        <v>6680.0</v>
      </c>
      <c r="M37" s="16">
        <v>6747.0</v>
      </c>
      <c r="N37" s="16">
        <v>46.0</v>
      </c>
      <c r="O37" s="17"/>
      <c r="P37" s="18">
        <v>40497.82263888889</v>
      </c>
      <c r="Q37" s="1" t="s">
        <v>219</v>
      </c>
      <c r="R37" s="1" t="s">
        <v>220</v>
      </c>
      <c r="S37" s="13" t="s">
        <v>221</v>
      </c>
      <c r="T37" s="14"/>
      <c r="U37" s="19" t="str">
        <f>HYPERLINK("https://pbs.twimg.com/profile_images/1118094275835645952/1x8kRyAy.png","View")</f>
        <v>View</v>
      </c>
      <c r="V37" s="14"/>
      <c r="W37" s="14"/>
      <c r="X37" s="14"/>
      <c r="Y37" s="14"/>
      <c r="Z37" s="14"/>
    </row>
    <row r="38">
      <c r="A38" s="11">
        <v>43848.78266203703</v>
      </c>
      <c r="B38" s="12" t="str">
        <f>HYPERLINK("https://twitter.com/C4Leader","@C4Leader")</f>
        <v>@C4Leader</v>
      </c>
      <c r="C38" s="1" t="s">
        <v>222</v>
      </c>
      <c r="D38" s="21" t="s">
        <v>223</v>
      </c>
      <c r="E38" s="12" t="str">
        <f>HYPERLINK("https://twitter.com/C4Leader/status/1218681231661043714","1218681231661043714")</f>
        <v>1218681231661043714</v>
      </c>
      <c r="F38" s="13" t="s">
        <v>224</v>
      </c>
      <c r="G38" s="13" t="s">
        <v>225</v>
      </c>
      <c r="H38" s="14"/>
      <c r="I38" s="15">
        <v>0.0</v>
      </c>
      <c r="J38" s="15">
        <v>0.0</v>
      </c>
      <c r="K38" s="12" t="str">
        <f>HYPERLINK("https://buffer.com","Buffer")</f>
        <v>Buffer</v>
      </c>
      <c r="L38" s="16">
        <v>71.0</v>
      </c>
      <c r="M38" s="16">
        <v>25.0</v>
      </c>
      <c r="N38" s="16">
        <v>111.0</v>
      </c>
      <c r="O38" s="17"/>
      <c r="P38" s="18">
        <v>42223.354675925926</v>
      </c>
      <c r="Q38" s="1" t="s">
        <v>226</v>
      </c>
      <c r="R38" s="1" t="s">
        <v>227</v>
      </c>
      <c r="S38" s="13" t="s">
        <v>228</v>
      </c>
      <c r="T38" s="14"/>
      <c r="U38" s="19" t="str">
        <f>HYPERLINK("https://pbs.twimg.com/profile_images/629631361943343104/gLJV67fM.jpg","View")</f>
        <v>View</v>
      </c>
      <c r="V38" s="14"/>
      <c r="W38" s="14"/>
      <c r="X38" s="14"/>
      <c r="Y38" s="14"/>
      <c r="Z38" s="14"/>
    </row>
    <row r="39">
      <c r="A39" s="11">
        <v>43848.78263888889</v>
      </c>
      <c r="B39" s="12" t="str">
        <f>HYPERLINK("https://twitter.com/IntelliCentric","@IntelliCentric")</f>
        <v>@IntelliCentric</v>
      </c>
      <c r="C39" s="1" t="s">
        <v>229</v>
      </c>
      <c r="D39" s="1" t="s">
        <v>230</v>
      </c>
      <c r="E39" s="12" t="str">
        <f>HYPERLINK("https://twitter.com/IntelliCentric/status/1218681223071051777","1218681223071051777")</f>
        <v>1218681223071051777</v>
      </c>
      <c r="F39" s="13" t="s">
        <v>231</v>
      </c>
      <c r="G39" s="13" t="s">
        <v>232</v>
      </c>
      <c r="H39" s="14"/>
      <c r="I39" s="15">
        <v>0.0</v>
      </c>
      <c r="J39" s="15">
        <v>1.0</v>
      </c>
      <c r="K39" s="12" t="str">
        <f>HYPERLINK("https://about.twitter.com/products/tweetdeck","TweetDeck")</f>
        <v>TweetDeck</v>
      </c>
      <c r="L39" s="16">
        <v>553.0</v>
      </c>
      <c r="M39" s="16">
        <v>798.0</v>
      </c>
      <c r="N39" s="16">
        <v>10.0</v>
      </c>
      <c r="O39" s="17"/>
      <c r="P39" s="18">
        <v>41060.62496527778</v>
      </c>
      <c r="Q39" s="1" t="s">
        <v>233</v>
      </c>
      <c r="R39" s="1" t="s">
        <v>234</v>
      </c>
      <c r="S39" s="13" t="s">
        <v>235</v>
      </c>
      <c r="T39" s="14"/>
      <c r="U39" s="19" t="str">
        <f>HYPERLINK("https://pbs.twimg.com/profile_images/731520753049341953/eSeeSB12.jpg","View")</f>
        <v>View</v>
      </c>
      <c r="V39" s="14"/>
      <c r="W39" s="14"/>
      <c r="X39" s="14"/>
      <c r="Y39" s="14"/>
      <c r="Z39" s="14"/>
    </row>
    <row r="40">
      <c r="A40" s="11">
        <v>43848.77013888889</v>
      </c>
      <c r="B40" s="12" t="str">
        <f>HYPERLINK("https://twitter.com/eduk8me","@eduk8me")</f>
        <v>@eduk8me</v>
      </c>
      <c r="C40" s="1" t="s">
        <v>236</v>
      </c>
      <c r="D40" s="1" t="s">
        <v>237</v>
      </c>
      <c r="E40" s="12" t="str">
        <f>HYPERLINK("https://twitter.com/eduk8me/status/1218676696209117185","1218676696209117185")</f>
        <v>1218676696209117185</v>
      </c>
      <c r="F40" s="13" t="s">
        <v>238</v>
      </c>
      <c r="G40" s="14"/>
      <c r="H40" s="14"/>
      <c r="I40" s="15">
        <v>0.0</v>
      </c>
      <c r="J40" s="15">
        <v>0.0</v>
      </c>
      <c r="K40" s="12" t="str">
        <f t="shared" ref="K40:K41" si="3">HYPERLINK("https://buffer.com","Buffer")</f>
        <v>Buffer</v>
      </c>
      <c r="L40" s="16">
        <v>11133.0</v>
      </c>
      <c r="M40" s="16">
        <v>6825.0</v>
      </c>
      <c r="N40" s="16">
        <v>235.0</v>
      </c>
      <c r="O40" s="17"/>
      <c r="P40" s="18">
        <v>40000.442025462966</v>
      </c>
      <c r="Q40" s="1" t="s">
        <v>239</v>
      </c>
      <c r="R40" s="1" t="s">
        <v>240</v>
      </c>
      <c r="S40" s="13" t="s">
        <v>241</v>
      </c>
      <c r="T40" s="14"/>
      <c r="U40" s="19" t="str">
        <f>HYPERLINK("https://pbs.twimg.com/profile_images/1148552832959811584/dibzweTO.jpg","View")</f>
        <v>View</v>
      </c>
      <c r="V40" s="14"/>
      <c r="W40" s="14"/>
      <c r="X40" s="14"/>
      <c r="Y40" s="14"/>
      <c r="Z40" s="14"/>
    </row>
    <row r="41">
      <c r="A41" s="11">
        <v>43848.77013888889</v>
      </c>
      <c r="B41" s="12" t="str">
        <f>HYPERLINK("https://twitter.com/mr_rcollins","@mr_rcollins")</f>
        <v>@mr_rcollins</v>
      </c>
      <c r="C41" s="1" t="s">
        <v>242</v>
      </c>
      <c r="D41" s="1" t="s">
        <v>237</v>
      </c>
      <c r="E41" s="12" t="str">
        <f>HYPERLINK("https://twitter.com/mr_rcollins/status/1218676695873605632","1218676695873605632")</f>
        <v>1218676695873605632</v>
      </c>
      <c r="F41" s="13" t="s">
        <v>243</v>
      </c>
      <c r="G41" s="14"/>
      <c r="H41" s="14"/>
      <c r="I41" s="15">
        <v>0.0</v>
      </c>
      <c r="J41" s="15">
        <v>0.0</v>
      </c>
      <c r="K41" s="12" t="str">
        <f t="shared" si="3"/>
        <v>Buffer</v>
      </c>
      <c r="L41" s="16">
        <v>7758.0</v>
      </c>
      <c r="M41" s="16">
        <v>6149.0</v>
      </c>
      <c r="N41" s="16">
        <v>229.0</v>
      </c>
      <c r="O41" s="17"/>
      <c r="P41" s="18">
        <v>39315.780335648145</v>
      </c>
      <c r="Q41" s="1" t="s">
        <v>244</v>
      </c>
      <c r="R41" s="1" t="s">
        <v>245</v>
      </c>
      <c r="S41" s="13" t="s">
        <v>246</v>
      </c>
      <c r="T41" s="14"/>
      <c r="U41" s="19" t="str">
        <f>HYPERLINK("https://pbs.twimg.com/profile_images/1142756425376116738/FnDZZJax.png","View")</f>
        <v>View</v>
      </c>
      <c r="V41" s="14"/>
      <c r="W41" s="14"/>
      <c r="X41" s="14"/>
      <c r="Y41" s="14"/>
      <c r="Z41" s="14"/>
    </row>
    <row r="42">
      <c r="A42" s="11">
        <v>43848.76600694444</v>
      </c>
      <c r="B42" s="12" t="str">
        <f>HYPERLINK("https://twitter.com/renascencemusic","@renascencemusic")</f>
        <v>@renascencemusic</v>
      </c>
      <c r="C42" s="1" t="s">
        <v>247</v>
      </c>
      <c r="D42" s="1" t="s">
        <v>248</v>
      </c>
      <c r="E42" s="12" t="str">
        <f>HYPERLINK("https://twitter.com/renascencemusic/status/1218675199035559937","1218675199035559937")</f>
        <v>1218675199035559937</v>
      </c>
      <c r="F42" s="13" t="s">
        <v>249</v>
      </c>
      <c r="G42" s="13" t="s">
        <v>250</v>
      </c>
      <c r="H42" s="14"/>
      <c r="I42" s="15">
        <v>1.0</v>
      </c>
      <c r="J42" s="15">
        <v>1.0</v>
      </c>
      <c r="K42" s="12" t="str">
        <f>HYPERLINK("https://www.socialoomph.com","SocialOomph")</f>
        <v>SocialOomph</v>
      </c>
      <c r="L42" s="16">
        <v>13031.0</v>
      </c>
      <c r="M42" s="16">
        <v>11650.0</v>
      </c>
      <c r="N42" s="16">
        <v>219.0</v>
      </c>
      <c r="O42" s="17"/>
      <c r="P42" s="18">
        <v>42470.67052083333</v>
      </c>
      <c r="Q42" s="1" t="s">
        <v>251</v>
      </c>
      <c r="R42" s="1" t="s">
        <v>252</v>
      </c>
      <c r="S42" s="13" t="s">
        <v>253</v>
      </c>
      <c r="T42" s="14"/>
      <c r="U42" s="19" t="str">
        <f>HYPERLINK("https://pbs.twimg.com/profile_images/1123407512743612416/g721ra2J.png","View")</f>
        <v>View</v>
      </c>
      <c r="V42" s="14"/>
      <c r="W42" s="14"/>
      <c r="X42" s="14"/>
      <c r="Y42" s="14"/>
      <c r="Z42" s="14"/>
    </row>
    <row r="43">
      <c r="A43" s="11">
        <v>43848.76048611111</v>
      </c>
      <c r="B43" s="12" t="str">
        <f>HYPERLINK("https://twitter.com/medschooladvice","@medschooladvice")</f>
        <v>@medschooladvice</v>
      </c>
      <c r="C43" s="1" t="s">
        <v>254</v>
      </c>
      <c r="D43" s="1" t="s">
        <v>255</v>
      </c>
      <c r="E43" s="12" t="str">
        <f>HYPERLINK("https://twitter.com/medschooladvice/status/1218673195781382150","1218673195781382150")</f>
        <v>1218673195781382150</v>
      </c>
      <c r="F43" s="14"/>
      <c r="G43" s="14"/>
      <c r="H43" s="14"/>
      <c r="I43" s="15">
        <v>11.0</v>
      </c>
      <c r="J43" s="15">
        <v>43.0</v>
      </c>
      <c r="K43" s="12" t="str">
        <f>HYPERLINK("https://www.hootsuite.com","Hootsuite Inc.")</f>
        <v>Hootsuite Inc.</v>
      </c>
      <c r="L43" s="16">
        <v>117539.0</v>
      </c>
      <c r="M43" s="16">
        <v>155.0</v>
      </c>
      <c r="N43" s="16">
        <v>964.0</v>
      </c>
      <c r="O43" s="17"/>
      <c r="P43" s="18">
        <v>40545.640706018516</v>
      </c>
      <c r="Q43" s="1" t="s">
        <v>256</v>
      </c>
      <c r="R43" s="1" t="s">
        <v>257</v>
      </c>
      <c r="S43" s="13" t="s">
        <v>258</v>
      </c>
      <c r="T43" s="14"/>
      <c r="U43" s="19" t="str">
        <f>HYPERLINK("https://pbs.twimg.com/profile_images/1071835761740275712/We38TGnf.jpg","View")</f>
        <v>View</v>
      </c>
      <c r="V43" s="14"/>
      <c r="W43" s="14"/>
      <c r="X43" s="14"/>
      <c r="Y43" s="14"/>
      <c r="Z43" s="14"/>
    </row>
    <row r="44">
      <c r="A44" s="11">
        <v>43848.75790509259</v>
      </c>
      <c r="B44" s="12" t="str">
        <f>HYPERLINK("https://twitter.com/naturalhealthbl","@naturalhealthbl")</f>
        <v>@naturalhealthbl</v>
      </c>
      <c r="C44" s="1" t="s">
        <v>259</v>
      </c>
      <c r="D44" s="1" t="s">
        <v>260</v>
      </c>
      <c r="E44" s="12" t="str">
        <f>HYPERLINK("https://twitter.com/naturalhealthbl/status/1218672261865054208","1218672261865054208")</f>
        <v>1218672261865054208</v>
      </c>
      <c r="F44" s="13" t="s">
        <v>261</v>
      </c>
      <c r="G44" s="13" t="s">
        <v>262</v>
      </c>
      <c r="H44" s="14"/>
      <c r="I44" s="15">
        <v>0.0</v>
      </c>
      <c r="J44" s="15">
        <v>0.0</v>
      </c>
      <c r="K44" s="12" t="str">
        <f>HYPERLINK("https://mobile.twitter.com","Twitter Web App")</f>
        <v>Twitter Web App</v>
      </c>
      <c r="L44" s="16">
        <v>1793.0</v>
      </c>
      <c r="M44" s="16">
        <v>1569.0</v>
      </c>
      <c r="N44" s="16">
        <v>180.0</v>
      </c>
      <c r="O44" s="17"/>
      <c r="P44" s="18">
        <v>41475.38408564815</v>
      </c>
      <c r="Q44" s="1" t="s">
        <v>263</v>
      </c>
      <c r="R44" s="1" t="s">
        <v>264</v>
      </c>
      <c r="S44" s="13" t="s">
        <v>265</v>
      </c>
      <c r="T44" s="14"/>
      <c r="U44" s="19" t="str">
        <f>HYPERLINK("https://pbs.twimg.com/profile_images/1217967343135023105/rnonJTby.jpg","View")</f>
        <v>View</v>
      </c>
      <c r="V44" s="14"/>
      <c r="W44" s="14"/>
      <c r="X44" s="14"/>
      <c r="Y44" s="14"/>
      <c r="Z44" s="14"/>
    </row>
    <row r="45">
      <c r="A45" s="11">
        <v>43848.755162037036</v>
      </c>
      <c r="B45" s="12" t="str">
        <f>HYPERLINK("https://twitter.com/hakanIakyol","@hakanIakyol")</f>
        <v>@hakanIakyol</v>
      </c>
      <c r="C45" s="1" t="s">
        <v>266</v>
      </c>
      <c r="D45" s="1" t="s">
        <v>267</v>
      </c>
      <c r="E45" s="12" t="str">
        <f>HYPERLINK("https://twitter.com/hakanIakyol/status/1218671268670726144","1218671268670726144")</f>
        <v>1218671268670726144</v>
      </c>
      <c r="F45" s="14"/>
      <c r="G45" s="14"/>
      <c r="H45" s="14"/>
      <c r="I45" s="15">
        <v>0.0</v>
      </c>
      <c r="J45" s="15">
        <v>0.0</v>
      </c>
      <c r="K45" s="12" t="str">
        <f>HYPERLINK("http://twitter.com/download/iphone","Twitter for iPhone")</f>
        <v>Twitter for iPhone</v>
      </c>
      <c r="L45" s="16">
        <v>7.0</v>
      </c>
      <c r="M45" s="16">
        <v>230.0</v>
      </c>
      <c r="N45" s="16">
        <v>0.0</v>
      </c>
      <c r="O45" s="17"/>
      <c r="P45" s="18">
        <v>43144.96097222222</v>
      </c>
      <c r="Q45" s="1" t="s">
        <v>268</v>
      </c>
      <c r="R45" s="1" t="s">
        <v>269</v>
      </c>
      <c r="S45" s="14"/>
      <c r="T45" s="14"/>
      <c r="U45" s="19" t="str">
        <f>HYPERLINK("https://pbs.twimg.com/profile_images/1218344659480666112/2_WwHwUr.jpg","View")</f>
        <v>View</v>
      </c>
      <c r="V45" s="14"/>
      <c r="W45" s="14"/>
      <c r="X45" s="14"/>
      <c r="Y45" s="14"/>
      <c r="Z45" s="14"/>
    </row>
    <row r="46">
      <c r="A46" s="11">
        <v>43848.75138888889</v>
      </c>
      <c r="B46" s="12" t="str">
        <f>HYPERLINK("https://twitter.com/SipCourage","@SipCourage")</f>
        <v>@SipCourage</v>
      </c>
      <c r="C46" s="1" t="s">
        <v>270</v>
      </c>
      <c r="D46" s="1" t="s">
        <v>271</v>
      </c>
      <c r="E46" s="12" t="str">
        <f>HYPERLINK("https://twitter.com/SipCourage/status/1218669900237037569","1218669900237037569")</f>
        <v>1218669900237037569</v>
      </c>
      <c r="F46" s="13" t="s">
        <v>272</v>
      </c>
      <c r="G46" s="14"/>
      <c r="H46" s="14"/>
      <c r="I46" s="15">
        <v>0.0</v>
      </c>
      <c r="J46" s="15">
        <v>3.0</v>
      </c>
      <c r="K46" s="12" t="str">
        <f>HYPERLINK("https://buffer.com","Buffer")</f>
        <v>Buffer</v>
      </c>
      <c r="L46" s="16">
        <v>11532.0</v>
      </c>
      <c r="M46" s="16">
        <v>11161.0</v>
      </c>
      <c r="N46" s="16">
        <v>67.0</v>
      </c>
      <c r="O46" s="17"/>
      <c r="P46" s="18">
        <v>43567.57980324074</v>
      </c>
      <c r="Q46" s="1" t="s">
        <v>115</v>
      </c>
      <c r="R46" s="1" t="s">
        <v>273</v>
      </c>
      <c r="S46" s="13" t="s">
        <v>274</v>
      </c>
      <c r="T46" s="14"/>
      <c r="U46" s="19" t="str">
        <f>HYPERLINK("https://pbs.twimg.com/profile_images/1116772004894523392/MD8DI7fb.png","View")</f>
        <v>View</v>
      </c>
      <c r="V46" s="14"/>
      <c r="W46" s="14"/>
      <c r="X46" s="14"/>
      <c r="Y46" s="14"/>
      <c r="Z46" s="14"/>
    </row>
    <row r="47">
      <c r="A47" s="11">
        <v>43848.74005787037</v>
      </c>
      <c r="B47" s="12" t="str">
        <f>HYPERLINK("https://twitter.com/loribethmeunier","@loribethmeunier")</f>
        <v>@loribethmeunier</v>
      </c>
      <c r="C47" s="1" t="s">
        <v>275</v>
      </c>
      <c r="D47" s="1" t="s">
        <v>276</v>
      </c>
      <c r="E47" s="12" t="str">
        <f>HYPERLINK("https://twitter.com/loribethmeunier/status/1218665791262011393","1218665791262011393")</f>
        <v>1218665791262011393</v>
      </c>
      <c r="F47" s="13" t="s">
        <v>277</v>
      </c>
      <c r="G47" s="13" t="s">
        <v>278</v>
      </c>
      <c r="H47" s="14"/>
      <c r="I47" s="15">
        <v>0.0</v>
      </c>
      <c r="J47" s="15">
        <v>1.0</v>
      </c>
      <c r="K47" s="12" t="str">
        <f>HYPERLINK("http://www.edgetheory.com","EdgeTheory")</f>
        <v>EdgeTheory</v>
      </c>
      <c r="L47" s="16">
        <v>137.0</v>
      </c>
      <c r="M47" s="16">
        <v>176.0</v>
      </c>
      <c r="N47" s="16">
        <v>5.0</v>
      </c>
      <c r="O47" s="17"/>
      <c r="P47" s="18">
        <v>40968.83222222222</v>
      </c>
      <c r="Q47" s="1" t="s">
        <v>279</v>
      </c>
      <c r="R47" s="1" t="s">
        <v>280</v>
      </c>
      <c r="S47" s="13" t="s">
        <v>281</v>
      </c>
      <c r="T47" s="14"/>
      <c r="U47" s="19" t="str">
        <f>HYPERLINK("https://pbs.twimg.com/profile_images/890569911029968896/CYGuBavV.jpg","View")</f>
        <v>View</v>
      </c>
      <c r="V47" s="14"/>
      <c r="W47" s="14"/>
      <c r="X47" s="14"/>
      <c r="Y47" s="14"/>
      <c r="Z47" s="14"/>
    </row>
    <row r="48">
      <c r="A48" s="11">
        <v>43848.73960648148</v>
      </c>
      <c r="B48" s="12" t="str">
        <f>HYPERLINK("https://twitter.com/thestressclinic","@thestressclinic")</f>
        <v>@thestressclinic</v>
      </c>
      <c r="C48" s="1" t="s">
        <v>282</v>
      </c>
      <c r="D48" s="1" t="s">
        <v>283</v>
      </c>
      <c r="E48" s="12" t="str">
        <f>HYPERLINK("https://twitter.com/thestressclinic/status/1218665630196477954","1218665630196477954")</f>
        <v>1218665630196477954</v>
      </c>
      <c r="F48" s="14"/>
      <c r="G48" s="14"/>
      <c r="H48" s="14"/>
      <c r="I48" s="15">
        <v>0.0</v>
      </c>
      <c r="J48" s="15">
        <v>0.0</v>
      </c>
      <c r="K48" s="12" t="str">
        <f t="shared" ref="K48:K49" si="4">HYPERLINK("https://www.hootsuite.com","Hootsuite Inc.")</f>
        <v>Hootsuite Inc.</v>
      </c>
      <c r="L48" s="16">
        <v>548.0</v>
      </c>
      <c r="M48" s="16">
        <v>148.0</v>
      </c>
      <c r="N48" s="16">
        <v>21.0</v>
      </c>
      <c r="O48" s="17"/>
      <c r="P48" s="18">
        <v>40837.51666666666</v>
      </c>
      <c r="Q48" s="1" t="s">
        <v>284</v>
      </c>
      <c r="R48" s="1" t="s">
        <v>285</v>
      </c>
      <c r="S48" s="13" t="s">
        <v>286</v>
      </c>
      <c r="T48" s="14"/>
      <c r="U48" s="19" t="str">
        <f>HYPERLINK("https://pbs.twimg.com/profile_images/1786841943/RelaxButton.jpg","View")</f>
        <v>View</v>
      </c>
      <c r="V48" s="14"/>
      <c r="W48" s="14"/>
      <c r="X48" s="14"/>
      <c r="Y48" s="14"/>
      <c r="Z48" s="14"/>
    </row>
    <row r="49">
      <c r="A49" s="11">
        <v>43848.73614583333</v>
      </c>
      <c r="B49" s="12" t="str">
        <f>HYPERLINK("https://twitter.com/New_Beginnings_","@New_Beginnings_")</f>
        <v>@New_Beginnings_</v>
      </c>
      <c r="C49" s="1" t="s">
        <v>287</v>
      </c>
      <c r="D49" s="1" t="s">
        <v>288</v>
      </c>
      <c r="E49" s="12" t="str">
        <f>HYPERLINK("https://twitter.com/New_Beginnings_/status/1218664374883229698","1218664374883229698")</f>
        <v>1218664374883229698</v>
      </c>
      <c r="F49" s="13" t="s">
        <v>289</v>
      </c>
      <c r="G49" s="14"/>
      <c r="H49" s="14"/>
      <c r="I49" s="15">
        <v>0.0</v>
      </c>
      <c r="J49" s="15">
        <v>0.0</v>
      </c>
      <c r="K49" s="12" t="str">
        <f t="shared" si="4"/>
        <v>Hootsuite Inc.</v>
      </c>
      <c r="L49" s="16">
        <v>594.0</v>
      </c>
      <c r="M49" s="16">
        <v>275.0</v>
      </c>
      <c r="N49" s="16">
        <v>112.0</v>
      </c>
      <c r="O49" s="17"/>
      <c r="P49" s="18">
        <v>40973.62311342593</v>
      </c>
      <c r="Q49" s="1" t="s">
        <v>290</v>
      </c>
      <c r="R49" s="1" t="s">
        <v>291</v>
      </c>
      <c r="S49" s="13" t="s">
        <v>292</v>
      </c>
      <c r="T49" s="14"/>
      <c r="U49" s="19" t="str">
        <f>HYPERLINK("https://pbs.twimg.com/profile_images/2165490856/nbnlogo.jpg","View")</f>
        <v>View</v>
      </c>
      <c r="V49" s="14"/>
      <c r="W49" s="14"/>
      <c r="X49" s="14"/>
      <c r="Y49" s="14"/>
      <c r="Z49" s="14"/>
    </row>
    <row r="50">
      <c r="A50" s="11">
        <v>43848.73040509259</v>
      </c>
      <c r="B50" s="12" t="str">
        <f>HYPERLINK("https://twitter.com/sanvellohealth","@sanvellohealth")</f>
        <v>@sanvellohealth</v>
      </c>
      <c r="C50" s="1" t="s">
        <v>293</v>
      </c>
      <c r="D50" s="1" t="s">
        <v>294</v>
      </c>
      <c r="E50" s="12" t="str">
        <f>HYPERLINK("https://twitter.com/sanvellohealth/status/1218662295020212224","1218662295020212224")</f>
        <v>1218662295020212224</v>
      </c>
      <c r="F50" s="13" t="s">
        <v>295</v>
      </c>
      <c r="G50" s="13" t="s">
        <v>296</v>
      </c>
      <c r="H50" s="14"/>
      <c r="I50" s="15">
        <v>1.0</v>
      </c>
      <c r="J50" s="15">
        <v>3.0</v>
      </c>
      <c r="K50" s="12" t="str">
        <f>HYPERLINK("https://sproutsocial.com","Sprout Social")</f>
        <v>Sprout Social</v>
      </c>
      <c r="L50" s="16">
        <v>1908.0</v>
      </c>
      <c r="M50" s="16">
        <v>346.0</v>
      </c>
      <c r="N50" s="16">
        <v>4.0</v>
      </c>
      <c r="O50" s="17"/>
      <c r="P50" s="18">
        <v>43536.42626157407</v>
      </c>
      <c r="Q50" s="1" t="s">
        <v>297</v>
      </c>
      <c r="R50" s="1" t="s">
        <v>298</v>
      </c>
      <c r="S50" s="13" t="s">
        <v>299</v>
      </c>
      <c r="T50" s="14"/>
      <c r="U50" s="19" t="str">
        <f>HYPERLINK("https://pbs.twimg.com/profile_images/1125468638545313792/F1uy7Sq5.png","View")</f>
        <v>View</v>
      </c>
      <c r="V50" s="14"/>
      <c r="W50" s="14"/>
      <c r="X50" s="14"/>
      <c r="Y50" s="14"/>
      <c r="Z50" s="14"/>
    </row>
    <row r="51">
      <c r="A51" s="11">
        <v>43848.725902777776</v>
      </c>
      <c r="B51" s="12" t="str">
        <f>HYPERLINK("https://twitter.com/BrainCollectiv1","@BrainCollectiv1")</f>
        <v>@BrainCollectiv1</v>
      </c>
      <c r="C51" s="1" t="s">
        <v>300</v>
      </c>
      <c r="D51" s="1" t="s">
        <v>301</v>
      </c>
      <c r="E51" s="12" t="str">
        <f>HYPERLINK("https://twitter.com/BrainCollectiv1/status/1218660662257373184","1218660662257373184")</f>
        <v>1218660662257373184</v>
      </c>
      <c r="F51" s="13" t="s">
        <v>302</v>
      </c>
      <c r="G51" s="14"/>
      <c r="H51" s="14"/>
      <c r="I51" s="15">
        <v>0.0</v>
      </c>
      <c r="J51" s="15">
        <v>0.0</v>
      </c>
      <c r="K51" s="12" t="str">
        <f>HYPERLINK("https://www.socialreport.com","SocialReport.com")</f>
        <v>SocialReport.com</v>
      </c>
      <c r="L51" s="16">
        <v>210.0</v>
      </c>
      <c r="M51" s="16">
        <v>340.0</v>
      </c>
      <c r="N51" s="16">
        <v>1.0</v>
      </c>
      <c r="O51" s="17"/>
      <c r="P51" s="18">
        <v>43033.30827546296</v>
      </c>
      <c r="Q51" s="1" t="s">
        <v>303</v>
      </c>
      <c r="R51" s="1" t="s">
        <v>304</v>
      </c>
      <c r="S51" s="13" t="s">
        <v>305</v>
      </c>
      <c r="T51" s="14"/>
      <c r="U51" s="19" t="str">
        <f>HYPERLINK("https://pbs.twimg.com/profile_images/923152499946737664/liFNQKWG.jpg","View")</f>
        <v>View</v>
      </c>
      <c r="V51" s="14"/>
      <c r="W51" s="14"/>
      <c r="X51" s="14"/>
      <c r="Y51" s="14"/>
      <c r="Z51" s="14"/>
    </row>
    <row r="52">
      <c r="A52" s="11">
        <v>43848.72570601852</v>
      </c>
      <c r="B52" s="12" t="str">
        <f>HYPERLINK("https://twitter.com/TLA_champion","@TLA_champion")</f>
        <v>@TLA_champion</v>
      </c>
      <c r="C52" s="1" t="s">
        <v>306</v>
      </c>
      <c r="D52" s="1" t="s">
        <v>307</v>
      </c>
      <c r="E52" s="12" t="str">
        <f>HYPERLINK("https://twitter.com/TLA_champion/status/1218660594208784384","1218660594208784384")</f>
        <v>1218660594208784384</v>
      </c>
      <c r="F52" s="14"/>
      <c r="G52" s="13" t="s">
        <v>308</v>
      </c>
      <c r="H52" s="14"/>
      <c r="I52" s="15">
        <v>0.0</v>
      </c>
      <c r="J52" s="15">
        <v>0.0</v>
      </c>
      <c r="K52" s="12" t="str">
        <f>HYPERLINK("https://buffer.com","Buffer")</f>
        <v>Buffer</v>
      </c>
      <c r="L52" s="16">
        <v>1270.0</v>
      </c>
      <c r="M52" s="16">
        <v>2002.0</v>
      </c>
      <c r="N52" s="16">
        <v>92.0</v>
      </c>
      <c r="O52" s="17"/>
      <c r="P52" s="18">
        <v>42024.52983796297</v>
      </c>
      <c r="Q52" s="1" t="s">
        <v>309</v>
      </c>
      <c r="R52" s="1" t="s">
        <v>310</v>
      </c>
      <c r="S52" s="13" t="s">
        <v>311</v>
      </c>
      <c r="T52" s="14"/>
      <c r="U52" s="19" t="str">
        <f>HYPERLINK("https://pbs.twimg.com/profile_images/928633251148828673/rZ78O3tA.jpg","View")</f>
        <v>View</v>
      </c>
      <c r="V52" s="14"/>
      <c r="W52" s="14"/>
      <c r="X52" s="14"/>
      <c r="Y52" s="14"/>
      <c r="Z52" s="14"/>
    </row>
    <row r="53">
      <c r="A53" s="11">
        <v>43848.725266203706</v>
      </c>
      <c r="B53" s="12" t="str">
        <f>HYPERLINK("https://twitter.com/therapist_self","@therapist_self")</f>
        <v>@therapist_self</v>
      </c>
      <c r="C53" s="1" t="s">
        <v>312</v>
      </c>
      <c r="D53" s="1" t="s">
        <v>313</v>
      </c>
      <c r="E53" s="12" t="str">
        <f>HYPERLINK("https://twitter.com/therapist_self/status/1218660434254999552","1218660434254999552")</f>
        <v>1218660434254999552</v>
      </c>
      <c r="F53" s="14"/>
      <c r="G53" s="13" t="s">
        <v>314</v>
      </c>
      <c r="H53" s="14"/>
      <c r="I53" s="15">
        <v>1.0</v>
      </c>
      <c r="J53" s="15">
        <v>2.0</v>
      </c>
      <c r="K53" s="12" t="str">
        <f>HYPERLINK("https://mobile.twitter.com","Twitter Web App")</f>
        <v>Twitter Web App</v>
      </c>
      <c r="L53" s="16">
        <v>2102.0</v>
      </c>
      <c r="M53" s="16">
        <v>1977.0</v>
      </c>
      <c r="N53" s="16">
        <v>3.0</v>
      </c>
      <c r="O53" s="17"/>
      <c r="P53" s="18">
        <v>43531.7078587963</v>
      </c>
      <c r="Q53" s="1" t="s">
        <v>315</v>
      </c>
      <c r="R53" s="1" t="s">
        <v>316</v>
      </c>
      <c r="S53" s="13" t="s">
        <v>317</v>
      </c>
      <c r="T53" s="14"/>
      <c r="U53" s="19" t="str">
        <f>HYPERLINK("https://pbs.twimg.com/profile_images/1194761425136365569/h5Xw7ia_.jpg","View")</f>
        <v>View</v>
      </c>
      <c r="V53" s="14"/>
      <c r="W53" s="14"/>
      <c r="X53" s="14"/>
      <c r="Y53" s="14"/>
      <c r="Z53" s="14"/>
    </row>
    <row r="54">
      <c r="A54" s="11">
        <v>43848.722187499996</v>
      </c>
      <c r="B54" s="12" t="str">
        <f>HYPERLINK("https://twitter.com/BFereydouni","@BFereydouni")</f>
        <v>@BFereydouni</v>
      </c>
      <c r="C54" s="1" t="s">
        <v>318</v>
      </c>
      <c r="D54" s="1" t="s">
        <v>319</v>
      </c>
      <c r="E54" s="12" t="str">
        <f>HYPERLINK("https://twitter.com/BFereydouni/status/1218659317940998144","1218659317940998144")</f>
        <v>1218659317940998144</v>
      </c>
      <c r="F54" s="13" t="s">
        <v>320</v>
      </c>
      <c r="G54" s="14"/>
      <c r="H54" s="14"/>
      <c r="I54" s="15">
        <v>0.0</v>
      </c>
      <c r="J54" s="15">
        <v>0.0</v>
      </c>
      <c r="K54" s="12" t="str">
        <f>HYPERLINK("http://twitter.com/download/iphone","Twitter for iPhone")</f>
        <v>Twitter for iPhone</v>
      </c>
      <c r="L54" s="16">
        <v>62.0</v>
      </c>
      <c r="M54" s="16">
        <v>364.0</v>
      </c>
      <c r="N54" s="16">
        <v>0.0</v>
      </c>
      <c r="O54" s="17"/>
      <c r="P54" s="18">
        <v>42694.3696412037</v>
      </c>
      <c r="Q54" s="1" t="s">
        <v>321</v>
      </c>
      <c r="R54" s="1" t="s">
        <v>322</v>
      </c>
      <c r="S54" s="13" t="s">
        <v>323</v>
      </c>
      <c r="T54" s="14"/>
      <c r="U54" s="19" t="str">
        <f>HYPERLINK("https://pbs.twimg.com/profile_images/1211609201270804481/qHW9wSLP.jpg","View")</f>
        <v>View</v>
      </c>
      <c r="V54" s="14"/>
      <c r="W54" s="14"/>
      <c r="X54" s="14"/>
      <c r="Y54" s="14"/>
      <c r="Z54" s="14"/>
    </row>
    <row r="55">
      <c r="A55" s="11">
        <v>43848.72107638889</v>
      </c>
      <c r="B55" s="12" t="str">
        <f>HYPERLINK("https://twitter.com/perrymardon","@perrymardon")</f>
        <v>@perrymardon</v>
      </c>
      <c r="C55" s="1" t="s">
        <v>324</v>
      </c>
      <c r="D55" s="1" t="s">
        <v>325</v>
      </c>
      <c r="E55" s="12" t="str">
        <f>HYPERLINK("https://twitter.com/perrymardon/status/1218658913425526784","1218658913425526784")</f>
        <v>1218658913425526784</v>
      </c>
      <c r="F55" s="13" t="s">
        <v>326</v>
      </c>
      <c r="G55" s="13" t="s">
        <v>327</v>
      </c>
      <c r="H55" s="14"/>
      <c r="I55" s="15">
        <v>0.0</v>
      </c>
      <c r="J55" s="15">
        <v>0.0</v>
      </c>
      <c r="K55" s="12" t="str">
        <f>HYPERLINK("https://www.socialreport.com","SocialReport.com")</f>
        <v>SocialReport.com</v>
      </c>
      <c r="L55" s="16">
        <v>112.0</v>
      </c>
      <c r="M55" s="16">
        <v>127.0</v>
      </c>
      <c r="N55" s="16">
        <v>4.0</v>
      </c>
      <c r="O55" s="17"/>
      <c r="P55" s="18">
        <v>39885.2746412037</v>
      </c>
      <c r="Q55" s="1" t="s">
        <v>328</v>
      </c>
      <c r="R55" s="1" t="s">
        <v>329</v>
      </c>
      <c r="S55" s="13" t="s">
        <v>330</v>
      </c>
      <c r="T55" s="14"/>
      <c r="U55" s="19" t="str">
        <f>HYPERLINK("https://pbs.twimg.com/profile_images/1138325853396512770/NKNeY3t3.jpg","View")</f>
        <v>View</v>
      </c>
      <c r="V55" s="14"/>
      <c r="W55" s="14"/>
      <c r="X55" s="14"/>
      <c r="Y55" s="14"/>
      <c r="Z55" s="14"/>
    </row>
    <row r="56">
      <c r="A56" s="11">
        <v>43848.72100694444</v>
      </c>
      <c r="B56" s="12" t="str">
        <f>HYPERLINK("https://twitter.com/richardjdsouza","@richardjdsouza")</f>
        <v>@richardjdsouza</v>
      </c>
      <c r="C56" s="1" t="s">
        <v>331</v>
      </c>
      <c r="D56" s="1" t="s">
        <v>332</v>
      </c>
      <c r="E56" s="12" t="str">
        <f>HYPERLINK("https://twitter.com/richardjdsouza/status/1218658891036286976","1218658891036286976")</f>
        <v>1218658891036286976</v>
      </c>
      <c r="F56" s="13" t="s">
        <v>333</v>
      </c>
      <c r="G56" s="13" t="s">
        <v>334</v>
      </c>
      <c r="H56" s="14"/>
      <c r="I56" s="15">
        <v>1.0</v>
      </c>
      <c r="J56" s="15">
        <v>0.0</v>
      </c>
      <c r="K56" s="12" t="str">
        <f>HYPERLINK("https://mobile.twitter.com","Twitter Web App")</f>
        <v>Twitter Web App</v>
      </c>
      <c r="L56" s="16">
        <v>3374.0</v>
      </c>
      <c r="M56" s="16">
        <v>3620.0</v>
      </c>
      <c r="N56" s="16">
        <v>219.0</v>
      </c>
      <c r="O56" s="17"/>
      <c r="P56" s="18">
        <v>41103.774502314816</v>
      </c>
      <c r="Q56" s="1" t="s">
        <v>335</v>
      </c>
      <c r="R56" s="1" t="s">
        <v>336</v>
      </c>
      <c r="S56" s="13" t="s">
        <v>337</v>
      </c>
      <c r="T56" s="14"/>
      <c r="U56" s="19" t="str">
        <f>HYPERLINK("https://pbs.twimg.com/profile_images/1052664453936934912/njnycOWK.jpg","View")</f>
        <v>View</v>
      </c>
      <c r="V56" s="14"/>
      <c r="W56" s="14"/>
      <c r="X56" s="14"/>
      <c r="Y56" s="14"/>
      <c r="Z56" s="14"/>
    </row>
    <row r="57">
      <c r="A57" s="11">
        <v>43848.70905092593</v>
      </c>
      <c r="B57" s="12" t="str">
        <f>HYPERLINK("https://twitter.com/theruleof27","@theruleof27")</f>
        <v>@theruleof27</v>
      </c>
      <c r="C57" s="1" t="s">
        <v>338</v>
      </c>
      <c r="D57" s="1" t="s">
        <v>339</v>
      </c>
      <c r="E57" s="12" t="str">
        <f>HYPERLINK("https://twitter.com/theruleof27/status/1218654557842087946","1218654557842087946")</f>
        <v>1218654557842087946</v>
      </c>
      <c r="F57" s="13" t="s">
        <v>340</v>
      </c>
      <c r="G57" s="13" t="s">
        <v>341</v>
      </c>
      <c r="H57" s="14"/>
      <c r="I57" s="15">
        <v>1.0</v>
      </c>
      <c r="J57" s="15">
        <v>1.0</v>
      </c>
      <c r="K57" s="12" t="str">
        <f>HYPERLINK("https://buffer.com","Buffer")</f>
        <v>Buffer</v>
      </c>
      <c r="L57" s="16">
        <v>629.0</v>
      </c>
      <c r="M57" s="16">
        <v>1229.0</v>
      </c>
      <c r="N57" s="16">
        <v>8.0</v>
      </c>
      <c r="O57" s="17"/>
      <c r="P57" s="18">
        <v>40645.48407407408</v>
      </c>
      <c r="Q57" s="1" t="s">
        <v>342</v>
      </c>
      <c r="R57" s="1" t="s">
        <v>343</v>
      </c>
      <c r="S57" s="13" t="s">
        <v>344</v>
      </c>
      <c r="T57" s="14"/>
      <c r="U57" s="19" t="str">
        <f>HYPERLINK("https://pbs.twimg.com/profile_images/1204038382663417857/UustMSci.jpg","View")</f>
        <v>View</v>
      </c>
      <c r="V57" s="14"/>
      <c r="W57" s="14"/>
      <c r="X57" s="14"/>
      <c r="Y57" s="14"/>
      <c r="Z57" s="14"/>
    </row>
    <row r="58">
      <c r="A58" s="11">
        <v>43848.70862268518</v>
      </c>
      <c r="B58" s="12" t="str">
        <f>HYPERLINK("https://twitter.com/TCHS","@TCHS")</f>
        <v>@TCHS</v>
      </c>
      <c r="C58" s="1" t="s">
        <v>345</v>
      </c>
      <c r="D58" s="1" t="s">
        <v>346</v>
      </c>
      <c r="E58" s="12" t="str">
        <f>HYPERLINK("https://twitter.com/TCHS/status/1218654400354443264","1218654400354443264")</f>
        <v>1218654400354443264</v>
      </c>
      <c r="F58" s="13" t="s">
        <v>347</v>
      </c>
      <c r="G58" s="14"/>
      <c r="H58" s="14"/>
      <c r="I58" s="15">
        <v>0.0</v>
      </c>
      <c r="J58" s="15">
        <v>1.0</v>
      </c>
      <c r="K58" s="12" t="str">
        <f>HYPERLINK("https://www.hootsuite.com","Hootsuite Inc.")</f>
        <v>Hootsuite Inc.</v>
      </c>
      <c r="L58" s="16">
        <v>17836.0</v>
      </c>
      <c r="M58" s="16">
        <v>2078.0</v>
      </c>
      <c r="N58" s="16">
        <v>77.0</v>
      </c>
      <c r="O58" s="20" t="s">
        <v>38</v>
      </c>
      <c r="P58" s="18">
        <v>41530.875</v>
      </c>
      <c r="Q58" s="1" t="s">
        <v>56</v>
      </c>
      <c r="R58" s="1" t="s">
        <v>348</v>
      </c>
      <c r="S58" s="13" t="s">
        <v>349</v>
      </c>
      <c r="T58" s="14"/>
      <c r="U58" s="19" t="str">
        <f>HYPERLINK("https://pbs.twimg.com/profile_images/378800000469030401/711e099dc1e7923865058178e24f788d.png","View")</f>
        <v>View</v>
      </c>
      <c r="V58" s="14"/>
      <c r="W58" s="14"/>
      <c r="X58" s="14"/>
      <c r="Y58" s="14"/>
      <c r="Z58" s="14"/>
    </row>
    <row r="59">
      <c r="A59" s="11">
        <v>43848.70833333333</v>
      </c>
      <c r="B59" s="12" t="str">
        <f>HYPERLINK("https://twitter.com/AlliedPrograms","@AlliedPrograms")</f>
        <v>@AlliedPrograms</v>
      </c>
      <c r="C59" s="1" t="s">
        <v>350</v>
      </c>
      <c r="D59" s="1" t="s">
        <v>351</v>
      </c>
      <c r="E59" s="12" t="str">
        <f>HYPERLINK("https://twitter.com/AlliedPrograms/status/1218654296771833857","1218654296771833857")</f>
        <v>1218654296771833857</v>
      </c>
      <c r="F59" s="13" t="s">
        <v>352</v>
      </c>
      <c r="G59" s="14"/>
      <c r="H59" s="14"/>
      <c r="I59" s="15">
        <v>0.0</v>
      </c>
      <c r="J59" s="15">
        <v>0.0</v>
      </c>
      <c r="K59" s="12" t="str">
        <f>HYPERLINK("https://socialbee.io/","SocialBee.io v2")</f>
        <v>SocialBee.io v2</v>
      </c>
      <c r="L59" s="16">
        <v>71.0</v>
      </c>
      <c r="M59" s="16">
        <v>64.0</v>
      </c>
      <c r="N59" s="16">
        <v>0.0</v>
      </c>
      <c r="O59" s="17"/>
      <c r="P59" s="18">
        <v>43711.8109837963</v>
      </c>
      <c r="Q59" s="14"/>
      <c r="R59" s="1" t="s">
        <v>353</v>
      </c>
      <c r="S59" s="13" t="s">
        <v>354</v>
      </c>
      <c r="T59" s="14"/>
      <c r="U59" s="19" t="str">
        <f>HYPERLINK("https://pbs.twimg.com/profile_images/1182824852232658945/LteD3Th5.jpg","View")</f>
        <v>View</v>
      </c>
      <c r="V59" s="14"/>
      <c r="W59" s="14"/>
      <c r="X59" s="14"/>
      <c r="Y59" s="14"/>
      <c r="Z59" s="14"/>
    </row>
    <row r="60">
      <c r="A60" s="11">
        <v>43848.704930555556</v>
      </c>
      <c r="B60" s="12" t="str">
        <f>HYPERLINK("https://twitter.com/TBtalks","@TBtalks")</f>
        <v>@TBtalks</v>
      </c>
      <c r="C60" s="1" t="s">
        <v>355</v>
      </c>
      <c r="D60" s="1" t="s">
        <v>356</v>
      </c>
      <c r="E60" s="12" t="str">
        <f>HYPERLINK("https://twitter.com/TBtalks/status/1218653065097760769","1218653065097760769")</f>
        <v>1218653065097760769</v>
      </c>
      <c r="F60" s="14"/>
      <c r="G60" s="13" t="s">
        <v>357</v>
      </c>
      <c r="H60" s="14"/>
      <c r="I60" s="15">
        <v>1.0</v>
      </c>
      <c r="J60" s="15">
        <v>1.0</v>
      </c>
      <c r="K60" s="12" t="str">
        <f>HYPERLINK("https://www.hootsuite.com","Hootsuite Inc.")</f>
        <v>Hootsuite Inc.</v>
      </c>
      <c r="L60" s="16">
        <v>1190.0</v>
      </c>
      <c r="M60" s="16">
        <v>566.0</v>
      </c>
      <c r="N60" s="16">
        <v>25.0</v>
      </c>
      <c r="O60" s="17"/>
      <c r="P60" s="18">
        <v>41197.62918981482</v>
      </c>
      <c r="Q60" s="1" t="s">
        <v>358</v>
      </c>
      <c r="R60" s="1" t="s">
        <v>359</v>
      </c>
      <c r="S60" s="13" t="s">
        <v>360</v>
      </c>
      <c r="T60" s="14"/>
      <c r="U60" s="19" t="str">
        <f>HYPERLINK("https://pbs.twimg.com/profile_images/1181990097610256384/DQu0ny3B.jpg","View")</f>
        <v>View</v>
      </c>
      <c r="V60" s="14"/>
      <c r="W60" s="14"/>
      <c r="X60" s="14"/>
      <c r="Y60" s="14"/>
      <c r="Z60" s="14"/>
    </row>
    <row r="61">
      <c r="A61" s="11">
        <v>43848.70314814815</v>
      </c>
      <c r="B61" s="12" t="str">
        <f>HYPERLINK("https://twitter.com/JoanneLeeJacobs","@JoanneLeeJacobs")</f>
        <v>@JoanneLeeJacobs</v>
      </c>
      <c r="C61" s="1" t="s">
        <v>361</v>
      </c>
      <c r="D61" s="1" t="s">
        <v>362</v>
      </c>
      <c r="E61" s="12" t="str">
        <f>HYPERLINK("https://twitter.com/JoanneLeeJacobs/status/1218652418205863936","1218652418205863936")</f>
        <v>1218652418205863936</v>
      </c>
      <c r="F61" s="13" t="s">
        <v>363</v>
      </c>
      <c r="G61" s="14"/>
      <c r="H61" s="14"/>
      <c r="I61" s="15">
        <v>0.0</v>
      </c>
      <c r="J61" s="15">
        <v>0.0</v>
      </c>
      <c r="K61" s="12" t="str">
        <f>HYPERLINK("https://mobile.twitter.com","Twitter Web App")</f>
        <v>Twitter Web App</v>
      </c>
      <c r="L61" s="16">
        <v>4147.0</v>
      </c>
      <c r="M61" s="16">
        <v>1833.0</v>
      </c>
      <c r="N61" s="16">
        <v>297.0</v>
      </c>
      <c r="O61" s="17"/>
      <c r="P61" s="18">
        <v>39809.67804398148</v>
      </c>
      <c r="Q61" s="1" t="s">
        <v>364</v>
      </c>
      <c r="R61" s="1" t="s">
        <v>365</v>
      </c>
      <c r="S61" s="13" t="s">
        <v>366</v>
      </c>
      <c r="T61" s="14"/>
      <c r="U61" s="19" t="str">
        <f>HYPERLINK("https://pbs.twimg.com/profile_images/68741691/favoritephotocropped.jpg","View")</f>
        <v>View</v>
      </c>
      <c r="V61" s="14"/>
      <c r="W61" s="14"/>
      <c r="X61" s="14"/>
      <c r="Y61" s="14"/>
      <c r="Z61" s="14"/>
    </row>
    <row r="62">
      <c r="A62" s="11">
        <v>43848.70149305556</v>
      </c>
      <c r="B62" s="12" t="str">
        <f>HYPERLINK("https://twitter.com/metroffices","@metroffices")</f>
        <v>@metroffices</v>
      </c>
      <c r="C62" s="1" t="s">
        <v>367</v>
      </c>
      <c r="D62" s="1" t="s">
        <v>368</v>
      </c>
      <c r="E62" s="12" t="str">
        <f>HYPERLINK("https://twitter.com/metroffices/status/1218651819984945152","1218651819984945152")</f>
        <v>1218651819984945152</v>
      </c>
      <c r="F62" s="13" t="s">
        <v>369</v>
      </c>
      <c r="G62" s="14"/>
      <c r="H62" s="14"/>
      <c r="I62" s="15">
        <v>0.0</v>
      </c>
      <c r="J62" s="15">
        <v>0.0</v>
      </c>
      <c r="K62" s="12" t="str">
        <f t="shared" ref="K62:K63" si="5">HYPERLINK("http://www.hubspot.com/","HubSpot")</f>
        <v>HubSpot</v>
      </c>
      <c r="L62" s="16">
        <v>293.0</v>
      </c>
      <c r="M62" s="16">
        <v>116.0</v>
      </c>
      <c r="N62" s="16">
        <v>20.0</v>
      </c>
      <c r="O62" s="17"/>
      <c r="P62" s="18">
        <v>39877.45811342593</v>
      </c>
      <c r="Q62" s="1" t="s">
        <v>370</v>
      </c>
      <c r="R62" s="1" t="s">
        <v>371</v>
      </c>
      <c r="S62" s="13" t="s">
        <v>372</v>
      </c>
      <c r="T62" s="14"/>
      <c r="U62" s="19" t="str">
        <f>HYPERLINK("https://pbs.twimg.com/profile_images/781896793743294473/PmjpLCaM.jpg","View")</f>
        <v>View</v>
      </c>
      <c r="V62" s="14"/>
      <c r="W62" s="14"/>
      <c r="X62" s="14"/>
      <c r="Y62" s="14"/>
      <c r="Z62" s="14"/>
    </row>
    <row r="63">
      <c r="A63" s="11">
        <v>43848.70144675926</v>
      </c>
      <c r="B63" s="12" t="str">
        <f>HYPERLINK("https://twitter.com/TheBizJournal","@TheBizJournal")</f>
        <v>@TheBizJournal</v>
      </c>
      <c r="C63" s="1" t="s">
        <v>373</v>
      </c>
      <c r="D63" s="1" t="s">
        <v>374</v>
      </c>
      <c r="E63" s="12" t="str">
        <f>HYPERLINK("https://twitter.com/TheBizJournal/status/1218651801009954817","1218651801009954817")</f>
        <v>1218651801009954817</v>
      </c>
      <c r="F63" s="13" t="s">
        <v>375</v>
      </c>
      <c r="G63" s="13" t="s">
        <v>376</v>
      </c>
      <c r="H63" s="14"/>
      <c r="I63" s="15">
        <v>1.0</v>
      </c>
      <c r="J63" s="15">
        <v>1.0</v>
      </c>
      <c r="K63" s="12" t="str">
        <f t="shared" si="5"/>
        <v>HubSpot</v>
      </c>
      <c r="L63" s="16">
        <v>3930.0</v>
      </c>
      <c r="M63" s="16">
        <v>1132.0</v>
      </c>
      <c r="N63" s="16">
        <v>249.0</v>
      </c>
      <c r="O63" s="17"/>
      <c r="P63" s="18">
        <v>40704.370046296295</v>
      </c>
      <c r="Q63" s="1" t="s">
        <v>377</v>
      </c>
      <c r="R63" s="1" t="s">
        <v>378</v>
      </c>
      <c r="S63" s="13" t="s">
        <v>379</v>
      </c>
      <c r="T63" s="14"/>
      <c r="U63" s="19" t="str">
        <f>HYPERLINK("https://pbs.twimg.com/profile_images/3216080241/c95cef074691e30c112dd3db0de71989.jpeg","View")</f>
        <v>View</v>
      </c>
      <c r="V63" s="14"/>
      <c r="W63" s="14"/>
      <c r="X63" s="14"/>
      <c r="Y63" s="14"/>
      <c r="Z63" s="14"/>
    </row>
    <row r="64">
      <c r="A64" s="11">
        <v>43848.70141203704</v>
      </c>
      <c r="B64" s="12" t="str">
        <f>HYPERLINK("https://twitter.com/LouLagganCoach","@LouLagganCoach")</f>
        <v>@LouLagganCoach</v>
      </c>
      <c r="C64" s="1" t="s">
        <v>380</v>
      </c>
      <c r="D64" s="1" t="s">
        <v>381</v>
      </c>
      <c r="E64" s="12" t="str">
        <f>HYPERLINK("https://twitter.com/LouLagganCoach/status/1218651790301900801","1218651790301900801")</f>
        <v>1218651790301900801</v>
      </c>
      <c r="F64" s="13" t="s">
        <v>382</v>
      </c>
      <c r="G64" s="14"/>
      <c r="H64" s="14"/>
      <c r="I64" s="15">
        <v>1.0</v>
      </c>
      <c r="J64" s="15">
        <v>0.0</v>
      </c>
      <c r="K64" s="12" t="str">
        <f>HYPERLINK("https://www.hootsuite.com","Hootsuite Inc.")</f>
        <v>Hootsuite Inc.</v>
      </c>
      <c r="L64" s="16">
        <v>402.0</v>
      </c>
      <c r="M64" s="16">
        <v>533.0</v>
      </c>
      <c r="N64" s="16">
        <v>7.0</v>
      </c>
      <c r="O64" s="17"/>
      <c r="P64" s="18">
        <v>42465.223773148144</v>
      </c>
      <c r="Q64" s="14"/>
      <c r="R64" s="1" t="s">
        <v>383</v>
      </c>
      <c r="S64" s="13" t="s">
        <v>384</v>
      </c>
      <c r="T64" s="14"/>
      <c r="U64" s="19" t="str">
        <f>HYPERLINK("https://pbs.twimg.com/profile_images/849569953137274880/WR6ZTgRv.jpg","View")</f>
        <v>View</v>
      </c>
      <c r="V64" s="14"/>
      <c r="W64" s="14"/>
      <c r="X64" s="14"/>
      <c r="Y64" s="14"/>
      <c r="Z64" s="14"/>
    </row>
    <row r="65">
      <c r="A65" s="11">
        <v>43848.69940972222</v>
      </c>
      <c r="B65" s="12" t="str">
        <f>HYPERLINK("https://twitter.com/VIP_Life_Coach","@VIP_Life_Coach")</f>
        <v>@VIP_Life_Coach</v>
      </c>
      <c r="C65" s="1" t="s">
        <v>385</v>
      </c>
      <c r="D65" s="1" t="s">
        <v>386</v>
      </c>
      <c r="E65" s="12" t="str">
        <f>HYPERLINK("https://twitter.com/VIP_Life_Coach/status/1218651063236091907","1218651063236091907")</f>
        <v>1218651063236091907</v>
      </c>
      <c r="F65" s="14"/>
      <c r="G65" s="13" t="s">
        <v>387</v>
      </c>
      <c r="H65" s="14"/>
      <c r="I65" s="15">
        <v>0.0</v>
      </c>
      <c r="J65" s="15">
        <v>1.0</v>
      </c>
      <c r="K65" s="12" t="str">
        <f>HYPERLINK("https://mobile.twitter.com","Twitter Web App")</f>
        <v>Twitter Web App</v>
      </c>
      <c r="L65" s="16">
        <v>899.0</v>
      </c>
      <c r="M65" s="16">
        <v>2803.0</v>
      </c>
      <c r="N65" s="16">
        <v>1.0</v>
      </c>
      <c r="O65" s="17"/>
      <c r="P65" s="18">
        <v>42137.79293981481</v>
      </c>
      <c r="Q65" s="1" t="s">
        <v>388</v>
      </c>
      <c r="R65" s="1" t="s">
        <v>389</v>
      </c>
      <c r="S65" s="13" t="s">
        <v>390</v>
      </c>
      <c r="T65" s="14"/>
      <c r="U65" s="19" t="str">
        <f>HYPERLINK("https://pbs.twimg.com/profile_images/1007906521135665153/2MnUUyfN.jpg","View")</f>
        <v>View</v>
      </c>
      <c r="V65" s="14"/>
      <c r="W65" s="14"/>
      <c r="X65" s="14"/>
      <c r="Y65" s="14"/>
      <c r="Z65" s="14"/>
    </row>
    <row r="66">
      <c r="A66" s="11">
        <v>43848.69719907407</v>
      </c>
      <c r="B66" s="12" t="str">
        <f>HYPERLINK("https://twitter.com/VCTrustee","@VCTrustee")</f>
        <v>@VCTrustee</v>
      </c>
      <c r="C66" s="1" t="s">
        <v>391</v>
      </c>
      <c r="D66" s="1" t="s">
        <v>392</v>
      </c>
      <c r="E66" s="12" t="str">
        <f>HYPERLINK("https://twitter.com/VCTrustee/status/1218650263264907265","1218650263264907265")</f>
        <v>1218650263264907265</v>
      </c>
      <c r="F66" s="13" t="s">
        <v>393</v>
      </c>
      <c r="G66" s="13" t="s">
        <v>394</v>
      </c>
      <c r="H66" s="14"/>
      <c r="I66" s="15">
        <v>0.0</v>
      </c>
      <c r="J66" s="15">
        <v>1.0</v>
      </c>
      <c r="K66" s="12" t="str">
        <f t="shared" ref="K66:K67" si="6">HYPERLINK("http://twitter.com/download/android","Twitter for Android")</f>
        <v>Twitter for Android</v>
      </c>
      <c r="L66" s="16">
        <v>2368.0</v>
      </c>
      <c r="M66" s="16">
        <v>1435.0</v>
      </c>
      <c r="N66" s="16">
        <v>10.0</v>
      </c>
      <c r="O66" s="17"/>
      <c r="P66" s="18">
        <v>42695.74826388889</v>
      </c>
      <c r="Q66" s="1" t="s">
        <v>268</v>
      </c>
      <c r="R66" s="1" t="s">
        <v>395</v>
      </c>
      <c r="S66" s="13" t="s">
        <v>396</v>
      </c>
      <c r="T66" s="14"/>
      <c r="U66" s="19" t="str">
        <f>HYPERLINK("https://pbs.twimg.com/profile_images/1095459125767618560/30v2zVyh.jpg","View")</f>
        <v>View</v>
      </c>
      <c r="V66" s="14"/>
      <c r="W66" s="14"/>
      <c r="X66" s="14"/>
      <c r="Y66" s="14"/>
      <c r="Z66" s="14"/>
    </row>
    <row r="67">
      <c r="A67" s="11">
        <v>43848.69619212963</v>
      </c>
      <c r="B67" s="12" t="str">
        <f>HYPERLINK("https://twitter.com/Xy5Z89","@Xy5Z89")</f>
        <v>@Xy5Z89</v>
      </c>
      <c r="C67" s="1" t="s">
        <v>397</v>
      </c>
      <c r="D67" s="1" t="s">
        <v>398</v>
      </c>
      <c r="E67" s="12" t="str">
        <f>HYPERLINK("https://twitter.com/Xy5Z89/status/1218649896800178178","1218649896800178178")</f>
        <v>1218649896800178178</v>
      </c>
      <c r="F67" s="14"/>
      <c r="G67" s="14"/>
      <c r="H67" s="14"/>
      <c r="I67" s="15">
        <v>0.0</v>
      </c>
      <c r="J67" s="15">
        <v>0.0</v>
      </c>
      <c r="K67" s="12" t="str">
        <f t="shared" si="6"/>
        <v>Twitter for Android</v>
      </c>
      <c r="L67" s="16">
        <v>291.0</v>
      </c>
      <c r="M67" s="16">
        <v>277.0</v>
      </c>
      <c r="N67" s="16">
        <v>2.0</v>
      </c>
      <c r="O67" s="17"/>
      <c r="P67" s="18">
        <v>43541.65622685185</v>
      </c>
      <c r="Q67" s="1" t="s">
        <v>399</v>
      </c>
      <c r="R67" s="1" t="s">
        <v>400</v>
      </c>
      <c r="S67" s="14"/>
      <c r="T67" s="14"/>
      <c r="U67" s="19" t="str">
        <f>HYPERLINK("https://pbs.twimg.com/profile_images/1107373286265110528/49OpFyqh.jpg","View")</f>
        <v>View</v>
      </c>
      <c r="V67" s="14"/>
      <c r="W67" s="14"/>
      <c r="X67" s="14"/>
      <c r="Y67" s="14"/>
      <c r="Z67" s="14"/>
    </row>
    <row r="68">
      <c r="A68" s="11">
        <v>43848.69446759259</v>
      </c>
      <c r="B68" s="12" t="str">
        <f>HYPERLINK("https://twitter.com/JESS44903","@JESS44903")</f>
        <v>@JESS44903</v>
      </c>
      <c r="C68" s="1" t="s">
        <v>401</v>
      </c>
      <c r="D68" s="1" t="s">
        <v>402</v>
      </c>
      <c r="E68" s="12" t="str">
        <f>HYPERLINK("https://twitter.com/JESS44903/status/1218649273207791616","1218649273207791616")</f>
        <v>1218649273207791616</v>
      </c>
      <c r="F68" s="13" t="s">
        <v>403</v>
      </c>
      <c r="G68" s="13" t="s">
        <v>404</v>
      </c>
      <c r="H68" s="14"/>
      <c r="I68" s="15">
        <v>0.0</v>
      </c>
      <c r="J68" s="15">
        <v>0.0</v>
      </c>
      <c r="K68" s="12" t="str">
        <f>HYPERLINK("https://buffer.com","Buffer")</f>
        <v>Buffer</v>
      </c>
      <c r="L68" s="16">
        <v>1378.0</v>
      </c>
      <c r="M68" s="16">
        <v>859.0</v>
      </c>
      <c r="N68" s="16">
        <v>135.0</v>
      </c>
      <c r="O68" s="17"/>
      <c r="P68" s="18">
        <v>39888.576944444445</v>
      </c>
      <c r="Q68" s="1" t="s">
        <v>405</v>
      </c>
      <c r="R68" s="1" t="s">
        <v>406</v>
      </c>
      <c r="S68" s="14"/>
      <c r="T68" s="14"/>
      <c r="U68" s="19" t="str">
        <f>HYPERLINK("https://pbs.twimg.com/profile_images/1174863970026631168/PTrS0pqO.jpg","View")</f>
        <v>View</v>
      </c>
      <c r="V68" s="14"/>
      <c r="W68" s="14"/>
      <c r="X68" s="14"/>
      <c r="Y68" s="14"/>
      <c r="Z68" s="14"/>
    </row>
    <row r="69">
      <c r="A69" s="11">
        <v>43848.69274305555</v>
      </c>
      <c r="B69" s="12" t="str">
        <f>HYPERLINK("https://twitter.com/APHealth1","@APHealth1")</f>
        <v>@APHealth1</v>
      </c>
      <c r="C69" s="1" t="s">
        <v>407</v>
      </c>
      <c r="D69" s="1" t="s">
        <v>408</v>
      </c>
      <c r="E69" s="12" t="str">
        <f>HYPERLINK("https://twitter.com/APHealth1/status/1218648646494769157","1218648646494769157")</f>
        <v>1218648646494769157</v>
      </c>
      <c r="F69" s="13" t="s">
        <v>409</v>
      </c>
      <c r="G69" s="14"/>
      <c r="H69" s="14"/>
      <c r="I69" s="15">
        <v>0.0</v>
      </c>
      <c r="J69" s="15">
        <v>0.0</v>
      </c>
      <c r="K69" s="12" t="str">
        <f>HYPERLINK("https://mobile.twitter.com","Twitter Web App")</f>
        <v>Twitter Web App</v>
      </c>
      <c r="L69" s="16">
        <v>662.0</v>
      </c>
      <c r="M69" s="16">
        <v>524.0</v>
      </c>
      <c r="N69" s="16">
        <v>66.0</v>
      </c>
      <c r="O69" s="17"/>
      <c r="P69" s="18">
        <v>41405.55603009259</v>
      </c>
      <c r="Q69" s="14"/>
      <c r="R69" s="1" t="s">
        <v>407</v>
      </c>
      <c r="S69" s="13" t="s">
        <v>410</v>
      </c>
      <c r="T69" s="14"/>
      <c r="U69" s="19" t="str">
        <f>HYPERLINK("https://pbs.twimg.com/profile_images/844014499715727360/ypgqD0mq.jpg","View")</f>
        <v>View</v>
      </c>
      <c r="V69" s="14"/>
      <c r="W69" s="14"/>
      <c r="X69" s="14"/>
      <c r="Y69" s="14"/>
      <c r="Z69" s="14"/>
    </row>
    <row r="70">
      <c r="A70" s="11">
        <v>43848.69138888889</v>
      </c>
      <c r="B70" s="12" t="str">
        <f>HYPERLINK("https://twitter.com/messageplicity","@messageplicity")</f>
        <v>@messageplicity</v>
      </c>
      <c r="C70" s="1" t="s">
        <v>411</v>
      </c>
      <c r="D70" s="1" t="s">
        <v>412</v>
      </c>
      <c r="E70" s="12" t="str">
        <f>HYPERLINK("https://twitter.com/messageplicity/status/1218648157577515019","1218648157577515019")</f>
        <v>1218648157577515019</v>
      </c>
      <c r="F70" s="13" t="s">
        <v>413</v>
      </c>
      <c r="G70" s="14"/>
      <c r="H70" s="14"/>
      <c r="I70" s="15">
        <v>2.0</v>
      </c>
      <c r="J70" s="15">
        <v>0.0</v>
      </c>
      <c r="K70" s="12" t="str">
        <f>HYPERLINK("http://twitter.com/download/android","Twitter for Android")</f>
        <v>Twitter for Android</v>
      </c>
      <c r="L70" s="16">
        <v>2315.0</v>
      </c>
      <c r="M70" s="16">
        <v>1917.0</v>
      </c>
      <c r="N70" s="16">
        <v>385.0</v>
      </c>
      <c r="O70" s="17"/>
      <c r="P70" s="18">
        <v>41461.56178240741</v>
      </c>
      <c r="Q70" s="1" t="s">
        <v>414</v>
      </c>
      <c r="R70" s="1" t="s">
        <v>415</v>
      </c>
      <c r="S70" s="14"/>
      <c r="T70" s="14"/>
      <c r="U70" s="19" t="str">
        <f>HYPERLINK("https://pbs.twimg.com/profile_images/584449754303602688/YOc5eItB.jpg","View")</f>
        <v>View</v>
      </c>
      <c r="V70" s="14"/>
      <c r="W70" s="14"/>
      <c r="X70" s="14"/>
      <c r="Y70" s="14"/>
      <c r="Z70" s="14"/>
    </row>
    <row r="71">
      <c r="A71" s="11">
        <v>43848.691203703704</v>
      </c>
      <c r="B71" s="12" t="str">
        <f>HYPERLINK("https://twitter.com/BevEardley","@BevEardley")</f>
        <v>@BevEardley</v>
      </c>
      <c r="C71" s="1" t="s">
        <v>416</v>
      </c>
      <c r="D71" s="1" t="s">
        <v>417</v>
      </c>
      <c r="E71" s="12" t="str">
        <f>HYPERLINK("https://twitter.com/BevEardley/status/1218648088673427458","1218648088673427458")</f>
        <v>1218648088673427458</v>
      </c>
      <c r="F71" s="13" t="s">
        <v>418</v>
      </c>
      <c r="G71" s="13" t="s">
        <v>419</v>
      </c>
      <c r="H71" s="14"/>
      <c r="I71" s="15">
        <v>0.0</v>
      </c>
      <c r="J71" s="15">
        <v>1.0</v>
      </c>
      <c r="K71" s="12" t="str">
        <f t="shared" ref="K71:K72" si="7">HYPERLINK("http://twitter.com/download/iphone","Twitter for iPhone")</f>
        <v>Twitter for iPhone</v>
      </c>
      <c r="L71" s="16">
        <v>52.0</v>
      </c>
      <c r="M71" s="16">
        <v>80.0</v>
      </c>
      <c r="N71" s="16">
        <v>0.0</v>
      </c>
      <c r="O71" s="17"/>
      <c r="P71" s="18">
        <v>43650.62734953704</v>
      </c>
      <c r="Q71" s="1" t="s">
        <v>420</v>
      </c>
      <c r="R71" s="1" t="s">
        <v>421</v>
      </c>
      <c r="S71" s="13" t="s">
        <v>422</v>
      </c>
      <c r="T71" s="14"/>
      <c r="U71" s="19" t="str">
        <f>HYPERLINK("https://pbs.twimg.com/profile_images/1202606790984249344/3C4SLC5b.jpg","View")</f>
        <v>View</v>
      </c>
      <c r="V71" s="14"/>
      <c r="W71" s="14"/>
      <c r="X71" s="14"/>
      <c r="Y71" s="14"/>
      <c r="Z71" s="14"/>
    </row>
    <row r="72">
      <c r="A72" s="11">
        <v>43848.68918981482</v>
      </c>
      <c r="B72" s="12" t="str">
        <f>HYPERLINK("https://twitter.com/DrRastinehad","@DrRastinehad")</f>
        <v>@DrRastinehad</v>
      </c>
      <c r="C72" s="1" t="s">
        <v>423</v>
      </c>
      <c r="D72" s="1" t="s">
        <v>424</v>
      </c>
      <c r="E72" s="12" t="str">
        <f>HYPERLINK("https://twitter.com/DrRastinehad/status/1218647357690126336","1218647357690126336")</f>
        <v>1218647357690126336</v>
      </c>
      <c r="F72" s="13" t="s">
        <v>425</v>
      </c>
      <c r="G72" s="13" t="s">
        <v>426</v>
      </c>
      <c r="H72" s="14"/>
      <c r="I72" s="15">
        <v>0.0</v>
      </c>
      <c r="J72" s="15">
        <v>14.0</v>
      </c>
      <c r="K72" s="12" t="str">
        <f t="shared" si="7"/>
        <v>Twitter for iPhone</v>
      </c>
      <c r="L72" s="16">
        <v>993.0</v>
      </c>
      <c r="M72" s="16">
        <v>385.0</v>
      </c>
      <c r="N72" s="16">
        <v>9.0</v>
      </c>
      <c r="O72" s="17"/>
      <c r="P72" s="18">
        <v>41971.44540509259</v>
      </c>
      <c r="Q72" s="1" t="s">
        <v>427</v>
      </c>
      <c r="R72" s="1" t="s">
        <v>428</v>
      </c>
      <c r="S72" s="13" t="s">
        <v>429</v>
      </c>
      <c r="T72" s="14"/>
      <c r="U72" s="19" t="str">
        <f>HYPERLINK("https://pbs.twimg.com/profile_images/538357593098301440/h-1egQoT.jpeg","View")</f>
        <v>View</v>
      </c>
      <c r="V72" s="14"/>
      <c r="W72" s="14"/>
      <c r="X72" s="14"/>
      <c r="Y72" s="14"/>
      <c r="Z72" s="14"/>
    </row>
    <row r="73">
      <c r="A73" s="11">
        <v>43848.687581018516</v>
      </c>
      <c r="B73" s="12" t="str">
        <f>HYPERLINK("https://twitter.com/SoHappyInTown","@SoHappyInTown")</f>
        <v>@SoHappyInTown</v>
      </c>
      <c r="C73" s="1" t="s">
        <v>430</v>
      </c>
      <c r="D73" s="1" t="s">
        <v>431</v>
      </c>
      <c r="E73" s="12" t="str">
        <f>HYPERLINK("https://twitter.com/SoHappyInTown/status/1218646775524925443","1218646775524925443")</f>
        <v>1218646775524925443</v>
      </c>
      <c r="F73" s="13" t="s">
        <v>432</v>
      </c>
      <c r="G73" s="14"/>
      <c r="H73" s="14"/>
      <c r="I73" s="15">
        <v>0.0</v>
      </c>
      <c r="J73" s="15">
        <v>0.0</v>
      </c>
      <c r="K73" s="12" t="str">
        <f>HYPERLINK("https://www.socialoomph.com","SocialOomph")</f>
        <v>SocialOomph</v>
      </c>
      <c r="L73" s="16">
        <v>2211.0</v>
      </c>
      <c r="M73" s="16">
        <v>1660.0</v>
      </c>
      <c r="N73" s="16">
        <v>39.0</v>
      </c>
      <c r="O73" s="17"/>
      <c r="P73" s="18">
        <v>42705.30002314815</v>
      </c>
      <c r="Q73" s="1" t="s">
        <v>268</v>
      </c>
      <c r="R73" s="1" t="s">
        <v>433</v>
      </c>
      <c r="S73" s="13" t="s">
        <v>434</v>
      </c>
      <c r="T73" s="14"/>
      <c r="U73" s="19" t="str">
        <f>HYPERLINK("https://pbs.twimg.com/profile_images/914458897531928577/ETJYHe_M.jpg","View")</f>
        <v>View</v>
      </c>
      <c r="V73" s="14"/>
      <c r="W73" s="14"/>
      <c r="X73" s="14"/>
      <c r="Y73" s="14"/>
      <c r="Z73" s="14"/>
    </row>
    <row r="74">
      <c r="A74" s="11">
        <v>43848.682025462964</v>
      </c>
      <c r="B74" s="12" t="str">
        <f>HYPERLINK("https://twitter.com/BlackDogWalker","@BlackDogWalker")</f>
        <v>@BlackDogWalker</v>
      </c>
      <c r="C74" s="1" t="s">
        <v>435</v>
      </c>
      <c r="D74" s="1" t="s">
        <v>436</v>
      </c>
      <c r="E74" s="12" t="str">
        <f>HYPERLINK("https://twitter.com/BlackDogWalker/status/1218644763651514369","1218644763651514369")</f>
        <v>1218644763651514369</v>
      </c>
      <c r="F74" s="14"/>
      <c r="G74" s="13" t="s">
        <v>394</v>
      </c>
      <c r="H74" s="14"/>
      <c r="I74" s="15">
        <v>0.0</v>
      </c>
      <c r="J74" s="15">
        <v>2.0</v>
      </c>
      <c r="K74" s="12" t="str">
        <f>HYPERLINK("http://twitter.com/download/android","Twitter for Android")</f>
        <v>Twitter for Android</v>
      </c>
      <c r="L74" s="16">
        <v>1199.0</v>
      </c>
      <c r="M74" s="16">
        <v>1034.0</v>
      </c>
      <c r="N74" s="16">
        <v>5.0</v>
      </c>
      <c r="O74" s="17"/>
      <c r="P74" s="18">
        <v>42686.29056712963</v>
      </c>
      <c r="Q74" s="1" t="s">
        <v>437</v>
      </c>
      <c r="R74" s="1" t="s">
        <v>438</v>
      </c>
      <c r="S74" s="13" t="s">
        <v>396</v>
      </c>
      <c r="T74" s="14"/>
      <c r="U74" s="19" t="str">
        <f>HYPERLINK("https://pbs.twimg.com/profile_images/1131464571993153536/5YiQkZM7.jpg","View")</f>
        <v>View</v>
      </c>
      <c r="V74" s="14"/>
      <c r="W74" s="14"/>
      <c r="X74" s="14"/>
      <c r="Y74" s="14"/>
      <c r="Z74" s="14"/>
    </row>
    <row r="75">
      <c r="A75" s="11">
        <v>43848.67729166667</v>
      </c>
      <c r="B75" s="12" t="str">
        <f>HYPERLINK("https://twitter.com/Kaissia86","@Kaissia86")</f>
        <v>@Kaissia86</v>
      </c>
      <c r="C75" s="1" t="s">
        <v>439</v>
      </c>
      <c r="D75" s="1" t="s">
        <v>440</v>
      </c>
      <c r="E75" s="12" t="str">
        <f>HYPERLINK("https://twitter.com/Kaissia86/status/1218643048298663947","1218643048298663947")</f>
        <v>1218643048298663947</v>
      </c>
      <c r="F75" s="13" t="s">
        <v>441</v>
      </c>
      <c r="G75" s="13" t="s">
        <v>442</v>
      </c>
      <c r="H75" s="14"/>
      <c r="I75" s="15">
        <v>4.0</v>
      </c>
      <c r="J75" s="15">
        <v>1.0</v>
      </c>
      <c r="K75" s="12" t="str">
        <f>HYPERLINK("https://ifttt.com","IFTTT")</f>
        <v>IFTTT</v>
      </c>
      <c r="L75" s="16">
        <v>81.0</v>
      </c>
      <c r="M75" s="16">
        <v>161.0</v>
      </c>
      <c r="N75" s="16">
        <v>5.0</v>
      </c>
      <c r="O75" s="17"/>
      <c r="P75" s="18">
        <v>39982.58899305556</v>
      </c>
      <c r="Q75" s="14"/>
      <c r="R75" s="14"/>
      <c r="S75" s="14"/>
      <c r="T75" s="14"/>
      <c r="U75" s="19" t="str">
        <f>HYPERLINK("https://pbs.twimg.com/profile_images/1188907725159317513/U4j_cuFd.jpg","View")</f>
        <v>View</v>
      </c>
      <c r="V75" s="14"/>
      <c r="W75" s="14"/>
      <c r="X75" s="14"/>
      <c r="Y75" s="14"/>
      <c r="Z75" s="14"/>
    </row>
    <row r="76">
      <c r="A76" s="11">
        <v>43848.67638888889</v>
      </c>
      <c r="B76" s="12" t="str">
        <f>HYPERLINK("https://twitter.com/VirtualOrator","@VirtualOrator")</f>
        <v>@VirtualOrator</v>
      </c>
      <c r="C76" s="1" t="s">
        <v>443</v>
      </c>
      <c r="D76" s="1" t="s">
        <v>444</v>
      </c>
      <c r="E76" s="12" t="str">
        <f>HYPERLINK("https://twitter.com/VirtualOrator/status/1218642719192387584","1218642719192387584")</f>
        <v>1218642719192387584</v>
      </c>
      <c r="F76" s="13" t="s">
        <v>445</v>
      </c>
      <c r="G76" s="13" t="s">
        <v>446</v>
      </c>
      <c r="H76" s="14"/>
      <c r="I76" s="15">
        <v>0.0</v>
      </c>
      <c r="J76" s="15">
        <v>0.0</v>
      </c>
      <c r="K76" s="12" t="str">
        <f>HYPERLINK("https://about.twitter.com/products/tweetdeck","TweetDeck")</f>
        <v>TweetDeck</v>
      </c>
      <c r="L76" s="16">
        <v>64.0</v>
      </c>
      <c r="M76" s="16">
        <v>36.0</v>
      </c>
      <c r="N76" s="16">
        <v>8.0</v>
      </c>
      <c r="O76" s="17"/>
      <c r="P76" s="18">
        <v>42271.67383101852</v>
      </c>
      <c r="Q76" s="1" t="s">
        <v>447</v>
      </c>
      <c r="R76" s="1" t="s">
        <v>448</v>
      </c>
      <c r="S76" s="13" t="s">
        <v>449</v>
      </c>
      <c r="T76" s="14"/>
      <c r="U76" s="19" t="str">
        <f>HYPERLINK("https://pbs.twimg.com/profile_images/647146780811988992/ki8MFeY1.jpg","View")</f>
        <v>View</v>
      </c>
      <c r="V76" s="14"/>
      <c r="W76" s="14"/>
      <c r="X76" s="14"/>
      <c r="Y76" s="14"/>
      <c r="Z76" s="14"/>
    </row>
    <row r="77">
      <c r="A77" s="11">
        <v>43848.675416666665</v>
      </c>
      <c r="B77" s="12" t="str">
        <f>HYPERLINK("https://twitter.com/boomer12k","@boomer12k")</f>
        <v>@boomer12k</v>
      </c>
      <c r="C77" s="1" t="s">
        <v>450</v>
      </c>
      <c r="D77" s="1" t="s">
        <v>451</v>
      </c>
      <c r="E77" s="12" t="str">
        <f>HYPERLINK("https://twitter.com/boomer12k/status/1218642368238243840","1218642368238243840")</f>
        <v>1218642368238243840</v>
      </c>
      <c r="F77" s="13" t="s">
        <v>452</v>
      </c>
      <c r="G77" s="13" t="s">
        <v>453</v>
      </c>
      <c r="H77" s="14"/>
      <c r="I77" s="15">
        <v>0.0</v>
      </c>
      <c r="J77" s="15">
        <v>0.0</v>
      </c>
      <c r="K77" s="12" t="str">
        <f>HYPERLINK("https://mobile.twitter.com","Twitter Web App")</f>
        <v>Twitter Web App</v>
      </c>
      <c r="L77" s="16">
        <v>2297.0</v>
      </c>
      <c r="M77" s="16">
        <v>1478.0</v>
      </c>
      <c r="N77" s="16">
        <v>5.0</v>
      </c>
      <c r="O77" s="17"/>
      <c r="P77" s="18">
        <v>42661.68740740741</v>
      </c>
      <c r="Q77" s="1" t="s">
        <v>454</v>
      </c>
      <c r="R77" s="1" t="s">
        <v>455</v>
      </c>
      <c r="S77" s="13" t="s">
        <v>456</v>
      </c>
      <c r="T77" s="14"/>
      <c r="U77" s="19" t="str">
        <f>HYPERLINK("https://pbs.twimg.com/profile_images/789641845110247425/IZRgk2Gj.jpg","View")</f>
        <v>View</v>
      </c>
      <c r="V77" s="14"/>
      <c r="W77" s="14"/>
      <c r="X77" s="14"/>
      <c r="Y77" s="14"/>
      <c r="Z77" s="14"/>
    </row>
    <row r="78">
      <c r="A78" s="11">
        <v>43848.67521990741</v>
      </c>
      <c r="B78" s="12" t="str">
        <f>HYPERLINK("https://twitter.com/LisaVerzosa","@LisaVerzosa")</f>
        <v>@LisaVerzosa</v>
      </c>
      <c r="C78" s="1" t="s">
        <v>457</v>
      </c>
      <c r="D78" s="1" t="s">
        <v>458</v>
      </c>
      <c r="E78" s="12" t="str">
        <f>HYPERLINK("https://twitter.com/LisaVerzosa/status/1218642298105282560","1218642298105282560")</f>
        <v>1218642298105282560</v>
      </c>
      <c r="F78" s="14"/>
      <c r="G78" s="13" t="s">
        <v>459</v>
      </c>
      <c r="H78" s="14"/>
      <c r="I78" s="15">
        <v>0.0</v>
      </c>
      <c r="J78" s="15">
        <v>1.0</v>
      </c>
      <c r="K78" s="12" t="str">
        <f>HYPERLINK("http://twitter.com/download/iphone","Twitter for iPhone")</f>
        <v>Twitter for iPhone</v>
      </c>
      <c r="L78" s="16">
        <v>126.0</v>
      </c>
      <c r="M78" s="16">
        <v>2687.0</v>
      </c>
      <c r="N78" s="16">
        <v>0.0</v>
      </c>
      <c r="O78" s="17"/>
      <c r="P78" s="18">
        <v>43360.13008101852</v>
      </c>
      <c r="Q78" s="14"/>
      <c r="R78" s="1" t="s">
        <v>460</v>
      </c>
      <c r="S78" s="14"/>
      <c r="T78" s="14"/>
      <c r="U78" s="19" t="str">
        <f>HYPERLINK("https://pbs.twimg.com/profile_images/1211510606173392897/OglLwtDk.jpg","View")</f>
        <v>View</v>
      </c>
      <c r="V78" s="14"/>
      <c r="W78" s="14"/>
      <c r="X78" s="14"/>
      <c r="Y78" s="14"/>
      <c r="Z78" s="14"/>
    </row>
    <row r="79">
      <c r="A79" s="11">
        <v>43848.67016203704</v>
      </c>
      <c r="B79" s="12" t="str">
        <f>HYPERLINK("https://twitter.com/Fellwater","@Fellwater")</f>
        <v>@Fellwater</v>
      </c>
      <c r="C79" s="1" t="s">
        <v>461</v>
      </c>
      <c r="D79" s="1" t="s">
        <v>462</v>
      </c>
      <c r="E79" s="12" t="str">
        <f>HYPERLINK("https://twitter.com/Fellwater/status/1218640464397701121","1218640464397701121")</f>
        <v>1218640464397701121</v>
      </c>
      <c r="F79" s="14"/>
      <c r="G79" s="14"/>
      <c r="H79" s="14"/>
      <c r="I79" s="15">
        <v>0.0</v>
      </c>
      <c r="J79" s="15">
        <v>4.0</v>
      </c>
      <c r="K79" s="12" t="str">
        <f>HYPERLINK("https://mobile.twitter.com","Twitter Web App")</f>
        <v>Twitter Web App</v>
      </c>
      <c r="L79" s="16">
        <v>1176.0</v>
      </c>
      <c r="M79" s="16">
        <v>639.0</v>
      </c>
      <c r="N79" s="16">
        <v>77.0</v>
      </c>
      <c r="O79" s="17"/>
      <c r="P79" s="18">
        <v>41215.74564814815</v>
      </c>
      <c r="Q79" s="1" t="s">
        <v>463</v>
      </c>
      <c r="R79" s="1" t="s">
        <v>464</v>
      </c>
      <c r="S79" s="13" t="s">
        <v>465</v>
      </c>
      <c r="T79" s="14"/>
      <c r="U79" s="19" t="str">
        <f>HYPERLINK("https://pbs.twimg.com/profile_images/1146134665729888256/g0PhXOsf.png","View")</f>
        <v>View</v>
      </c>
      <c r="V79" s="14"/>
      <c r="W79" s="14"/>
      <c r="X79" s="14"/>
      <c r="Y79" s="14"/>
      <c r="Z79" s="14"/>
    </row>
    <row r="80">
      <c r="A80" s="11">
        <v>43848.65809027778</v>
      </c>
      <c r="B80" s="12" t="str">
        <f>HYPERLINK("https://twitter.com/GetYourSnoozeOn","@GetYourSnoozeOn")</f>
        <v>@GetYourSnoozeOn</v>
      </c>
      <c r="C80" s="1" t="s">
        <v>466</v>
      </c>
      <c r="D80" s="1" t="s">
        <v>467</v>
      </c>
      <c r="E80" s="12" t="str">
        <f>HYPERLINK("https://twitter.com/GetYourSnoozeOn/status/1218636087943421966","1218636087943421966")</f>
        <v>1218636087943421966</v>
      </c>
      <c r="F80" s="13" t="s">
        <v>468</v>
      </c>
      <c r="G80" s="14"/>
      <c r="H80" s="14"/>
      <c r="I80" s="15">
        <v>0.0</v>
      </c>
      <c r="J80" s="15">
        <v>1.0</v>
      </c>
      <c r="K80" s="12" t="str">
        <f>HYPERLINK("http://twitter.com/download/android","Twitter for Android")</f>
        <v>Twitter for Android</v>
      </c>
      <c r="L80" s="16">
        <v>1270.0</v>
      </c>
      <c r="M80" s="16">
        <v>4924.0</v>
      </c>
      <c r="N80" s="16">
        <v>17.0</v>
      </c>
      <c r="O80" s="17"/>
      <c r="P80" s="18">
        <v>43647.67337962963</v>
      </c>
      <c r="Q80" s="1" t="s">
        <v>469</v>
      </c>
      <c r="R80" s="1" t="s">
        <v>470</v>
      </c>
      <c r="S80" s="13" t="s">
        <v>471</v>
      </c>
      <c r="T80" s="14"/>
      <c r="U80" s="19" t="str">
        <f>HYPERLINK("https://pbs.twimg.com/profile_images/1158875734372433920/0m4jpxGS.jpg","View")</f>
        <v>View</v>
      </c>
      <c r="V80" s="14"/>
      <c r="W80" s="14"/>
      <c r="X80" s="14"/>
      <c r="Y80" s="14"/>
      <c r="Z80" s="14"/>
    </row>
    <row r="81">
      <c r="A81" s="11">
        <v>43848.65730324074</v>
      </c>
      <c r="B81" s="12" t="str">
        <f>HYPERLINK("https://twitter.com/OMENSOL","@OMENSOL")</f>
        <v>@OMENSOL</v>
      </c>
      <c r="C81" s="1" t="s">
        <v>472</v>
      </c>
      <c r="D81" s="1" t="s">
        <v>473</v>
      </c>
      <c r="E81" s="12" t="str">
        <f>HYPERLINK("https://twitter.com/OMENSOL/status/1218635805700345857","1218635805700345857")</f>
        <v>1218635805700345857</v>
      </c>
      <c r="F81" s="13" t="s">
        <v>474</v>
      </c>
      <c r="G81" s="14"/>
      <c r="H81" s="14"/>
      <c r="I81" s="15">
        <v>0.0</v>
      </c>
      <c r="J81" s="15">
        <v>0.0</v>
      </c>
      <c r="K81" s="12" t="str">
        <f t="shared" ref="K81:K82" si="8">HYPERLINK("https://buffer.com","Buffer")</f>
        <v>Buffer</v>
      </c>
      <c r="L81" s="16">
        <v>83.0</v>
      </c>
      <c r="M81" s="16">
        <v>1.0</v>
      </c>
      <c r="N81" s="16">
        <v>4.0</v>
      </c>
      <c r="O81" s="17"/>
      <c r="P81" s="18">
        <v>40800.96</v>
      </c>
      <c r="Q81" s="1" t="s">
        <v>475</v>
      </c>
      <c r="R81" s="1" t="s">
        <v>476</v>
      </c>
      <c r="S81" s="13" t="s">
        <v>477</v>
      </c>
      <c r="T81" s="14"/>
      <c r="U81" s="19" t="str">
        <f>HYPERLINK("https://pbs.twimg.com/profile_images/1543462118/JS_OMEN.jpg","View")</f>
        <v>View</v>
      </c>
      <c r="V81" s="14"/>
      <c r="W81" s="14"/>
      <c r="X81" s="14"/>
      <c r="Y81" s="14"/>
      <c r="Z81" s="14"/>
    </row>
    <row r="82">
      <c r="A82" s="11">
        <v>43848.65280092593</v>
      </c>
      <c r="B82" s="12" t="str">
        <f>HYPERLINK("https://twitter.com/MichaelsHealth","@MichaelsHealth")</f>
        <v>@MichaelsHealth</v>
      </c>
      <c r="C82" s="1" t="s">
        <v>478</v>
      </c>
      <c r="D82" s="1" t="s">
        <v>479</v>
      </c>
      <c r="E82" s="12" t="str">
        <f>HYPERLINK("https://twitter.com/MichaelsHealth/status/1218634172807503872","1218634172807503872")</f>
        <v>1218634172807503872</v>
      </c>
      <c r="F82" s="13" t="s">
        <v>480</v>
      </c>
      <c r="G82" s="13" t="s">
        <v>481</v>
      </c>
      <c r="H82" s="14"/>
      <c r="I82" s="15">
        <v>0.0</v>
      </c>
      <c r="J82" s="15">
        <v>0.0</v>
      </c>
      <c r="K82" s="12" t="str">
        <f t="shared" si="8"/>
        <v>Buffer</v>
      </c>
      <c r="L82" s="16">
        <v>1084.0</v>
      </c>
      <c r="M82" s="16">
        <v>1016.0</v>
      </c>
      <c r="N82" s="16">
        <v>33.0</v>
      </c>
      <c r="O82" s="17"/>
      <c r="P82" s="18">
        <v>40015.49903935185</v>
      </c>
      <c r="Q82" s="1" t="s">
        <v>482</v>
      </c>
      <c r="R82" s="1" t="s">
        <v>483</v>
      </c>
      <c r="S82" s="13" t="s">
        <v>484</v>
      </c>
      <c r="T82" s="14"/>
      <c r="U82" s="19" t="str">
        <f>HYPERLINK("https://pbs.twimg.com/profile_images/965979741185437696/nK6jOp1n.jpg","View")</f>
        <v>View</v>
      </c>
      <c r="V82" s="14"/>
      <c r="W82" s="14"/>
      <c r="X82" s="14"/>
      <c r="Y82" s="14"/>
      <c r="Z82" s="14"/>
    </row>
    <row r="83">
      <c r="A83" s="11">
        <v>43848.64832175926</v>
      </c>
      <c r="B83" s="12" t="str">
        <f t="shared" ref="B83:B84" si="9">HYPERLINK("https://twitter.com/DIY_hypno","@DIY_hypno")</f>
        <v>@DIY_hypno</v>
      </c>
      <c r="C83" s="1" t="s">
        <v>485</v>
      </c>
      <c r="D83" s="1" t="s">
        <v>486</v>
      </c>
      <c r="E83" s="12" t="str">
        <f>HYPERLINK("https://twitter.com/DIY_hypno/status/1218632547900567552","1218632547900567552")</f>
        <v>1218632547900567552</v>
      </c>
      <c r="F83" s="14"/>
      <c r="G83" s="13" t="s">
        <v>487</v>
      </c>
      <c r="H83" s="14"/>
      <c r="I83" s="15">
        <v>0.0</v>
      </c>
      <c r="J83" s="15">
        <v>0.0</v>
      </c>
      <c r="K83" s="12" t="str">
        <f t="shared" ref="K83:K84" si="10">HYPERLINK("https://mobile.twitter.com","Twitter Web App")</f>
        <v>Twitter Web App</v>
      </c>
      <c r="L83" s="16">
        <v>4.0</v>
      </c>
      <c r="M83" s="16">
        <v>89.0</v>
      </c>
      <c r="N83" s="16">
        <v>0.0</v>
      </c>
      <c r="O83" s="17"/>
      <c r="P83" s="18">
        <v>43757.51458333334</v>
      </c>
      <c r="Q83" s="1" t="s">
        <v>488</v>
      </c>
      <c r="R83" s="1" t="s">
        <v>489</v>
      </c>
      <c r="S83" s="13" t="s">
        <v>490</v>
      </c>
      <c r="T83" s="14"/>
      <c r="U83" s="19" t="str">
        <f t="shared" ref="U83:U84" si="11">HYPERLINK("https://pbs.twimg.com/profile_images/1217447132627636225/Qu_7M7aP.jpg","View")</f>
        <v>View</v>
      </c>
      <c r="V83" s="14"/>
      <c r="W83" s="14"/>
      <c r="X83" s="14"/>
      <c r="Y83" s="14"/>
      <c r="Z83" s="14"/>
    </row>
    <row r="84">
      <c r="A84" s="11">
        <v>43848.64747685185</v>
      </c>
      <c r="B84" s="12" t="str">
        <f t="shared" si="9"/>
        <v>@DIY_hypno</v>
      </c>
      <c r="C84" s="1" t="s">
        <v>485</v>
      </c>
      <c r="D84" s="1" t="s">
        <v>491</v>
      </c>
      <c r="E84" s="12" t="str">
        <f>HYPERLINK("https://twitter.com/DIY_hypno/status/1218632244895670279","1218632244895670279")</f>
        <v>1218632244895670279</v>
      </c>
      <c r="F84" s="14"/>
      <c r="G84" s="13" t="s">
        <v>492</v>
      </c>
      <c r="H84" s="14"/>
      <c r="I84" s="15">
        <v>0.0</v>
      </c>
      <c r="J84" s="15">
        <v>0.0</v>
      </c>
      <c r="K84" s="12" t="str">
        <f t="shared" si="10"/>
        <v>Twitter Web App</v>
      </c>
      <c r="L84" s="16">
        <v>4.0</v>
      </c>
      <c r="M84" s="16">
        <v>89.0</v>
      </c>
      <c r="N84" s="16">
        <v>0.0</v>
      </c>
      <c r="O84" s="17"/>
      <c r="P84" s="18">
        <v>43757.51458333334</v>
      </c>
      <c r="Q84" s="1" t="s">
        <v>488</v>
      </c>
      <c r="R84" s="1" t="s">
        <v>489</v>
      </c>
      <c r="S84" s="13" t="s">
        <v>490</v>
      </c>
      <c r="T84" s="14"/>
      <c r="U84" s="19" t="str">
        <f t="shared" si="11"/>
        <v>View</v>
      </c>
      <c r="V84" s="14"/>
      <c r="W84" s="14"/>
      <c r="X84" s="14"/>
      <c r="Y84" s="14"/>
      <c r="Z84" s="14"/>
    </row>
    <row r="85">
      <c r="A85" s="11">
        <v>43848.64608796296</v>
      </c>
      <c r="B85" s="12" t="str">
        <f>HYPERLINK("https://twitter.com/LuckyHouse_Stor","@LuckyHouse_Stor")</f>
        <v>@LuckyHouse_Stor</v>
      </c>
      <c r="C85" s="1" t="s">
        <v>493</v>
      </c>
      <c r="D85" s="1" t="s">
        <v>494</v>
      </c>
      <c r="E85" s="12" t="str">
        <f>HYPERLINK("https://twitter.com/LuckyHouse_Stor/status/1218631741302284298","1218631741302284298")</f>
        <v>1218631741302284298</v>
      </c>
      <c r="F85" s="14"/>
      <c r="G85" s="13" t="s">
        <v>495</v>
      </c>
      <c r="H85" s="14"/>
      <c r="I85" s="15">
        <v>0.0</v>
      </c>
      <c r="J85" s="15">
        <v>0.0</v>
      </c>
      <c r="K85" s="12" t="str">
        <f t="shared" ref="K85:K86" si="12">HYPERLINK("https://www.hootsuite.com","Hootsuite Inc.")</f>
        <v>Hootsuite Inc.</v>
      </c>
      <c r="L85" s="16">
        <v>284.0</v>
      </c>
      <c r="M85" s="16">
        <v>234.0</v>
      </c>
      <c r="N85" s="16">
        <v>10.0</v>
      </c>
      <c r="O85" s="17"/>
      <c r="P85" s="18">
        <v>42340.88246527778</v>
      </c>
      <c r="Q85" s="14"/>
      <c r="R85" s="1" t="s">
        <v>496</v>
      </c>
      <c r="S85" s="13" t="s">
        <v>497</v>
      </c>
      <c r="T85" s="14"/>
      <c r="U85" s="19" t="str">
        <f>HYPERLINK("https://pbs.twimg.com/profile_images/672245535797981186/D3FzcqOW.jpg","View")</f>
        <v>View</v>
      </c>
      <c r="V85" s="14"/>
      <c r="W85" s="14"/>
      <c r="X85" s="14"/>
      <c r="Y85" s="14"/>
      <c r="Z85" s="14"/>
    </row>
    <row r="86">
      <c r="A86" s="11">
        <v>43848.64604166667</v>
      </c>
      <c r="B86" s="12" t="str">
        <f>HYPERLINK("https://twitter.com/GetInControl","@GetInControl")</f>
        <v>@GetInControl</v>
      </c>
      <c r="C86" s="1" t="s">
        <v>141</v>
      </c>
      <c r="D86" s="1" t="s">
        <v>498</v>
      </c>
      <c r="E86" s="12" t="str">
        <f>HYPERLINK("https://twitter.com/GetInControl/status/1218631724206362631","1218631724206362631")</f>
        <v>1218631724206362631</v>
      </c>
      <c r="F86" s="13" t="s">
        <v>499</v>
      </c>
      <c r="G86" s="14"/>
      <c r="H86" s="14"/>
      <c r="I86" s="15">
        <v>0.0</v>
      </c>
      <c r="J86" s="15">
        <v>0.0</v>
      </c>
      <c r="K86" s="12" t="str">
        <f t="shared" si="12"/>
        <v>Hootsuite Inc.</v>
      </c>
      <c r="L86" s="16">
        <v>22186.0</v>
      </c>
      <c r="M86" s="16">
        <v>21835.0</v>
      </c>
      <c r="N86" s="16">
        <v>445.0</v>
      </c>
      <c r="O86" s="17"/>
      <c r="P86" s="18">
        <v>42227.6969212963</v>
      </c>
      <c r="Q86" s="1" t="s">
        <v>143</v>
      </c>
      <c r="R86" s="1" t="s">
        <v>144</v>
      </c>
      <c r="S86" s="13" t="s">
        <v>145</v>
      </c>
      <c r="T86" s="14"/>
      <c r="U86" s="19" t="str">
        <f>HYPERLINK("https://pbs.twimg.com/profile_images/631206513269325824/kbwx8-DF.png","View")</f>
        <v>View</v>
      </c>
      <c r="V86" s="14"/>
      <c r="W86" s="14"/>
      <c r="X86" s="14"/>
      <c r="Y86" s="14"/>
      <c r="Z86" s="14"/>
    </row>
    <row r="87">
      <c r="A87" s="11">
        <v>43848.63894675926</v>
      </c>
      <c r="B87" s="12" t="str">
        <f>HYPERLINK("https://twitter.com/TrainingMindful","@TrainingMindful")</f>
        <v>@TrainingMindful</v>
      </c>
      <c r="C87" s="1" t="s">
        <v>94</v>
      </c>
      <c r="D87" s="1" t="s">
        <v>500</v>
      </c>
      <c r="E87" s="12" t="str">
        <f>HYPERLINK("https://twitter.com/TrainingMindful/status/1218629152162680832","1218629152162680832")</f>
        <v>1218629152162680832</v>
      </c>
      <c r="F87" s="13" t="s">
        <v>501</v>
      </c>
      <c r="G87" s="14"/>
      <c r="H87" s="14"/>
      <c r="I87" s="15">
        <v>1.0</v>
      </c>
      <c r="J87" s="15">
        <v>2.0</v>
      </c>
      <c r="K87" s="12" t="str">
        <f>HYPERLINK("https://www.socialoomph.com","SocialOomph")</f>
        <v>SocialOomph</v>
      </c>
      <c r="L87" s="16">
        <v>185303.0</v>
      </c>
      <c r="M87" s="16">
        <v>43980.0</v>
      </c>
      <c r="N87" s="16">
        <v>2800.0</v>
      </c>
      <c r="O87" s="17"/>
      <c r="P87" s="18">
        <v>41286.039305555554</v>
      </c>
      <c r="Q87" s="1" t="s">
        <v>97</v>
      </c>
      <c r="R87" s="1" t="s">
        <v>98</v>
      </c>
      <c r="S87" s="13" t="s">
        <v>99</v>
      </c>
      <c r="T87" s="14"/>
      <c r="U87" s="19" t="str">
        <f>HYPERLINK("https://pbs.twimg.com/profile_images/566526924059459584/gdMxDA9x.jpeg","View")</f>
        <v>View</v>
      </c>
      <c r="V87" s="14"/>
      <c r="W87" s="14"/>
      <c r="X87" s="14"/>
      <c r="Y87" s="14"/>
      <c r="Z87" s="14"/>
    </row>
    <row r="88">
      <c r="A88" s="11">
        <v>43848.632002314815</v>
      </c>
      <c r="B88" s="12" t="str">
        <f>HYPERLINK("https://twitter.com/LouLagganCoach","@LouLagganCoach")</f>
        <v>@LouLagganCoach</v>
      </c>
      <c r="C88" s="1" t="s">
        <v>380</v>
      </c>
      <c r="D88" s="1" t="s">
        <v>502</v>
      </c>
      <c r="E88" s="12" t="str">
        <f>HYPERLINK("https://twitter.com/LouLagganCoach/status/1218626636628795392","1218626636628795392")</f>
        <v>1218626636628795392</v>
      </c>
      <c r="F88" s="13" t="s">
        <v>503</v>
      </c>
      <c r="G88" s="14"/>
      <c r="H88" s="14"/>
      <c r="I88" s="15">
        <v>0.0</v>
      </c>
      <c r="J88" s="15">
        <v>1.0</v>
      </c>
      <c r="K88" s="12" t="str">
        <f>HYPERLINK("https://www.hootsuite.com","Hootsuite Inc.")</f>
        <v>Hootsuite Inc.</v>
      </c>
      <c r="L88" s="16">
        <v>402.0</v>
      </c>
      <c r="M88" s="16">
        <v>533.0</v>
      </c>
      <c r="N88" s="16">
        <v>7.0</v>
      </c>
      <c r="O88" s="17"/>
      <c r="P88" s="18">
        <v>42465.223773148144</v>
      </c>
      <c r="Q88" s="14"/>
      <c r="R88" s="1" t="s">
        <v>383</v>
      </c>
      <c r="S88" s="13" t="s">
        <v>384</v>
      </c>
      <c r="T88" s="14"/>
      <c r="U88" s="19" t="str">
        <f>HYPERLINK("https://pbs.twimg.com/profile_images/849569953137274880/WR6ZTgRv.jpg","View")</f>
        <v>View</v>
      </c>
      <c r="V88" s="14"/>
      <c r="W88" s="14"/>
      <c r="X88" s="14"/>
      <c r="Y88" s="14"/>
      <c r="Z88" s="14"/>
    </row>
    <row r="89">
      <c r="A89" s="11">
        <v>43848.625914351855</v>
      </c>
      <c r="B89" s="12" t="str">
        <f>HYPERLINK("https://twitter.com/PhilWillcox","@PhilWillcox")</f>
        <v>@PhilWillcox</v>
      </c>
      <c r="C89" s="1" t="s">
        <v>504</v>
      </c>
      <c r="D89" s="1" t="s">
        <v>505</v>
      </c>
      <c r="E89" s="12" t="str">
        <f>HYPERLINK("https://twitter.com/PhilWillcox/status/1218624430919778304","1218624430919778304")</f>
        <v>1218624430919778304</v>
      </c>
      <c r="F89" s="14"/>
      <c r="G89" s="13" t="s">
        <v>506</v>
      </c>
      <c r="H89" s="14"/>
      <c r="I89" s="15">
        <v>2.0</v>
      </c>
      <c r="J89" s="15">
        <v>2.0</v>
      </c>
      <c r="K89" s="12" t="str">
        <f>HYPERLINK("https://panel.socialpilot.co/","SocialPilot.co")</f>
        <v>SocialPilot.co</v>
      </c>
      <c r="L89" s="16">
        <v>4661.0</v>
      </c>
      <c r="M89" s="16">
        <v>1583.0</v>
      </c>
      <c r="N89" s="16">
        <v>149.0</v>
      </c>
      <c r="O89" s="17"/>
      <c r="P89" s="18">
        <v>40793.66763888889</v>
      </c>
      <c r="Q89" s="1" t="s">
        <v>507</v>
      </c>
      <c r="R89" s="1" t="s">
        <v>508</v>
      </c>
      <c r="S89" s="13" t="s">
        <v>509</v>
      </c>
      <c r="T89" s="14"/>
      <c r="U89" s="19" t="str">
        <f>HYPERLINK("https://pbs.twimg.com/profile_images/1005365554260176896/TQDBFx48.jpg","View")</f>
        <v>View</v>
      </c>
      <c r="V89" s="14"/>
      <c r="W89" s="14"/>
      <c r="X89" s="14"/>
      <c r="Y89" s="14"/>
      <c r="Z89" s="14"/>
    </row>
    <row r="90">
      <c r="A90" s="11">
        <v>43848.62527777778</v>
      </c>
      <c r="B90" s="12" t="str">
        <f>HYPERLINK("https://twitter.com/GetInControl","@GetInControl")</f>
        <v>@GetInControl</v>
      </c>
      <c r="C90" s="1" t="s">
        <v>141</v>
      </c>
      <c r="D90" s="1" t="s">
        <v>510</v>
      </c>
      <c r="E90" s="12" t="str">
        <f>HYPERLINK("https://twitter.com/GetInControl/status/1218624200275058688","1218624200275058688")</f>
        <v>1218624200275058688</v>
      </c>
      <c r="F90" s="14"/>
      <c r="G90" s="14"/>
      <c r="H90" s="14"/>
      <c r="I90" s="15">
        <v>0.0</v>
      </c>
      <c r="J90" s="15">
        <v>0.0</v>
      </c>
      <c r="K90" s="12" t="str">
        <f>HYPERLINK("https://www.hootsuite.com","Hootsuite Inc.")</f>
        <v>Hootsuite Inc.</v>
      </c>
      <c r="L90" s="16">
        <v>22186.0</v>
      </c>
      <c r="M90" s="16">
        <v>21835.0</v>
      </c>
      <c r="N90" s="16">
        <v>445.0</v>
      </c>
      <c r="O90" s="17"/>
      <c r="P90" s="18">
        <v>42227.6969212963</v>
      </c>
      <c r="Q90" s="1" t="s">
        <v>143</v>
      </c>
      <c r="R90" s="1" t="s">
        <v>144</v>
      </c>
      <c r="S90" s="13" t="s">
        <v>145</v>
      </c>
      <c r="T90" s="14"/>
      <c r="U90" s="19" t="str">
        <f>HYPERLINK("https://pbs.twimg.com/profile_images/631206513269325824/kbwx8-DF.png","View")</f>
        <v>View</v>
      </c>
      <c r="V90" s="14"/>
      <c r="W90" s="14"/>
      <c r="X90" s="14"/>
      <c r="Y90" s="14"/>
      <c r="Z90" s="14"/>
    </row>
    <row r="91">
      <c r="A91" s="11">
        <v>43848.62521990741</v>
      </c>
      <c r="B91" s="12" t="str">
        <f>HYPERLINK("https://twitter.com/PhoenixRageRoom","@PhoenixRageRoom")</f>
        <v>@PhoenixRageRoom</v>
      </c>
      <c r="C91" s="1" t="s">
        <v>511</v>
      </c>
      <c r="D91" s="1" t="s">
        <v>512</v>
      </c>
      <c r="E91" s="12" t="str">
        <f>HYPERLINK("https://twitter.com/PhoenixRageRoom/status/1218624179001528321","1218624179001528321")</f>
        <v>1218624179001528321</v>
      </c>
      <c r="F91" s="1" t="s">
        <v>513</v>
      </c>
      <c r="G91" s="13" t="s">
        <v>514</v>
      </c>
      <c r="H91" s="14"/>
      <c r="I91" s="15">
        <v>0.0</v>
      </c>
      <c r="J91" s="15">
        <v>2.0</v>
      </c>
      <c r="K91" s="12" t="str">
        <f>HYPERLINK("https://buffer.com","Buffer")</f>
        <v>Buffer</v>
      </c>
      <c r="L91" s="16">
        <v>178.0</v>
      </c>
      <c r="M91" s="16">
        <v>719.0</v>
      </c>
      <c r="N91" s="16">
        <v>2.0</v>
      </c>
      <c r="O91" s="17"/>
      <c r="P91" s="18">
        <v>42797.79428240741</v>
      </c>
      <c r="Q91" s="1" t="s">
        <v>515</v>
      </c>
      <c r="R91" s="1" t="s">
        <v>516</v>
      </c>
      <c r="S91" s="13" t="s">
        <v>517</v>
      </c>
      <c r="T91" s="14"/>
      <c r="U91" s="19" t="str">
        <f>HYPERLINK("https://pbs.twimg.com/profile_images/837847116231786496/HB--BdzJ.jpg","View")</f>
        <v>View</v>
      </c>
      <c r="V91" s="14"/>
      <c r="W91" s="14"/>
      <c r="X91" s="14"/>
      <c r="Y91" s="14"/>
      <c r="Z91" s="14"/>
    </row>
    <row r="92">
      <c r="A92" s="11">
        <v>43848.62503472222</v>
      </c>
      <c r="B92" s="12" t="str">
        <f>HYPERLINK("https://twitter.com/road2recovered","@road2recovered")</f>
        <v>@road2recovered</v>
      </c>
      <c r="C92" s="1" t="s">
        <v>518</v>
      </c>
      <c r="D92" s="1" t="s">
        <v>519</v>
      </c>
      <c r="E92" s="12" t="str">
        <f>HYPERLINK("https://twitter.com/road2recovered/status/1218624112395988995","1218624112395988995")</f>
        <v>1218624112395988995</v>
      </c>
      <c r="F92" s="13" t="s">
        <v>520</v>
      </c>
      <c r="G92" s="14"/>
      <c r="H92" s="14"/>
      <c r="I92" s="15">
        <v>0.0</v>
      </c>
      <c r="J92" s="15">
        <v>0.0</v>
      </c>
      <c r="K92" s="12" t="str">
        <f>HYPERLINK("https://eclincher.com","eClincher")</f>
        <v>eClincher</v>
      </c>
      <c r="L92" s="16">
        <v>138.0</v>
      </c>
      <c r="M92" s="16">
        <v>1161.0</v>
      </c>
      <c r="N92" s="16">
        <v>1.0</v>
      </c>
      <c r="O92" s="17"/>
      <c r="P92" s="18">
        <v>42712.74082175926</v>
      </c>
      <c r="Q92" s="1" t="s">
        <v>521</v>
      </c>
      <c r="R92" s="1" t="s">
        <v>522</v>
      </c>
      <c r="S92" s="13" t="s">
        <v>523</v>
      </c>
      <c r="T92" s="14"/>
      <c r="U92" s="19" t="str">
        <f>HYPERLINK("https://pbs.twimg.com/profile_images/1069720309043875841/bFp7cTz0.jpg","View")</f>
        <v>View</v>
      </c>
      <c r="V92" s="14"/>
      <c r="W92" s="14"/>
      <c r="X92" s="14"/>
      <c r="Y92" s="14"/>
      <c r="Z92" s="14"/>
    </row>
    <row r="93">
      <c r="A93" s="11">
        <v>43848.616261574076</v>
      </c>
      <c r="B93" s="12" t="str">
        <f>HYPERLINK("https://twitter.com/AprilFederico","@AprilFederico")</f>
        <v>@AprilFederico</v>
      </c>
      <c r="C93" s="1" t="s">
        <v>524</v>
      </c>
      <c r="D93" s="1" t="s">
        <v>525</v>
      </c>
      <c r="E93" s="12" t="str">
        <f>HYPERLINK("https://twitter.com/AprilFederico/status/1218620929821020160","1218620929821020160")</f>
        <v>1218620929821020160</v>
      </c>
      <c r="F93" s="14"/>
      <c r="G93" s="14"/>
      <c r="H93" s="14"/>
      <c r="I93" s="15">
        <v>0.0</v>
      </c>
      <c r="J93" s="15">
        <v>0.0</v>
      </c>
      <c r="K93" s="12" t="str">
        <f>HYPERLINK("http://twitter.com/download/iphone","Twitter for iPhone")</f>
        <v>Twitter for iPhone</v>
      </c>
      <c r="L93" s="16">
        <v>105.0</v>
      </c>
      <c r="M93" s="16">
        <v>268.0</v>
      </c>
      <c r="N93" s="16">
        <v>7.0</v>
      </c>
      <c r="O93" s="17"/>
      <c r="P93" s="18">
        <v>42719.66329861111</v>
      </c>
      <c r="Q93" s="1" t="s">
        <v>526</v>
      </c>
      <c r="R93" s="1" t="s">
        <v>527</v>
      </c>
      <c r="S93" s="13" t="s">
        <v>528</v>
      </c>
      <c r="T93" s="14"/>
      <c r="U93" s="19" t="str">
        <f>HYPERLINK("https://pbs.twimg.com/profile_images/1179507857399660556/hG6iE5qh.jpg","View")</f>
        <v>View</v>
      </c>
      <c r="V93" s="14"/>
      <c r="W93" s="14"/>
      <c r="X93" s="14"/>
      <c r="Y93" s="14"/>
      <c r="Z93" s="14"/>
    </row>
    <row r="94">
      <c r="A94" s="11">
        <v>43848.61461805555</v>
      </c>
      <c r="B94" s="12" t="str">
        <f>HYPERLINK("https://twitter.com/HealthyPlace","@HealthyPlace")</f>
        <v>@HealthyPlace</v>
      </c>
      <c r="C94" s="1" t="s">
        <v>529</v>
      </c>
      <c r="D94" s="1" t="s">
        <v>530</v>
      </c>
      <c r="E94" s="12" t="str">
        <f>HYPERLINK("https://twitter.com/HealthyPlace/status/1218620333915283457","1218620333915283457")</f>
        <v>1218620333915283457</v>
      </c>
      <c r="F94" s="13" t="s">
        <v>531</v>
      </c>
      <c r="G94" s="13" t="s">
        <v>532</v>
      </c>
      <c r="H94" s="14"/>
      <c r="I94" s="15">
        <v>0.0</v>
      </c>
      <c r="J94" s="15">
        <v>2.0</v>
      </c>
      <c r="K94" s="12" t="str">
        <f>HYPERLINK("https://sproutsocial.com","Sprout Social")</f>
        <v>Sprout Social</v>
      </c>
      <c r="L94" s="16">
        <v>64943.0</v>
      </c>
      <c r="M94" s="16">
        <v>25048.0</v>
      </c>
      <c r="N94" s="16">
        <v>1710.0</v>
      </c>
      <c r="O94" s="17"/>
      <c r="P94" s="18">
        <v>39681.03928240741</v>
      </c>
      <c r="Q94" s="1" t="s">
        <v>533</v>
      </c>
      <c r="R94" s="1" t="s">
        <v>534</v>
      </c>
      <c r="S94" s="13" t="s">
        <v>535</v>
      </c>
      <c r="T94" s="14"/>
      <c r="U94" s="19" t="str">
        <f>HYPERLINK("https://pbs.twimg.com/profile_images/753613454083252225/i5pr2xny.jpg","View")</f>
        <v>View</v>
      </c>
      <c r="V94" s="14"/>
      <c r="W94" s="14"/>
      <c r="X94" s="14"/>
      <c r="Y94" s="14"/>
      <c r="Z94" s="14"/>
    </row>
    <row r="95">
      <c r="A95" s="11">
        <v>43848.61459490741</v>
      </c>
      <c r="B95" s="12" t="str">
        <f>HYPERLINK("https://twitter.com/DivergentCIO","@DivergentCIO")</f>
        <v>@DivergentCIO</v>
      </c>
      <c r="C95" s="1" t="s">
        <v>536</v>
      </c>
      <c r="D95" s="1" t="s">
        <v>537</v>
      </c>
      <c r="E95" s="12" t="str">
        <f>HYPERLINK("https://twitter.com/DivergentCIO/status/1218620326495629312","1218620326495629312")</f>
        <v>1218620326495629312</v>
      </c>
      <c r="F95" s="13" t="s">
        <v>538</v>
      </c>
      <c r="G95" s="14"/>
      <c r="H95" s="14"/>
      <c r="I95" s="15">
        <v>0.0</v>
      </c>
      <c r="J95" s="15">
        <v>0.0</v>
      </c>
      <c r="K95" s="12" t="str">
        <f>HYPERLINK("https://buffer.com","Buffer")</f>
        <v>Buffer</v>
      </c>
      <c r="L95" s="16">
        <v>28703.0</v>
      </c>
      <c r="M95" s="16">
        <v>25615.0</v>
      </c>
      <c r="N95" s="16">
        <v>1729.0</v>
      </c>
      <c r="O95" s="17"/>
      <c r="P95" s="18">
        <v>42071.738854166666</v>
      </c>
      <c r="Q95" s="1" t="s">
        <v>539</v>
      </c>
      <c r="R95" s="1" t="s">
        <v>540</v>
      </c>
      <c r="S95" s="13" t="s">
        <v>541</v>
      </c>
      <c r="T95" s="14"/>
      <c r="U95" s="19" t="str">
        <f>HYPERLINK("https://pbs.twimg.com/profile_images/767507322583199745/rpfbzBzg.jpg","View")</f>
        <v>View</v>
      </c>
      <c r="V95" s="14"/>
      <c r="W95" s="14"/>
      <c r="X95" s="14"/>
      <c r="Y95" s="14"/>
      <c r="Z95" s="14"/>
    </row>
    <row r="96">
      <c r="A96" s="11">
        <v>43848.61063657407</v>
      </c>
      <c r="B96" s="12" t="str">
        <f>HYPERLINK("https://twitter.com/NJ_Hypnotist","@NJ_Hypnotist")</f>
        <v>@NJ_Hypnotist</v>
      </c>
      <c r="C96" s="1" t="s">
        <v>542</v>
      </c>
      <c r="D96" s="1" t="s">
        <v>543</v>
      </c>
      <c r="E96" s="12" t="str">
        <f>HYPERLINK("https://twitter.com/NJ_Hypnotist/status/1218618892257501184","1218618892257501184")</f>
        <v>1218618892257501184</v>
      </c>
      <c r="F96" s="13" t="s">
        <v>544</v>
      </c>
      <c r="G96" s="14"/>
      <c r="H96" s="12" t="str">
        <f>HYPERLINK("https://ctrlq.org/maps/address/#40.09592,-74.04897","Map")</f>
        <v>Map</v>
      </c>
      <c r="I96" s="15">
        <v>0.0</v>
      </c>
      <c r="J96" s="15">
        <v>0.0</v>
      </c>
      <c r="K96" s="12" t="str">
        <f>HYPERLINK("http://instagram.com","Instagram")</f>
        <v>Instagram</v>
      </c>
      <c r="L96" s="16">
        <v>1423.0</v>
      </c>
      <c r="M96" s="16">
        <v>1469.0</v>
      </c>
      <c r="N96" s="16">
        <v>41.0</v>
      </c>
      <c r="O96" s="17"/>
      <c r="P96" s="18">
        <v>39778.319699074076</v>
      </c>
      <c r="Q96" s="1" t="s">
        <v>545</v>
      </c>
      <c r="R96" s="1" t="s">
        <v>546</v>
      </c>
      <c r="S96" s="13" t="s">
        <v>547</v>
      </c>
      <c r="T96" s="14"/>
      <c r="U96" s="19" t="str">
        <f>HYPERLINK("https://pbs.twimg.com/profile_images/580097391073845248/_L9U6UH9.jpg","View")</f>
        <v>View</v>
      </c>
      <c r="V96" s="14"/>
      <c r="W96" s="14"/>
      <c r="X96" s="14"/>
      <c r="Y96" s="14"/>
      <c r="Z96" s="14"/>
    </row>
    <row r="97">
      <c r="A97" s="11">
        <v>43848.5978125</v>
      </c>
      <c r="B97" s="12" t="str">
        <f>HYPERLINK("https://twitter.com/Allie46185693","@Allie46185693")</f>
        <v>@Allie46185693</v>
      </c>
      <c r="C97" s="1" t="s">
        <v>548</v>
      </c>
      <c r="D97" s="1" t="s">
        <v>549</v>
      </c>
      <c r="E97" s="12" t="str">
        <f>HYPERLINK("https://twitter.com/Allie46185693/status/1218614246243733506","1218614246243733506")</f>
        <v>1218614246243733506</v>
      </c>
      <c r="F97" s="14"/>
      <c r="G97" s="14"/>
      <c r="H97" s="14"/>
      <c r="I97" s="15">
        <v>3.0</v>
      </c>
      <c r="J97" s="15">
        <v>0.0</v>
      </c>
      <c r="K97" s="12" t="str">
        <f>HYPERLINK("http://twitter.com/download/iphone","Twitter for iPhone")</f>
        <v>Twitter for iPhone</v>
      </c>
      <c r="L97" s="16">
        <v>163.0</v>
      </c>
      <c r="M97" s="16">
        <v>222.0</v>
      </c>
      <c r="N97" s="16">
        <v>0.0</v>
      </c>
      <c r="O97" s="17"/>
      <c r="P97" s="18">
        <v>43446.85133101852</v>
      </c>
      <c r="Q97" s="1" t="s">
        <v>550</v>
      </c>
      <c r="R97" s="1" t="s">
        <v>551</v>
      </c>
      <c r="S97" s="14"/>
      <c r="T97" s="14"/>
      <c r="U97" s="19" t="str">
        <f>HYPERLINK("https://pbs.twimg.com/profile_images/1153653816388149248/XjKkxnj2.jpg","View")</f>
        <v>View</v>
      </c>
      <c r="V97" s="14"/>
      <c r="W97" s="14"/>
      <c r="X97" s="14"/>
      <c r="Y97" s="14"/>
      <c r="Z97" s="14"/>
    </row>
    <row r="98">
      <c r="A98" s="11">
        <v>43848.5958912037</v>
      </c>
      <c r="B98" s="12" t="str">
        <f>HYPERLINK("https://twitter.com/LaurieWeiss","@LaurieWeiss")</f>
        <v>@LaurieWeiss</v>
      </c>
      <c r="C98" s="1" t="s">
        <v>552</v>
      </c>
      <c r="D98" s="1" t="s">
        <v>553</v>
      </c>
      <c r="E98" s="12" t="str">
        <f>HYPERLINK("https://twitter.com/LaurieWeiss/status/1218613548777136128","1218613548777136128")</f>
        <v>1218613548777136128</v>
      </c>
      <c r="F98" s="13" t="s">
        <v>554</v>
      </c>
      <c r="G98" s="14"/>
      <c r="H98" s="14"/>
      <c r="I98" s="15">
        <v>0.0</v>
      </c>
      <c r="J98" s="15">
        <v>0.0</v>
      </c>
      <c r="K98" s="12" t="str">
        <f>HYPERLINK("https://www.bublish.com/","BublishMe")</f>
        <v>BublishMe</v>
      </c>
      <c r="L98" s="16">
        <v>8776.0</v>
      </c>
      <c r="M98" s="16">
        <v>9200.0</v>
      </c>
      <c r="N98" s="16">
        <v>148.0</v>
      </c>
      <c r="O98" s="17"/>
      <c r="P98" s="18">
        <v>39564.98600694444</v>
      </c>
      <c r="Q98" s="1" t="s">
        <v>555</v>
      </c>
      <c r="R98" s="1" t="s">
        <v>556</v>
      </c>
      <c r="S98" s="13" t="s">
        <v>557</v>
      </c>
      <c r="T98" s="14"/>
      <c r="U98" s="19" t="str">
        <f>HYPERLINK("https://pbs.twimg.com/profile_images/754147858253684736/aQ8I-2kH.jpg","View")</f>
        <v>View</v>
      </c>
      <c r="V98" s="14"/>
      <c r="W98" s="14"/>
      <c r="X98" s="14"/>
      <c r="Y98" s="14"/>
      <c r="Z98" s="14"/>
    </row>
    <row r="99">
      <c r="A99" s="11">
        <v>43848.59378472222</v>
      </c>
      <c r="B99" s="12" t="str">
        <f>HYPERLINK("https://twitter.com/TMNinja","@TMNinja")</f>
        <v>@TMNinja</v>
      </c>
      <c r="C99" s="1" t="s">
        <v>558</v>
      </c>
      <c r="D99" s="1" t="s">
        <v>559</v>
      </c>
      <c r="E99" s="12" t="str">
        <f>HYPERLINK("https://twitter.com/TMNinja/status/1218612783836794880","1218612783836794880")</f>
        <v>1218612783836794880</v>
      </c>
      <c r="F99" s="13" t="s">
        <v>560</v>
      </c>
      <c r="G99" s="13" t="s">
        <v>561</v>
      </c>
      <c r="H99" s="14"/>
      <c r="I99" s="15">
        <v>0.0</v>
      </c>
      <c r="J99" s="15">
        <v>1.0</v>
      </c>
      <c r="K99" s="12" t="str">
        <f>HYPERLINK("https://buffer.com","Buffer")</f>
        <v>Buffer</v>
      </c>
      <c r="L99" s="16">
        <v>34405.0</v>
      </c>
      <c r="M99" s="16">
        <v>15405.0</v>
      </c>
      <c r="N99" s="16">
        <v>1884.0</v>
      </c>
      <c r="O99" s="20" t="s">
        <v>38</v>
      </c>
      <c r="P99" s="18">
        <v>39982.609548611115</v>
      </c>
      <c r="Q99" s="1" t="s">
        <v>550</v>
      </c>
      <c r="R99" s="1" t="s">
        <v>562</v>
      </c>
      <c r="S99" s="13" t="s">
        <v>563</v>
      </c>
      <c r="T99" s="14"/>
      <c r="U99" s="19" t="str">
        <f>HYPERLINK("https://pbs.twimg.com/profile_images/1734246631/Craig_BW_Headshot_small.jpg.jpg","View")</f>
        <v>View</v>
      </c>
      <c r="V99" s="14"/>
      <c r="W99" s="14"/>
      <c r="X99" s="14"/>
      <c r="Y99" s="14"/>
      <c r="Z99" s="14"/>
    </row>
    <row r="100">
      <c r="A100" s="11">
        <v>43848.59335648148</v>
      </c>
      <c r="B100" s="12" t="str">
        <f>HYPERLINK("https://twitter.com/OrganicLiveFood","@OrganicLiveFood")</f>
        <v>@OrganicLiveFood</v>
      </c>
      <c r="C100" s="1" t="s">
        <v>564</v>
      </c>
      <c r="D100" s="1" t="s">
        <v>565</v>
      </c>
      <c r="E100" s="12" t="str">
        <f>HYPERLINK("https://twitter.com/OrganicLiveFood/status/1218612628764995586","1218612628764995586")</f>
        <v>1218612628764995586</v>
      </c>
      <c r="F100" s="13" t="s">
        <v>566</v>
      </c>
      <c r="G100" s="13" t="s">
        <v>567</v>
      </c>
      <c r="H100" s="14"/>
      <c r="I100" s="15">
        <v>4.0</v>
      </c>
      <c r="J100" s="15">
        <v>0.0</v>
      </c>
      <c r="K100" s="12" t="str">
        <f>HYPERLINK("https://ifttt.com","IFTTT")</f>
        <v>IFTTT</v>
      </c>
      <c r="L100" s="16">
        <v>141042.0</v>
      </c>
      <c r="M100" s="16">
        <v>65175.0</v>
      </c>
      <c r="N100" s="16">
        <v>2205.0</v>
      </c>
      <c r="O100" s="17"/>
      <c r="P100" s="18">
        <v>40900.04040509259</v>
      </c>
      <c r="Q100" s="1" t="s">
        <v>568</v>
      </c>
      <c r="R100" s="1" t="s">
        <v>569</v>
      </c>
      <c r="S100" s="13" t="s">
        <v>570</v>
      </c>
      <c r="T100" s="14"/>
      <c r="U100" s="19" t="str">
        <f>HYPERLINK("https://pbs.twimg.com/profile_images/378800000790297501/95a559eb81b3cf714f529ef3f4c6bb36.png","View")</f>
        <v>View</v>
      </c>
      <c r="V100" s="14"/>
      <c r="W100" s="14"/>
      <c r="X100" s="14"/>
      <c r="Y100" s="14"/>
      <c r="Z100" s="14"/>
    </row>
    <row r="101">
      <c r="A101" s="11">
        <v>43848.59027777778</v>
      </c>
      <c r="B101" s="12" t="str">
        <f>HYPERLINK("https://twitter.com/DivergentCIO","@DivergentCIO")</f>
        <v>@DivergentCIO</v>
      </c>
      <c r="C101" s="1" t="s">
        <v>536</v>
      </c>
      <c r="D101" s="1" t="s">
        <v>571</v>
      </c>
      <c r="E101" s="12" t="str">
        <f>HYPERLINK("https://twitter.com/DivergentCIO/status/1218611514829131777","1218611514829131777")</f>
        <v>1218611514829131777</v>
      </c>
      <c r="F101" s="13" t="s">
        <v>572</v>
      </c>
      <c r="G101" s="14"/>
      <c r="H101" s="14"/>
      <c r="I101" s="15">
        <v>2.0</v>
      </c>
      <c r="J101" s="15">
        <v>1.0</v>
      </c>
      <c r="K101" s="12" t="str">
        <f>HYPERLINK("https://buffer.com","Buffer")</f>
        <v>Buffer</v>
      </c>
      <c r="L101" s="16">
        <v>28703.0</v>
      </c>
      <c r="M101" s="16">
        <v>25615.0</v>
      </c>
      <c r="N101" s="16">
        <v>1729.0</v>
      </c>
      <c r="O101" s="17"/>
      <c r="P101" s="18">
        <v>42071.738854166666</v>
      </c>
      <c r="Q101" s="1" t="s">
        <v>539</v>
      </c>
      <c r="R101" s="1" t="s">
        <v>540</v>
      </c>
      <c r="S101" s="13" t="s">
        <v>541</v>
      </c>
      <c r="T101" s="14"/>
      <c r="U101" s="19" t="str">
        <f>HYPERLINK("https://pbs.twimg.com/profile_images/767507322583199745/rpfbzBzg.jpg","View")</f>
        <v>View</v>
      </c>
      <c r="V101" s="14"/>
      <c r="W101" s="14"/>
      <c r="X101" s="14"/>
      <c r="Y101" s="14"/>
      <c r="Z101" s="14"/>
    </row>
    <row r="102">
      <c r="A102" s="11">
        <v>43848.588958333334</v>
      </c>
      <c r="B102" s="12" t="str">
        <f>HYPERLINK("https://twitter.com/magic59051","@magic59051")</f>
        <v>@magic59051</v>
      </c>
      <c r="C102" s="1" t="s">
        <v>573</v>
      </c>
      <c r="D102" s="1" t="s">
        <v>193</v>
      </c>
      <c r="E102" s="12" t="str">
        <f>HYPERLINK("https://twitter.com/magic59051/status/1218611035940315137","1218611035940315137")</f>
        <v>1218611035940315137</v>
      </c>
      <c r="F102" s="13" t="s">
        <v>574</v>
      </c>
      <c r="G102" s="14"/>
      <c r="H102" s="14"/>
      <c r="I102" s="15">
        <v>0.0</v>
      </c>
      <c r="J102" s="15">
        <v>0.0</v>
      </c>
      <c r="K102" s="12" t="str">
        <f>HYPERLINK("http://twitter.com","Twitter Web Client")</f>
        <v>Twitter Web Client</v>
      </c>
      <c r="L102" s="16">
        <v>79.0</v>
      </c>
      <c r="M102" s="16">
        <v>320.0</v>
      </c>
      <c r="N102" s="16">
        <v>0.0</v>
      </c>
      <c r="O102" s="17"/>
      <c r="P102" s="18">
        <v>43531.3218287037</v>
      </c>
      <c r="Q102" s="14"/>
      <c r="R102" s="1" t="s">
        <v>575</v>
      </c>
      <c r="S102" s="14"/>
      <c r="T102" s="14"/>
      <c r="U102" s="19" t="str">
        <f>HYPERLINK("https://pbs.twimg.com/profile_images/1103638387037298688/whi_p0f_.jpg","View")</f>
        <v>View</v>
      </c>
      <c r="V102" s="14"/>
      <c r="W102" s="14"/>
      <c r="X102" s="14"/>
      <c r="Y102" s="14"/>
      <c r="Z102" s="14"/>
    </row>
    <row r="103">
      <c r="A103" s="11">
        <v>43848.58728009259</v>
      </c>
      <c r="B103" s="12" t="str">
        <f>HYPERLINK("https://twitter.com/renascencemusic","@renascencemusic")</f>
        <v>@renascencemusic</v>
      </c>
      <c r="C103" s="1" t="s">
        <v>247</v>
      </c>
      <c r="D103" s="1" t="s">
        <v>576</v>
      </c>
      <c r="E103" s="12" t="str">
        <f>HYPERLINK("https://twitter.com/renascencemusic/status/1218610429766905856","1218610429766905856")</f>
        <v>1218610429766905856</v>
      </c>
      <c r="F103" s="13" t="s">
        <v>577</v>
      </c>
      <c r="G103" s="13" t="s">
        <v>578</v>
      </c>
      <c r="H103" s="14"/>
      <c r="I103" s="15">
        <v>0.0</v>
      </c>
      <c r="J103" s="15">
        <v>0.0</v>
      </c>
      <c r="K103" s="12" t="str">
        <f t="shared" ref="K103:K104" si="13">HYPERLINK("https://www.socialoomph.com","SocialOomph")</f>
        <v>SocialOomph</v>
      </c>
      <c r="L103" s="16">
        <v>13031.0</v>
      </c>
      <c r="M103" s="16">
        <v>11650.0</v>
      </c>
      <c r="N103" s="16">
        <v>219.0</v>
      </c>
      <c r="O103" s="17"/>
      <c r="P103" s="18">
        <v>42470.67052083333</v>
      </c>
      <c r="Q103" s="1" t="s">
        <v>251</v>
      </c>
      <c r="R103" s="1" t="s">
        <v>252</v>
      </c>
      <c r="S103" s="13" t="s">
        <v>253</v>
      </c>
      <c r="T103" s="14"/>
      <c r="U103" s="19" t="str">
        <f>HYPERLINK("https://pbs.twimg.com/profile_images/1123407512743612416/g721ra2J.png","View")</f>
        <v>View</v>
      </c>
      <c r="V103" s="14"/>
      <c r="W103" s="14"/>
      <c r="X103" s="14"/>
      <c r="Y103" s="14"/>
      <c r="Z103" s="14"/>
    </row>
    <row r="104">
      <c r="A104" s="11">
        <v>43848.586759259255</v>
      </c>
      <c r="B104" s="12" t="str">
        <f>HYPERLINK("https://twitter.com/MelittaCampbell","@MelittaCampbell")</f>
        <v>@MelittaCampbell</v>
      </c>
      <c r="C104" s="1" t="s">
        <v>579</v>
      </c>
      <c r="D104" s="1" t="s">
        <v>580</v>
      </c>
      <c r="E104" s="12" t="str">
        <f>HYPERLINK("https://twitter.com/MelittaCampbell/status/1218610238179479553","1218610238179479553")</f>
        <v>1218610238179479553</v>
      </c>
      <c r="F104" s="14"/>
      <c r="G104" s="14"/>
      <c r="H104" s="14"/>
      <c r="I104" s="15">
        <v>0.0</v>
      </c>
      <c r="J104" s="15">
        <v>1.0</v>
      </c>
      <c r="K104" s="12" t="str">
        <f t="shared" si="13"/>
        <v>SocialOomph</v>
      </c>
      <c r="L104" s="16">
        <v>5452.0</v>
      </c>
      <c r="M104" s="16">
        <v>3613.0</v>
      </c>
      <c r="N104" s="16">
        <v>235.0</v>
      </c>
      <c r="O104" s="17"/>
      <c r="P104" s="18">
        <v>41641.18025462963</v>
      </c>
      <c r="Q104" s="1" t="s">
        <v>581</v>
      </c>
      <c r="R104" s="1" t="s">
        <v>582</v>
      </c>
      <c r="S104" s="13" t="s">
        <v>583</v>
      </c>
      <c r="T104" s="14"/>
      <c r="U104" s="19" t="str">
        <f>HYPERLINK("https://pbs.twimg.com/profile_images/794141658128547841/OWlSqij4.jpg","View")</f>
        <v>View</v>
      </c>
      <c r="V104" s="14"/>
      <c r="W104" s="14"/>
      <c r="X104" s="14"/>
      <c r="Y104" s="14"/>
      <c r="Z104" s="14"/>
    </row>
    <row r="105">
      <c r="A105" s="11">
        <v>43848.58409722222</v>
      </c>
      <c r="B105" s="12" t="str">
        <f>HYPERLINK("https://twitter.com/TBtalks","@TBtalks")</f>
        <v>@TBtalks</v>
      </c>
      <c r="C105" s="1" t="s">
        <v>355</v>
      </c>
      <c r="D105" s="1" t="s">
        <v>584</v>
      </c>
      <c r="E105" s="12" t="str">
        <f>HYPERLINK("https://twitter.com/TBtalks/status/1218609276350074881","1218609276350074881")</f>
        <v>1218609276350074881</v>
      </c>
      <c r="F105" s="13" t="s">
        <v>585</v>
      </c>
      <c r="G105" s="13" t="s">
        <v>586</v>
      </c>
      <c r="H105" s="14"/>
      <c r="I105" s="15">
        <v>0.0</v>
      </c>
      <c r="J105" s="15">
        <v>0.0</v>
      </c>
      <c r="K105" s="12" t="str">
        <f>HYPERLINK("https://www.hootsuite.com","Hootsuite Inc.")</f>
        <v>Hootsuite Inc.</v>
      </c>
      <c r="L105" s="16">
        <v>1190.0</v>
      </c>
      <c r="M105" s="16">
        <v>566.0</v>
      </c>
      <c r="N105" s="16">
        <v>25.0</v>
      </c>
      <c r="O105" s="17"/>
      <c r="P105" s="18">
        <v>41197.62918981482</v>
      </c>
      <c r="Q105" s="1" t="s">
        <v>358</v>
      </c>
      <c r="R105" s="1" t="s">
        <v>359</v>
      </c>
      <c r="S105" s="13" t="s">
        <v>360</v>
      </c>
      <c r="T105" s="14"/>
      <c r="U105" s="19" t="str">
        <f>HYPERLINK("https://pbs.twimg.com/profile_images/1181990097610256384/DQu0ny3B.jpg","View")</f>
        <v>View</v>
      </c>
      <c r="V105" s="14"/>
      <c r="W105" s="14"/>
      <c r="X105" s="14"/>
      <c r="Y105" s="14"/>
      <c r="Z105" s="14"/>
    </row>
    <row r="106">
      <c r="A106" s="11">
        <v>43848.58363425926</v>
      </c>
      <c r="B106" s="12" t="str">
        <f>HYPERLINK("https://twitter.com/HealingSoundsTx","@HealingSoundsTx")</f>
        <v>@HealingSoundsTx</v>
      </c>
      <c r="C106" s="1" t="s">
        <v>587</v>
      </c>
      <c r="D106" s="1" t="s">
        <v>588</v>
      </c>
      <c r="E106" s="12" t="str">
        <f>HYPERLINK("https://twitter.com/HealingSoundsTx/status/1218609105562107909","1218609105562107909")</f>
        <v>1218609105562107909</v>
      </c>
      <c r="F106" s="13" t="s">
        <v>589</v>
      </c>
      <c r="G106" s="14"/>
      <c r="H106" s="14"/>
      <c r="I106" s="15">
        <v>0.0</v>
      </c>
      <c r="J106" s="15">
        <v>0.0</v>
      </c>
      <c r="K106" s="12" t="str">
        <f>HYPERLINK("https://smarterqueue.com","SmarterQueue")</f>
        <v>SmarterQueue</v>
      </c>
      <c r="L106" s="16">
        <v>1071.0</v>
      </c>
      <c r="M106" s="16">
        <v>791.0</v>
      </c>
      <c r="N106" s="16">
        <v>170.0</v>
      </c>
      <c r="O106" s="17"/>
      <c r="P106" s="18">
        <v>40752.95190972222</v>
      </c>
      <c r="Q106" s="1" t="s">
        <v>590</v>
      </c>
      <c r="R106" s="1" t="s">
        <v>591</v>
      </c>
      <c r="S106" s="13" t="s">
        <v>592</v>
      </c>
      <c r="T106" s="14"/>
      <c r="U106" s="19" t="str">
        <f>HYPERLINK("https://pbs.twimg.com/profile_images/1039513853443227648/UEQFTVre.jpg","View")</f>
        <v>View</v>
      </c>
      <c r="V106" s="14"/>
      <c r="W106" s="14"/>
      <c r="X106" s="14"/>
      <c r="Y106" s="14"/>
      <c r="Z106" s="14"/>
    </row>
    <row r="107">
      <c r="A107" s="11">
        <v>43848.572847222225</v>
      </c>
      <c r="B107" s="12" t="str">
        <f>HYPERLINK("https://twitter.com/BookishKim","@BookishKim")</f>
        <v>@BookishKim</v>
      </c>
      <c r="C107" s="1" t="s">
        <v>593</v>
      </c>
      <c r="D107" s="1" t="s">
        <v>594</v>
      </c>
      <c r="E107" s="12" t="str">
        <f>HYPERLINK("https://twitter.com/BookishKim/status/1218605196126965760","1218605196126965760")</f>
        <v>1218605196126965760</v>
      </c>
      <c r="F107" s="14"/>
      <c r="G107" s="13" t="s">
        <v>595</v>
      </c>
      <c r="H107" s="14"/>
      <c r="I107" s="15">
        <v>0.0</v>
      </c>
      <c r="J107" s="15">
        <v>2.0</v>
      </c>
      <c r="K107" s="12" t="str">
        <f>HYPERLINK("http://twitter.com/download/iphone","Twitter for iPhone")</f>
        <v>Twitter for iPhone</v>
      </c>
      <c r="L107" s="16">
        <v>152.0</v>
      </c>
      <c r="M107" s="16">
        <v>423.0</v>
      </c>
      <c r="N107" s="16">
        <v>5.0</v>
      </c>
      <c r="O107" s="17"/>
      <c r="P107" s="18">
        <v>41410.501921296294</v>
      </c>
      <c r="Q107" s="14"/>
      <c r="R107" s="1" t="s">
        <v>596</v>
      </c>
      <c r="S107" s="14"/>
      <c r="T107" s="14"/>
      <c r="U107" s="19" t="str">
        <f>HYPERLINK("https://pbs.twimg.com/profile_images/1182130428825804801/FonnQCUo.jpg","View")</f>
        <v>View</v>
      </c>
      <c r="V107" s="14"/>
      <c r="W107" s="14"/>
      <c r="X107" s="14"/>
      <c r="Y107" s="14"/>
      <c r="Z107" s="14"/>
    </row>
    <row r="108">
      <c r="A108" s="11">
        <v>43848.5709375</v>
      </c>
      <c r="B108" s="12" t="str">
        <f>HYPERLINK("https://twitter.com/qwikad","@qwikad")</f>
        <v>@qwikad</v>
      </c>
      <c r="C108" s="1" t="s">
        <v>597</v>
      </c>
      <c r="D108" s="1" t="s">
        <v>598</v>
      </c>
      <c r="E108" s="12" t="str">
        <f>HYPERLINK("https://twitter.com/qwikad/status/1218604506533040129","1218604506533040129")</f>
        <v>1218604506533040129</v>
      </c>
      <c r="F108" s="13" t="s">
        <v>599</v>
      </c>
      <c r="G108" s="14"/>
      <c r="H108" s="14"/>
      <c r="I108" s="15">
        <v>0.0</v>
      </c>
      <c r="J108" s="15">
        <v>0.0</v>
      </c>
      <c r="K108" s="12" t="str">
        <f>HYPERLINK("http://twitter.com","Twitter Web Client")</f>
        <v>Twitter Web Client</v>
      </c>
      <c r="L108" s="16">
        <v>92771.0</v>
      </c>
      <c r="M108" s="16">
        <v>88718.0</v>
      </c>
      <c r="N108" s="16">
        <v>2798.0</v>
      </c>
      <c r="O108" s="17"/>
      <c r="P108" s="18">
        <v>40937.940358796295</v>
      </c>
      <c r="Q108" s="1" t="s">
        <v>56</v>
      </c>
      <c r="R108" s="1" t="s">
        <v>600</v>
      </c>
      <c r="S108" s="13" t="s">
        <v>601</v>
      </c>
      <c r="T108" s="14"/>
      <c r="U108" s="19" t="str">
        <f>HYPERLINK("https://pbs.twimg.com/profile_images/1191723528246235137/larfZktn.jpg","View")</f>
        <v>View</v>
      </c>
      <c r="V108" s="14"/>
      <c r="W108" s="14"/>
      <c r="X108" s="14"/>
      <c r="Y108" s="14"/>
      <c r="Z108" s="14"/>
    </row>
    <row r="109">
      <c r="A109" s="11">
        <v>43848.569490740745</v>
      </c>
      <c r="B109" s="12" t="str">
        <f>HYPERLINK("https://twitter.com/AustinOzone","@AustinOzone")</f>
        <v>@AustinOzone</v>
      </c>
      <c r="C109" s="1" t="s">
        <v>602</v>
      </c>
      <c r="D109" s="1" t="s">
        <v>603</v>
      </c>
      <c r="E109" s="12" t="str">
        <f>HYPERLINK("https://twitter.com/AustinOzone/status/1218603982807031809","1218603982807031809")</f>
        <v>1218603982807031809</v>
      </c>
      <c r="F109" s="13" t="s">
        <v>604</v>
      </c>
      <c r="G109" s="13" t="s">
        <v>605</v>
      </c>
      <c r="H109" s="14"/>
      <c r="I109" s="15">
        <v>0.0</v>
      </c>
      <c r="J109" s="15">
        <v>0.0</v>
      </c>
      <c r="K109" s="12" t="str">
        <f>HYPERLINK("https://www.hootsuite.com","Hootsuite Inc.")</f>
        <v>Hootsuite Inc.</v>
      </c>
      <c r="L109" s="16">
        <v>1217.0</v>
      </c>
      <c r="M109" s="16">
        <v>2079.0</v>
      </c>
      <c r="N109" s="16">
        <v>79.0</v>
      </c>
      <c r="O109" s="17"/>
      <c r="P109" s="18">
        <v>40490.93015046296</v>
      </c>
      <c r="Q109" s="1" t="s">
        <v>606</v>
      </c>
      <c r="R109" s="1" t="s">
        <v>607</v>
      </c>
      <c r="S109" s="13" t="s">
        <v>608</v>
      </c>
      <c r="T109" s="14"/>
      <c r="U109" s="19" t="str">
        <f>HYPERLINK("https://pbs.twimg.com/profile_images/458754042559078401/rvhq70bC.jpeg","View")</f>
        <v>View</v>
      </c>
      <c r="V109" s="14"/>
      <c r="W109" s="14"/>
      <c r="X109" s="14"/>
      <c r="Y109" s="14"/>
      <c r="Z109" s="14"/>
    </row>
    <row r="110">
      <c r="A110" s="11">
        <v>43848.567129629635</v>
      </c>
      <c r="B110" s="12" t="str">
        <f>HYPERLINK("https://twitter.com/SilverSpringCtr","@SilverSpringCtr")</f>
        <v>@SilverSpringCtr</v>
      </c>
      <c r="C110" s="1" t="s">
        <v>609</v>
      </c>
      <c r="D110" s="1" t="s">
        <v>610</v>
      </c>
      <c r="E110" s="12" t="str">
        <f>HYPERLINK("https://twitter.com/SilverSpringCtr/status/1218603126430806016","1218603126430806016")</f>
        <v>1218603126430806016</v>
      </c>
      <c r="F110" s="13" t="s">
        <v>611</v>
      </c>
      <c r="G110" s="13" t="s">
        <v>612</v>
      </c>
      <c r="H110" s="14"/>
      <c r="I110" s="15">
        <v>0.0</v>
      </c>
      <c r="J110" s="15">
        <v>0.0</v>
      </c>
      <c r="K110" s="12" t="str">
        <f>HYPERLINK("http://twitter.com/download/iphone","Twitter for iPhone")</f>
        <v>Twitter for iPhone</v>
      </c>
      <c r="L110" s="16">
        <v>3170.0</v>
      </c>
      <c r="M110" s="16">
        <v>3666.0</v>
      </c>
      <c r="N110" s="16">
        <v>62.0</v>
      </c>
      <c r="O110" s="17"/>
      <c r="P110" s="18">
        <v>40481.099282407406</v>
      </c>
      <c r="Q110" s="1" t="s">
        <v>613</v>
      </c>
      <c r="R110" s="1" t="s">
        <v>614</v>
      </c>
      <c r="S110" s="13" t="s">
        <v>615</v>
      </c>
      <c r="T110" s="14"/>
      <c r="U110" s="19" t="str">
        <f>HYPERLINK("https://pbs.twimg.com/profile_images/1164298269553516545/L5gjLcVS.jpg","View")</f>
        <v>View</v>
      </c>
      <c r="V110" s="14"/>
      <c r="W110" s="14"/>
      <c r="X110" s="14"/>
      <c r="Y110" s="14"/>
      <c r="Z110" s="14"/>
    </row>
    <row r="111">
      <c r="A111" s="11">
        <v>43848.562581018516</v>
      </c>
      <c r="B111" s="12" t="str">
        <f>HYPERLINK("https://twitter.com/QUBWellbeing","@QUBWellbeing")</f>
        <v>@QUBWellbeing</v>
      </c>
      <c r="C111" s="1" t="s">
        <v>616</v>
      </c>
      <c r="D111" s="1" t="s">
        <v>617</v>
      </c>
      <c r="E111" s="12" t="str">
        <f>HYPERLINK("https://twitter.com/QUBWellbeing/status/1218601476135825409","1218601476135825409")</f>
        <v>1218601476135825409</v>
      </c>
      <c r="F111" s="13" t="s">
        <v>618</v>
      </c>
      <c r="G111" s="13" t="s">
        <v>619</v>
      </c>
      <c r="H111" s="14"/>
      <c r="I111" s="15">
        <v>3.0</v>
      </c>
      <c r="J111" s="15">
        <v>3.0</v>
      </c>
      <c r="K111" s="12" t="str">
        <f>HYPERLINK("https://buffer.com","Buffer")</f>
        <v>Buffer</v>
      </c>
      <c r="L111" s="16">
        <v>126.0</v>
      </c>
      <c r="M111" s="16">
        <v>400.0</v>
      </c>
      <c r="N111" s="16">
        <v>2.0</v>
      </c>
      <c r="O111" s="17"/>
      <c r="P111" s="18">
        <v>43711.318506944444</v>
      </c>
      <c r="Q111" s="14"/>
      <c r="R111" s="1" t="s">
        <v>620</v>
      </c>
      <c r="S111" s="14"/>
      <c r="T111" s="14"/>
      <c r="U111" s="19" t="str">
        <f>HYPERLINK("https://pbs.twimg.com/profile_images/1207348007777255424/RN0ffXSv.jpg","View")</f>
        <v>View</v>
      </c>
      <c r="V111" s="14"/>
      <c r="W111" s="14"/>
      <c r="X111" s="14"/>
      <c r="Y111" s="14"/>
      <c r="Z111" s="14"/>
    </row>
    <row r="112">
      <c r="A112" s="11">
        <v>43848.55989583333</v>
      </c>
      <c r="B112" s="12" t="str">
        <f>HYPERLINK("https://twitter.com/BrazilNewsinUK","@BrazilNewsinUK")</f>
        <v>@BrazilNewsinUK</v>
      </c>
      <c r="C112" s="1" t="s">
        <v>621</v>
      </c>
      <c r="D112" s="1" t="s">
        <v>622</v>
      </c>
      <c r="E112" s="12" t="str">
        <f>HYPERLINK("https://twitter.com/BrazilNewsinUK/status/1218600504839868417","1218600504839868417")</f>
        <v>1218600504839868417</v>
      </c>
      <c r="F112" s="14"/>
      <c r="G112" s="13" t="s">
        <v>623</v>
      </c>
      <c r="H112" s="14"/>
      <c r="I112" s="15">
        <v>0.0</v>
      </c>
      <c r="J112" s="15">
        <v>0.0</v>
      </c>
      <c r="K112" s="12" t="str">
        <f>HYPERLINK("https://www.socialoomph.com","SocialOomph")</f>
        <v>SocialOomph</v>
      </c>
      <c r="L112" s="16">
        <v>225.0</v>
      </c>
      <c r="M112" s="16">
        <v>78.0</v>
      </c>
      <c r="N112" s="16">
        <v>12.0</v>
      </c>
      <c r="O112" s="17"/>
      <c r="P112" s="18">
        <v>40355.28283564815</v>
      </c>
      <c r="Q112" s="1" t="s">
        <v>624</v>
      </c>
      <c r="R112" s="1" t="s">
        <v>625</v>
      </c>
      <c r="S112" s="14"/>
      <c r="T112" s="14"/>
      <c r="U112" s="19" t="str">
        <f>HYPERLINK("https://pbs.twimg.com/profile_images/966410122384805893/UcPgaz7i.jpg","View")</f>
        <v>View</v>
      </c>
      <c r="V112" s="14"/>
      <c r="W112" s="14"/>
      <c r="X112" s="14"/>
      <c r="Y112" s="14"/>
      <c r="Z112" s="14"/>
    </row>
    <row r="113">
      <c r="A113" s="11">
        <v>43848.558333333334</v>
      </c>
      <c r="B113" s="12" t="str">
        <f>HYPERLINK("https://twitter.com/TheMindsJournal","@TheMindsJournal")</f>
        <v>@TheMindsJournal</v>
      </c>
      <c r="C113" s="1" t="s">
        <v>626</v>
      </c>
      <c r="D113" s="1" t="s">
        <v>627</v>
      </c>
      <c r="E113" s="12" t="str">
        <f>HYPERLINK("https://twitter.com/TheMindsJournal/status/1218599937346363392","1218599937346363392")</f>
        <v>1218599937346363392</v>
      </c>
      <c r="F113" s="13" t="s">
        <v>628</v>
      </c>
      <c r="G113" s="14"/>
      <c r="H113" s="14"/>
      <c r="I113" s="15">
        <v>0.0</v>
      </c>
      <c r="J113" s="15">
        <v>1.0</v>
      </c>
      <c r="K113" s="12" t="str">
        <f>HYPERLINK("https://about.twitter.com/products/tweetdeck","TweetDeck")</f>
        <v>TweetDeck</v>
      </c>
      <c r="L113" s="16">
        <v>5530.0</v>
      </c>
      <c r="M113" s="16">
        <v>275.0</v>
      </c>
      <c r="N113" s="16">
        <v>110.0</v>
      </c>
      <c r="O113" s="17"/>
      <c r="P113" s="18">
        <v>42124.3865625</v>
      </c>
      <c r="Q113" s="1" t="s">
        <v>56</v>
      </c>
      <c r="R113" s="1" t="s">
        <v>629</v>
      </c>
      <c r="S113" s="13" t="s">
        <v>630</v>
      </c>
      <c r="T113" s="14"/>
      <c r="U113" s="19" t="str">
        <f>HYPERLINK("https://pbs.twimg.com/profile_images/1074617244489936896/Omt6KDfg.jpg","View")</f>
        <v>View</v>
      </c>
      <c r="V113" s="14"/>
      <c r="W113" s="14"/>
      <c r="X113" s="14"/>
      <c r="Y113" s="14"/>
      <c r="Z113" s="14"/>
    </row>
    <row r="114">
      <c r="A114" s="11">
        <v>43848.55556712963</v>
      </c>
      <c r="B114" s="12" t="str">
        <f>HYPERLINK("https://twitter.com/escoffierschool","@escoffierschool")</f>
        <v>@escoffierschool</v>
      </c>
      <c r="C114" s="1" t="s">
        <v>631</v>
      </c>
      <c r="D114" s="1" t="s">
        <v>632</v>
      </c>
      <c r="E114" s="12" t="str">
        <f>HYPERLINK("https://twitter.com/escoffierschool/status/1218598936782483468","1218598936782483468")</f>
        <v>1218598936782483468</v>
      </c>
      <c r="F114" s="13" t="s">
        <v>633</v>
      </c>
      <c r="G114" s="14"/>
      <c r="H114" s="14"/>
      <c r="I114" s="15">
        <v>0.0</v>
      </c>
      <c r="J114" s="15">
        <v>2.0</v>
      </c>
      <c r="K114" s="12" t="str">
        <f>HYPERLINK("https://sproutsocial.com","Sprout Social")</f>
        <v>Sprout Social</v>
      </c>
      <c r="L114" s="16">
        <v>8802.0</v>
      </c>
      <c r="M114" s="16">
        <v>2132.0</v>
      </c>
      <c r="N114" s="16">
        <v>117.0</v>
      </c>
      <c r="O114" s="17"/>
      <c r="P114" s="18">
        <v>40399.00256944445</v>
      </c>
      <c r="Q114" s="1" t="s">
        <v>634</v>
      </c>
      <c r="R114" s="1" t="s">
        <v>635</v>
      </c>
      <c r="S114" s="13" t="s">
        <v>636</v>
      </c>
      <c r="T114" s="14"/>
      <c r="U114" s="19" t="str">
        <f>HYPERLINK("https://pbs.twimg.com/profile_images/1018934339416018947/C_CTZumM.jpg","View")</f>
        <v>View</v>
      </c>
      <c r="V114" s="14"/>
      <c r="W114" s="14"/>
      <c r="X114" s="14"/>
      <c r="Y114" s="14"/>
      <c r="Z114" s="14"/>
    </row>
    <row r="115">
      <c r="A115" s="11">
        <v>43848.551527777774</v>
      </c>
      <c r="B115" s="12" t="str">
        <f>HYPERLINK("https://twitter.com/P_Constructs","@P_Constructs")</f>
        <v>@P_Constructs</v>
      </c>
      <c r="C115" s="1" t="s">
        <v>637</v>
      </c>
      <c r="D115" s="1" t="s">
        <v>638</v>
      </c>
      <c r="E115" s="12" t="str">
        <f>HYPERLINK("https://twitter.com/P_Constructs/status/1218597471615623168","1218597471615623168")</f>
        <v>1218597471615623168</v>
      </c>
      <c r="F115" s="13" t="s">
        <v>639</v>
      </c>
      <c r="G115" s="14"/>
      <c r="H115" s="14"/>
      <c r="I115" s="15">
        <v>0.0</v>
      </c>
      <c r="J115" s="15">
        <v>0.0</v>
      </c>
      <c r="K115" s="12" t="str">
        <f>HYPERLINK("http://instagram.com","Instagram")</f>
        <v>Instagram</v>
      </c>
      <c r="L115" s="16">
        <v>1691.0</v>
      </c>
      <c r="M115" s="16">
        <v>1219.0</v>
      </c>
      <c r="N115" s="16">
        <v>39.0</v>
      </c>
      <c r="O115" s="17"/>
      <c r="P115" s="18">
        <v>41366.69703703704</v>
      </c>
      <c r="Q115" s="1" t="s">
        <v>640</v>
      </c>
      <c r="R115" s="1" t="s">
        <v>641</v>
      </c>
      <c r="S115" s="13" t="s">
        <v>642</v>
      </c>
      <c r="T115" s="14"/>
      <c r="U115" s="19" t="str">
        <f>HYPERLINK("https://pbs.twimg.com/profile_images/504650358254080001/2LTWeaKB.jpeg","View")</f>
        <v>View</v>
      </c>
      <c r="V115" s="14"/>
      <c r="W115" s="14"/>
      <c r="X115" s="14"/>
      <c r="Y115" s="14"/>
      <c r="Z115" s="14"/>
    </row>
    <row r="116">
      <c r="A116" s="11">
        <v>43848.54724537037</v>
      </c>
      <c r="B116" s="12" t="str">
        <f>HYPERLINK("https://twitter.com/southernmomlove","@southernmomlove")</f>
        <v>@southernmomlove</v>
      </c>
      <c r="C116" s="1" t="s">
        <v>643</v>
      </c>
      <c r="D116" s="1" t="s">
        <v>644</v>
      </c>
      <c r="E116" s="12" t="str">
        <f>HYPERLINK("https://twitter.com/southernmomlove/status/1218595921384148997","1218595921384148997")</f>
        <v>1218595921384148997</v>
      </c>
      <c r="F116" s="13" t="s">
        <v>645</v>
      </c>
      <c r="G116" s="13" t="s">
        <v>646</v>
      </c>
      <c r="H116" s="14"/>
      <c r="I116" s="15">
        <v>2.0</v>
      </c>
      <c r="J116" s="15">
        <v>0.0</v>
      </c>
      <c r="K116" s="12" t="str">
        <f>HYPERLINK("https://buffer.com","Buffer")</f>
        <v>Buffer</v>
      </c>
      <c r="L116" s="16">
        <v>14525.0</v>
      </c>
      <c r="M116" s="16">
        <v>1279.0</v>
      </c>
      <c r="N116" s="16">
        <v>212.0</v>
      </c>
      <c r="O116" s="17"/>
      <c r="P116" s="18">
        <v>41694.59119212963</v>
      </c>
      <c r="Q116" s="1" t="s">
        <v>647</v>
      </c>
      <c r="R116" s="1" t="s">
        <v>648</v>
      </c>
      <c r="S116" s="13" t="s">
        <v>649</v>
      </c>
      <c r="T116" s="14"/>
      <c r="U116" s="19" t="str">
        <f>HYPERLINK("https://pbs.twimg.com/profile_images/930498845733261312/3cq36Ubm.jpg","View")</f>
        <v>View</v>
      </c>
      <c r="V116" s="14"/>
      <c r="W116" s="14"/>
      <c r="X116" s="14"/>
      <c r="Y116" s="14"/>
      <c r="Z116" s="14"/>
    </row>
    <row r="117">
      <c r="A117" s="11">
        <v>43848.54513888889</v>
      </c>
      <c r="B117" s="12" t="str">
        <f>HYPERLINK("https://twitter.com/SkeinandStory","@SkeinandStory")</f>
        <v>@SkeinandStory</v>
      </c>
      <c r="C117" s="1" t="s">
        <v>650</v>
      </c>
      <c r="D117" s="1" t="s">
        <v>651</v>
      </c>
      <c r="E117" s="12" t="str">
        <f>HYPERLINK("https://twitter.com/SkeinandStory/status/1218595156032512001","1218595156032512001")</f>
        <v>1218595156032512001</v>
      </c>
      <c r="F117" s="13" t="s">
        <v>652</v>
      </c>
      <c r="G117" s="13" t="s">
        <v>653</v>
      </c>
      <c r="H117" s="14"/>
      <c r="I117" s="15">
        <v>0.0</v>
      </c>
      <c r="J117" s="15">
        <v>0.0</v>
      </c>
      <c r="K117" s="12" t="str">
        <f>HYPERLINK("https://about.twitter.com/products/tweetdeck","TweetDeck")</f>
        <v>TweetDeck</v>
      </c>
      <c r="L117" s="16">
        <v>683.0</v>
      </c>
      <c r="M117" s="16">
        <v>2889.0</v>
      </c>
      <c r="N117" s="16">
        <v>3.0</v>
      </c>
      <c r="O117" s="17"/>
      <c r="P117" s="18">
        <v>42960.59641203703</v>
      </c>
      <c r="Q117" s="1" t="s">
        <v>654</v>
      </c>
      <c r="R117" s="1" t="s">
        <v>655</v>
      </c>
      <c r="S117" s="13" t="s">
        <v>656</v>
      </c>
      <c r="T117" s="14"/>
      <c r="U117" s="19" t="str">
        <f>HYPERLINK("https://pbs.twimg.com/profile_images/896822059203997696/C3tGXAFp.jpg","View")</f>
        <v>View</v>
      </c>
      <c r="V117" s="14"/>
      <c r="W117" s="14"/>
      <c r="X117" s="14"/>
      <c r="Y117" s="14"/>
      <c r="Z117" s="14"/>
    </row>
    <row r="118">
      <c r="A118" s="11">
        <v>43848.544641203705</v>
      </c>
      <c r="B118" s="12" t="str">
        <f>HYPERLINK("https://twitter.com/BrainCollectiv1","@BrainCollectiv1")</f>
        <v>@BrainCollectiv1</v>
      </c>
      <c r="C118" s="1" t="s">
        <v>300</v>
      </c>
      <c r="D118" s="1" t="s">
        <v>657</v>
      </c>
      <c r="E118" s="12" t="str">
        <f>HYPERLINK("https://twitter.com/BrainCollectiv1/status/1218594974947774464","1218594974947774464")</f>
        <v>1218594974947774464</v>
      </c>
      <c r="F118" s="13" t="s">
        <v>658</v>
      </c>
      <c r="G118" s="14"/>
      <c r="H118" s="14"/>
      <c r="I118" s="15">
        <v>0.0</v>
      </c>
      <c r="J118" s="15">
        <v>0.0</v>
      </c>
      <c r="K118" s="12" t="str">
        <f>HYPERLINK("https://www.socialreport.com","SocialReport.com")</f>
        <v>SocialReport.com</v>
      </c>
      <c r="L118" s="16">
        <v>210.0</v>
      </c>
      <c r="M118" s="16">
        <v>340.0</v>
      </c>
      <c r="N118" s="16">
        <v>1.0</v>
      </c>
      <c r="O118" s="17"/>
      <c r="P118" s="18">
        <v>43033.30827546296</v>
      </c>
      <c r="Q118" s="1" t="s">
        <v>303</v>
      </c>
      <c r="R118" s="1" t="s">
        <v>304</v>
      </c>
      <c r="S118" s="13" t="s">
        <v>305</v>
      </c>
      <c r="T118" s="14"/>
      <c r="U118" s="19" t="str">
        <f>HYPERLINK("https://pbs.twimg.com/profile_images/923152499946737664/liFNQKWG.jpg","View")</f>
        <v>View</v>
      </c>
      <c r="V118" s="14"/>
      <c r="W118" s="14"/>
      <c r="X118" s="14"/>
      <c r="Y118" s="14"/>
      <c r="Z118" s="14"/>
    </row>
    <row r="119">
      <c r="A119" s="11">
        <v>43848.54255787037</v>
      </c>
      <c r="B119" s="12" t="str">
        <f>HYPERLINK("https://twitter.com/FSonnenberg","@FSonnenberg")</f>
        <v>@FSonnenberg</v>
      </c>
      <c r="C119" s="1" t="s">
        <v>659</v>
      </c>
      <c r="D119" s="1" t="s">
        <v>660</v>
      </c>
      <c r="E119" s="12" t="str">
        <f>HYPERLINK("https://twitter.com/FSonnenberg/status/1218594220962873344","1218594220962873344")</f>
        <v>1218594220962873344</v>
      </c>
      <c r="F119" s="13" t="s">
        <v>661</v>
      </c>
      <c r="G119" s="14"/>
      <c r="H119" s="14"/>
      <c r="I119" s="15">
        <v>0.0</v>
      </c>
      <c r="J119" s="15">
        <v>1.0</v>
      </c>
      <c r="K119" s="12" t="str">
        <f>HYPERLINK("https://www.socialjukebox.com","The Social Jukebox")</f>
        <v>The Social Jukebox</v>
      </c>
      <c r="L119" s="16">
        <v>93854.0</v>
      </c>
      <c r="M119" s="16">
        <v>61540.0</v>
      </c>
      <c r="N119" s="16">
        <v>2658.0</v>
      </c>
      <c r="O119" s="17"/>
      <c r="P119" s="18">
        <v>40419.65079861111</v>
      </c>
      <c r="Q119" s="1" t="s">
        <v>662</v>
      </c>
      <c r="R119" s="1" t="s">
        <v>663</v>
      </c>
      <c r="S119" s="13" t="s">
        <v>664</v>
      </c>
      <c r="T119" s="14"/>
      <c r="U119" s="19" t="str">
        <f>HYPERLINK("https://pbs.twimg.com/profile_images/841693592733155328/Hk0DSFtA.jpg","View")</f>
        <v>View</v>
      </c>
      <c r="V119" s="14"/>
      <c r="W119" s="14"/>
      <c r="X119" s="14"/>
      <c r="Y119" s="14"/>
      <c r="Z119" s="14"/>
    </row>
    <row r="120">
      <c r="A120" s="11">
        <v>43848.54046296296</v>
      </c>
      <c r="B120" s="12" t="str">
        <f>HYPERLINK("https://twitter.com/Noah47305983","@Noah47305983")</f>
        <v>@Noah47305983</v>
      </c>
      <c r="C120" s="1" t="s">
        <v>665</v>
      </c>
      <c r="D120" s="1" t="s">
        <v>666</v>
      </c>
      <c r="E120" s="12" t="str">
        <f>HYPERLINK("https://twitter.com/Noah47305983/status/1218593464423763970","1218593464423763970")</f>
        <v>1218593464423763970</v>
      </c>
      <c r="F120" s="13" t="s">
        <v>667</v>
      </c>
      <c r="G120" s="14"/>
      <c r="H120" s="14"/>
      <c r="I120" s="15">
        <v>1.0</v>
      </c>
      <c r="J120" s="15">
        <v>3.0</v>
      </c>
      <c r="K120" s="12" t="str">
        <f>HYPERLINK("https://mobile.twitter.com","Twitter Web App")</f>
        <v>Twitter Web App</v>
      </c>
      <c r="L120" s="16">
        <v>10.0</v>
      </c>
      <c r="M120" s="16">
        <v>6.0</v>
      </c>
      <c r="N120" s="16">
        <v>0.0</v>
      </c>
      <c r="O120" s="17"/>
      <c r="P120" s="18">
        <v>43747.47715277778</v>
      </c>
      <c r="Q120" s="14"/>
      <c r="R120" s="1" t="s">
        <v>668</v>
      </c>
      <c r="S120" s="14"/>
      <c r="T120" s="14"/>
      <c r="U120" s="19" t="str">
        <f>HYPERLINK("https://pbs.twimg.com/profile_images/1215833278999121920/t5C8x0Dl.jpg","View")</f>
        <v>View</v>
      </c>
      <c r="V120" s="14"/>
      <c r="W120" s="14"/>
      <c r="X120" s="14"/>
      <c r="Y120" s="14"/>
      <c r="Z120" s="14"/>
    </row>
    <row r="121">
      <c r="A121" s="11">
        <v>43848.53766203704</v>
      </c>
      <c r="B121" s="12" t="str">
        <f>HYPERLINK("https://twitter.com/MrBriankwright","@MrBriankwright")</f>
        <v>@MrBriankwright</v>
      </c>
      <c r="C121" s="1" t="s">
        <v>669</v>
      </c>
      <c r="D121" s="1" t="s">
        <v>670</v>
      </c>
      <c r="E121" s="12" t="str">
        <f>HYPERLINK("https://twitter.com/MrBriankwright/status/1218592449209171968","1218592449209171968")</f>
        <v>1218592449209171968</v>
      </c>
      <c r="F121" s="13" t="s">
        <v>671</v>
      </c>
      <c r="G121" s="14"/>
      <c r="H121" s="14"/>
      <c r="I121" s="15">
        <v>0.0</v>
      </c>
      <c r="J121" s="15">
        <v>1.0</v>
      </c>
      <c r="K121" s="12" t="str">
        <f>HYPERLINK("https://www.socialjukebox.com","The Social Jukebox")</f>
        <v>The Social Jukebox</v>
      </c>
      <c r="L121" s="16">
        <v>9726.0</v>
      </c>
      <c r="M121" s="16">
        <v>7169.0</v>
      </c>
      <c r="N121" s="16">
        <v>1046.0</v>
      </c>
      <c r="O121" s="17"/>
      <c r="P121" s="18">
        <v>40372.51020833333</v>
      </c>
      <c r="Q121" s="14"/>
      <c r="R121" s="1" t="s">
        <v>672</v>
      </c>
      <c r="S121" s="14"/>
      <c r="T121" s="14"/>
      <c r="U121" s="19" t="str">
        <f>HYPERLINK("https://pbs.twimg.com/profile_images/1757130736/2487final_for_5x7_1__2_.jpg","View")</f>
        <v>View</v>
      </c>
      <c r="V121" s="14"/>
      <c r="W121" s="14"/>
      <c r="X121" s="14"/>
      <c r="Y121" s="14"/>
      <c r="Z121" s="14"/>
    </row>
    <row r="122">
      <c r="A122" s="11">
        <v>43848.53422453704</v>
      </c>
      <c r="B122" s="12" t="str">
        <f>HYPERLINK("https://twitter.com/Wild_card13","@Wild_card13")</f>
        <v>@Wild_card13</v>
      </c>
      <c r="C122" s="1" t="s">
        <v>673</v>
      </c>
      <c r="D122" s="1" t="s">
        <v>674</v>
      </c>
      <c r="E122" s="12" t="str">
        <f>HYPERLINK("https://twitter.com/Wild_card13/status/1218591202464935936","1218591202464935936")</f>
        <v>1218591202464935936</v>
      </c>
      <c r="F122" s="13" t="s">
        <v>675</v>
      </c>
      <c r="G122" s="13" t="s">
        <v>676</v>
      </c>
      <c r="H122" s="14"/>
      <c r="I122" s="15">
        <v>0.0</v>
      </c>
      <c r="J122" s="15">
        <v>1.0</v>
      </c>
      <c r="K122" s="12" t="str">
        <f>HYPERLINK("http://twitter.com/download/android","Twitter for Android")</f>
        <v>Twitter for Android</v>
      </c>
      <c r="L122" s="16">
        <v>112.0</v>
      </c>
      <c r="M122" s="16">
        <v>573.0</v>
      </c>
      <c r="N122" s="16">
        <v>0.0</v>
      </c>
      <c r="O122" s="17"/>
      <c r="P122" s="18">
        <v>39980.25871527778</v>
      </c>
      <c r="Q122" s="14"/>
      <c r="R122" s="1" t="s">
        <v>677</v>
      </c>
      <c r="S122" s="14"/>
      <c r="T122" s="14"/>
      <c r="U122" s="19" t="str">
        <f>HYPERLINK("https://pbs.twimg.com/profile_images/832240945382952960/K6F--63Z.jpg","View")</f>
        <v>View</v>
      </c>
      <c r="V122" s="14"/>
      <c r="W122" s="14"/>
      <c r="X122" s="14"/>
      <c r="Y122" s="14"/>
      <c r="Z122" s="14"/>
    </row>
    <row r="123">
      <c r="A123" s="11">
        <v>43848.532164351855</v>
      </c>
      <c r="B123" s="12" t="str">
        <f>HYPERLINK("https://twitter.com/naturalhealthbl","@naturalhealthbl")</f>
        <v>@naturalhealthbl</v>
      </c>
      <c r="C123" s="1" t="s">
        <v>259</v>
      </c>
      <c r="D123" s="1" t="s">
        <v>678</v>
      </c>
      <c r="E123" s="12" t="str">
        <f>HYPERLINK("https://twitter.com/naturalhealthbl/status/1218590454746353669","1218590454746353669")</f>
        <v>1218590454746353669</v>
      </c>
      <c r="F123" s="13" t="s">
        <v>679</v>
      </c>
      <c r="G123" s="13" t="s">
        <v>680</v>
      </c>
      <c r="H123" s="14"/>
      <c r="I123" s="15">
        <v>1.0</v>
      </c>
      <c r="J123" s="15">
        <v>0.0</v>
      </c>
      <c r="K123" s="12" t="str">
        <f>HYPERLINK("https://mobile.twitter.com","Twitter Web App")</f>
        <v>Twitter Web App</v>
      </c>
      <c r="L123" s="16">
        <v>1793.0</v>
      </c>
      <c r="M123" s="16">
        <v>1569.0</v>
      </c>
      <c r="N123" s="16">
        <v>180.0</v>
      </c>
      <c r="O123" s="17"/>
      <c r="P123" s="18">
        <v>41475.38408564815</v>
      </c>
      <c r="Q123" s="1" t="s">
        <v>263</v>
      </c>
      <c r="R123" s="1" t="s">
        <v>264</v>
      </c>
      <c r="S123" s="13" t="s">
        <v>265</v>
      </c>
      <c r="T123" s="14"/>
      <c r="U123" s="19" t="str">
        <f>HYPERLINK("https://pbs.twimg.com/profile_images/1217967343135023105/rnonJTby.jpg","View")</f>
        <v>View</v>
      </c>
      <c r="V123" s="14"/>
      <c r="W123" s="14"/>
      <c r="X123" s="14"/>
      <c r="Y123" s="14"/>
      <c r="Z123" s="14"/>
    </row>
    <row r="124">
      <c r="A124" s="11">
        <v>43848.53148148148</v>
      </c>
      <c r="B124" s="12" t="str">
        <f>HYPERLINK("https://twitter.com/imassoc","@imassoc")</f>
        <v>@imassoc</v>
      </c>
      <c r="C124" s="1" t="s">
        <v>681</v>
      </c>
      <c r="D124" s="1" t="s">
        <v>682</v>
      </c>
      <c r="E124" s="12" t="str">
        <f>HYPERLINK("https://twitter.com/imassoc/status/1218590208741998592","1218590208741998592")</f>
        <v>1218590208741998592</v>
      </c>
      <c r="F124" s="13" t="s">
        <v>683</v>
      </c>
      <c r="G124" s="13" t="s">
        <v>684</v>
      </c>
      <c r="H124" s="14"/>
      <c r="I124" s="15">
        <v>0.0</v>
      </c>
      <c r="J124" s="15">
        <v>1.0</v>
      </c>
      <c r="K124" s="12" t="str">
        <f>HYPERLINK("https://smarterqueue.com","SmarterQueue")</f>
        <v>SmarterQueue</v>
      </c>
      <c r="L124" s="16">
        <v>1784.0</v>
      </c>
      <c r="M124" s="16">
        <v>1764.0</v>
      </c>
      <c r="N124" s="16">
        <v>26.0</v>
      </c>
      <c r="O124" s="17"/>
      <c r="P124" s="18">
        <v>39933.66706018519</v>
      </c>
      <c r="Q124" s="1" t="s">
        <v>685</v>
      </c>
      <c r="R124" s="1" t="s">
        <v>686</v>
      </c>
      <c r="S124" s="13" t="s">
        <v>687</v>
      </c>
      <c r="T124" s="14"/>
      <c r="U124" s="19" t="str">
        <f>HYPERLINK("https://pbs.twimg.com/profile_images/1103439197493354496/d6a5fEJG.png","View")</f>
        <v>View</v>
      </c>
      <c r="V124" s="14"/>
      <c r="W124" s="14"/>
      <c r="X124" s="14"/>
      <c r="Y124" s="14"/>
      <c r="Z124" s="14"/>
    </row>
    <row r="125">
      <c r="A125" s="11">
        <v>43848.53086805556</v>
      </c>
      <c r="B125" s="12" t="str">
        <f>HYPERLINK("https://twitter.com/WorldsShop1","@WorldsShop1")</f>
        <v>@WorldsShop1</v>
      </c>
      <c r="C125" s="1" t="s">
        <v>688</v>
      </c>
      <c r="D125" s="1" t="s">
        <v>689</v>
      </c>
      <c r="E125" s="12" t="str">
        <f>HYPERLINK("https://twitter.com/WorldsShop1/status/1218589984707362817","1218589984707362817")</f>
        <v>1218589984707362817</v>
      </c>
      <c r="F125" s="13" t="s">
        <v>690</v>
      </c>
      <c r="G125" s="14"/>
      <c r="H125" s="14"/>
      <c r="I125" s="15">
        <v>0.0</v>
      </c>
      <c r="J125" s="15">
        <v>0.0</v>
      </c>
      <c r="K125" s="12" t="str">
        <f>HYPERLINK("https://mobile.twitter.com","Twitter Web App")</f>
        <v>Twitter Web App</v>
      </c>
      <c r="L125" s="16">
        <v>9889.0</v>
      </c>
      <c r="M125" s="16">
        <v>6900.0</v>
      </c>
      <c r="N125" s="16">
        <v>2920.0</v>
      </c>
      <c r="O125" s="17"/>
      <c r="P125" s="18">
        <v>41426.12541666666</v>
      </c>
      <c r="Q125" s="1" t="s">
        <v>691</v>
      </c>
      <c r="R125" s="1" t="s">
        <v>692</v>
      </c>
      <c r="S125" s="13" t="s">
        <v>693</v>
      </c>
      <c r="T125" s="14"/>
      <c r="U125" s="19" t="str">
        <f>HYPERLINK("https://pbs.twimg.com/profile_images/3739989714/5b7711121fbd83af2c2818891ecb5f19.png","View")</f>
        <v>View</v>
      </c>
      <c r="V125" s="14"/>
      <c r="W125" s="14"/>
      <c r="X125" s="14"/>
      <c r="Y125" s="14"/>
      <c r="Z125" s="14"/>
    </row>
    <row r="126">
      <c r="A126" s="11">
        <v>43848.53037037037</v>
      </c>
      <c r="B126" s="12" t="str">
        <f>HYPERLINK("https://twitter.com/DrB_AngerMgt","@DrB_AngerMgt")</f>
        <v>@DrB_AngerMgt</v>
      </c>
      <c r="C126" s="1" t="s">
        <v>694</v>
      </c>
      <c r="D126" s="1" t="s">
        <v>695</v>
      </c>
      <c r="E126" s="12" t="str">
        <f>HYPERLINK("https://twitter.com/DrB_AngerMgt/status/1218589804394401794","1218589804394401794")</f>
        <v>1218589804394401794</v>
      </c>
      <c r="F126" s="13" t="s">
        <v>696</v>
      </c>
      <c r="G126" s="14"/>
      <c r="H126" s="14"/>
      <c r="I126" s="15">
        <v>0.0</v>
      </c>
      <c r="J126" s="15">
        <v>0.0</v>
      </c>
      <c r="K126" s="12" t="str">
        <f>HYPERLINK("https://buffer.com","Buffer")</f>
        <v>Buffer</v>
      </c>
      <c r="L126" s="16">
        <v>7478.0</v>
      </c>
      <c r="M126" s="16">
        <v>3257.0</v>
      </c>
      <c r="N126" s="16">
        <v>260.0</v>
      </c>
      <c r="O126" s="17"/>
      <c r="P126" s="18">
        <v>39648.760983796295</v>
      </c>
      <c r="Q126" s="1" t="s">
        <v>697</v>
      </c>
      <c r="R126" s="1" t="s">
        <v>698</v>
      </c>
      <c r="S126" s="13" t="s">
        <v>699</v>
      </c>
      <c r="T126" s="14"/>
      <c r="U126" s="19" t="str">
        <f>HYPERLINK("https://pbs.twimg.com/profile_images/684234441519149056/cYDud0CV.jpg","View")</f>
        <v>View</v>
      </c>
      <c r="V126" s="14"/>
      <c r="W126" s="14"/>
      <c r="X126" s="14"/>
      <c r="Y126" s="14"/>
      <c r="Z126" s="14"/>
    </row>
    <row r="127">
      <c r="A127" s="11">
        <v>43848.525775462964</v>
      </c>
      <c r="B127" s="12" t="str">
        <f>HYPERLINK("https://twitter.com/DebReis2","@DebReis2")</f>
        <v>@DebReis2</v>
      </c>
      <c r="C127" s="1" t="s">
        <v>700</v>
      </c>
      <c r="D127" s="1" t="s">
        <v>701</v>
      </c>
      <c r="E127" s="12" t="str">
        <f>HYPERLINK("https://twitter.com/DebReis2/status/1218588138504765440","1218588138504765440")</f>
        <v>1218588138504765440</v>
      </c>
      <c r="F127" s="13" t="s">
        <v>702</v>
      </c>
      <c r="G127" s="14"/>
      <c r="H127" s="14"/>
      <c r="I127" s="15">
        <v>0.0</v>
      </c>
      <c r="J127" s="15">
        <v>0.0</v>
      </c>
      <c r="K127" s="12" t="str">
        <f>HYPERLINK("https://www.socialoomph.com","SocialOomph")</f>
        <v>SocialOomph</v>
      </c>
      <c r="L127" s="16">
        <v>1821.0</v>
      </c>
      <c r="M127" s="16">
        <v>2033.0</v>
      </c>
      <c r="N127" s="16">
        <v>292.0</v>
      </c>
      <c r="O127" s="17"/>
      <c r="P127" s="18">
        <v>41780.98449074074</v>
      </c>
      <c r="Q127" s="14"/>
      <c r="R127" s="1" t="s">
        <v>703</v>
      </c>
      <c r="S127" s="13" t="s">
        <v>704</v>
      </c>
      <c r="T127" s="14"/>
      <c r="U127" s="19" t="str">
        <f>HYPERLINK("https://pbs.twimg.com/profile_images/507653567600005120/1oELyuck.jpeg","View")</f>
        <v>View</v>
      </c>
      <c r="V127" s="14"/>
      <c r="W127" s="14"/>
      <c r="X127" s="14"/>
      <c r="Y127" s="14"/>
      <c r="Z127" s="14"/>
    </row>
    <row r="128">
      <c r="A128" s="11">
        <v>43848.523194444446</v>
      </c>
      <c r="B128" s="12" t="str">
        <f>HYPERLINK("https://twitter.com/Nikki_Albert","@Nikki_Albert")</f>
        <v>@Nikki_Albert</v>
      </c>
      <c r="C128" s="1" t="s">
        <v>705</v>
      </c>
      <c r="D128" s="1" t="s">
        <v>706</v>
      </c>
      <c r="E128" s="12" t="str">
        <f>HYPERLINK("https://twitter.com/Nikki_Albert/status/1218587206308130816","1218587206308130816")</f>
        <v>1218587206308130816</v>
      </c>
      <c r="F128" s="13" t="s">
        <v>707</v>
      </c>
      <c r="G128" s="14"/>
      <c r="H128" s="14"/>
      <c r="I128" s="15">
        <v>0.0</v>
      </c>
      <c r="J128" s="15">
        <v>0.0</v>
      </c>
      <c r="K128" s="12" t="str">
        <f>HYPERLINK("http://twitter.com","Twitter Web Client")</f>
        <v>Twitter Web Client</v>
      </c>
      <c r="L128" s="16">
        <v>2224.0</v>
      </c>
      <c r="M128" s="16">
        <v>1703.0</v>
      </c>
      <c r="N128" s="16">
        <v>111.0</v>
      </c>
      <c r="O128" s="17"/>
      <c r="P128" s="18">
        <v>41035.24144675926</v>
      </c>
      <c r="Q128" s="1" t="s">
        <v>143</v>
      </c>
      <c r="R128" s="1" t="s">
        <v>708</v>
      </c>
      <c r="S128" s="13" t="s">
        <v>709</v>
      </c>
      <c r="T128" s="14"/>
      <c r="U128" s="19" t="str">
        <f>HYPERLINK("https://pbs.twimg.com/profile_images/1061668858782658560/PI34-UjF.jpg","View")</f>
        <v>View</v>
      </c>
      <c r="V128" s="14"/>
      <c r="W128" s="14"/>
      <c r="X128" s="14"/>
      <c r="Y128" s="14"/>
      <c r="Z128" s="14"/>
    </row>
    <row r="129">
      <c r="A129" s="11">
        <v>43848.521145833336</v>
      </c>
      <c r="B129" s="12" t="str">
        <f>HYPERLINK("https://twitter.com/atheist_witch","@atheist_witch")</f>
        <v>@atheist_witch</v>
      </c>
      <c r="C129" s="1" t="s">
        <v>710</v>
      </c>
      <c r="D129" s="1" t="s">
        <v>711</v>
      </c>
      <c r="E129" s="12" t="str">
        <f>HYPERLINK("https://twitter.com/atheist_witch/status/1218586463715151872","1218586463715151872")</f>
        <v>1218586463715151872</v>
      </c>
      <c r="F129" s="13" t="s">
        <v>712</v>
      </c>
      <c r="G129" s="13" t="s">
        <v>713</v>
      </c>
      <c r="H129" s="14"/>
      <c r="I129" s="15">
        <v>0.0</v>
      </c>
      <c r="J129" s="15">
        <v>0.0</v>
      </c>
      <c r="K129" s="12" t="str">
        <f>HYPERLINK("https://buffer.com","Buffer")</f>
        <v>Buffer</v>
      </c>
      <c r="L129" s="16">
        <v>20.0</v>
      </c>
      <c r="M129" s="16">
        <v>50.0</v>
      </c>
      <c r="N129" s="16">
        <v>0.0</v>
      </c>
      <c r="O129" s="17"/>
      <c r="P129" s="18">
        <v>42513.78743055556</v>
      </c>
      <c r="Q129" s="14"/>
      <c r="R129" s="14"/>
      <c r="S129" s="13" t="s">
        <v>714</v>
      </c>
      <c r="T129" s="14"/>
      <c r="U129" s="19" t="str">
        <f>HYPERLINK("https://pbs.twimg.com/profile_images/993304633828302853/5qXEcJUI.jpg","View")</f>
        <v>View</v>
      </c>
      <c r="V129" s="14"/>
      <c r="W129" s="14"/>
      <c r="X129" s="14"/>
      <c r="Y129" s="14"/>
      <c r="Z129" s="14"/>
    </row>
    <row r="130">
      <c r="A130" s="11">
        <v>43848.51626157407</v>
      </c>
      <c r="B130" s="12" t="str">
        <f>HYPERLINK("https://twitter.com/benjaminPaul_","@benjaminPaul_")</f>
        <v>@benjaminPaul_</v>
      </c>
      <c r="C130" s="1" t="s">
        <v>715</v>
      </c>
      <c r="D130" s="1" t="s">
        <v>716</v>
      </c>
      <c r="E130" s="12" t="str">
        <f>HYPERLINK("https://twitter.com/benjaminPaul_/status/1218584693756571648","1218584693756571648")</f>
        <v>1218584693756571648</v>
      </c>
      <c r="F130" s="13" t="s">
        <v>717</v>
      </c>
      <c r="G130" s="13" t="s">
        <v>718</v>
      </c>
      <c r="H130" s="14"/>
      <c r="I130" s="15">
        <v>0.0</v>
      </c>
      <c r="J130" s="15">
        <v>0.0</v>
      </c>
      <c r="K130" s="12" t="str">
        <f>HYPERLINK("https://www.corelistingmachine.com/","CORE ListingMachine")</f>
        <v>CORE ListingMachine</v>
      </c>
      <c r="L130" s="16">
        <v>492.0</v>
      </c>
      <c r="M130" s="16">
        <v>119.0</v>
      </c>
      <c r="N130" s="16">
        <v>4.0</v>
      </c>
      <c r="O130" s="17"/>
      <c r="P130" s="18">
        <v>40811.48364583333</v>
      </c>
      <c r="Q130" s="1" t="s">
        <v>719</v>
      </c>
      <c r="R130" s="1" t="s">
        <v>720</v>
      </c>
      <c r="S130" s="14"/>
      <c r="T130" s="14"/>
      <c r="U130" s="19" t="str">
        <f>HYPERLINK("https://pbs.twimg.com/profile_images/1105842313216040960/CdRWhxAg.png","View")</f>
        <v>View</v>
      </c>
      <c r="V130" s="14"/>
      <c r="W130" s="14"/>
      <c r="X130" s="14"/>
      <c r="Y130" s="14"/>
      <c r="Z130" s="14"/>
    </row>
    <row r="131">
      <c r="A131" s="11">
        <v>43848.51393518518</v>
      </c>
      <c r="B131" s="12" t="str">
        <f>HYPERLINK("https://twitter.com/EdiblesZz","@EdiblesZz")</f>
        <v>@EdiblesZz</v>
      </c>
      <c r="C131" s="1" t="s">
        <v>111</v>
      </c>
      <c r="D131" s="1" t="s">
        <v>721</v>
      </c>
      <c r="E131" s="12" t="str">
        <f>HYPERLINK("https://twitter.com/EdiblesZz/status/1218583850663714816","1218583850663714816")</f>
        <v>1218583850663714816</v>
      </c>
      <c r="F131" s="13" t="s">
        <v>113</v>
      </c>
      <c r="G131" s="13" t="s">
        <v>722</v>
      </c>
      <c r="H131" s="14"/>
      <c r="I131" s="15">
        <v>0.0</v>
      </c>
      <c r="J131" s="15">
        <v>1.0</v>
      </c>
      <c r="K131" s="12" t="str">
        <f>HYPERLINK("https://mobile.twitter.com","Twitter Web App")</f>
        <v>Twitter Web App</v>
      </c>
      <c r="L131" s="16">
        <v>572.0</v>
      </c>
      <c r="M131" s="16">
        <v>2994.0</v>
      </c>
      <c r="N131" s="16">
        <v>0.0</v>
      </c>
      <c r="O131" s="17"/>
      <c r="P131" s="18">
        <v>43710.57782407408</v>
      </c>
      <c r="Q131" s="1" t="s">
        <v>115</v>
      </c>
      <c r="R131" s="1" t="s">
        <v>116</v>
      </c>
      <c r="S131" s="13" t="s">
        <v>117</v>
      </c>
      <c r="T131" s="14"/>
      <c r="U131" s="19" t="str">
        <f>HYPERLINK("https://pbs.twimg.com/profile_images/1168582465058934785/vS2Yhnlj.jpg","View")</f>
        <v>View</v>
      </c>
      <c r="V131" s="14"/>
      <c r="W131" s="14"/>
      <c r="X131" s="14"/>
      <c r="Y131" s="14"/>
      <c r="Z131" s="14"/>
    </row>
    <row r="132">
      <c r="A132" s="11">
        <v>43848.51042824074</v>
      </c>
      <c r="B132" s="12" t="str">
        <f>HYPERLINK("https://twitter.com/MedNewsBulletin","@MedNewsBulletin")</f>
        <v>@MedNewsBulletin</v>
      </c>
      <c r="C132" s="1" t="s">
        <v>723</v>
      </c>
      <c r="D132" s="1" t="s">
        <v>724</v>
      </c>
      <c r="E132" s="12" t="str">
        <f>HYPERLINK("https://twitter.com/MedNewsBulletin/status/1218582579466645505","1218582579466645505")</f>
        <v>1218582579466645505</v>
      </c>
      <c r="F132" s="13" t="s">
        <v>725</v>
      </c>
      <c r="G132" s="13" t="s">
        <v>726</v>
      </c>
      <c r="H132" s="14"/>
      <c r="I132" s="15">
        <v>1.0</v>
      </c>
      <c r="J132" s="15">
        <v>1.0</v>
      </c>
      <c r="K132" s="12" t="str">
        <f>HYPERLINK("https://buffer.com","Buffer")</f>
        <v>Buffer</v>
      </c>
      <c r="L132" s="16">
        <v>2555.0</v>
      </c>
      <c r="M132" s="16">
        <v>1994.0</v>
      </c>
      <c r="N132" s="16">
        <v>116.0</v>
      </c>
      <c r="O132" s="17"/>
      <c r="P132" s="18">
        <v>41604.44090277778</v>
      </c>
      <c r="Q132" s="1" t="s">
        <v>727</v>
      </c>
      <c r="R132" s="1" t="s">
        <v>728</v>
      </c>
      <c r="S132" s="13" t="s">
        <v>729</v>
      </c>
      <c r="T132" s="14"/>
      <c r="U132" s="19" t="str">
        <f>HYPERLINK("https://pbs.twimg.com/profile_images/1146418206329987072/gbvSz4Iu.png","View")</f>
        <v>View</v>
      </c>
      <c r="V132" s="14"/>
      <c r="W132" s="14"/>
      <c r="X132" s="14"/>
      <c r="Y132" s="14"/>
      <c r="Z132" s="14"/>
    </row>
    <row r="133">
      <c r="A133" s="11">
        <v>43848.50913194445</v>
      </c>
      <c r="B133" s="12" t="str">
        <f>HYPERLINK("https://twitter.com/tbarrettfitness","@tbarrettfitness")</f>
        <v>@tbarrettfitness</v>
      </c>
      <c r="C133" s="1" t="s">
        <v>730</v>
      </c>
      <c r="D133" s="1" t="s">
        <v>731</v>
      </c>
      <c r="E133" s="12" t="str">
        <f>HYPERLINK("https://twitter.com/tbarrettfitness/status/1218582107280363521","1218582107280363521")</f>
        <v>1218582107280363521</v>
      </c>
      <c r="F133" s="13" t="s">
        <v>732</v>
      </c>
      <c r="G133" s="14"/>
      <c r="H133" s="14"/>
      <c r="I133" s="15">
        <v>0.0</v>
      </c>
      <c r="J133" s="15">
        <v>0.0</v>
      </c>
      <c r="K133" s="12" t="str">
        <f>HYPERLINK("http://instagram.com","Instagram")</f>
        <v>Instagram</v>
      </c>
      <c r="L133" s="16">
        <v>157.0</v>
      </c>
      <c r="M133" s="16">
        <v>325.0</v>
      </c>
      <c r="N133" s="16">
        <v>0.0</v>
      </c>
      <c r="O133" s="17"/>
      <c r="P133" s="18">
        <v>43084.38893518518</v>
      </c>
      <c r="Q133" s="1" t="s">
        <v>733</v>
      </c>
      <c r="R133" s="1" t="s">
        <v>734</v>
      </c>
      <c r="S133" s="13" t="s">
        <v>735</v>
      </c>
      <c r="T133" s="14"/>
      <c r="U133" s="19" t="str">
        <f>HYPERLINK("https://pbs.twimg.com/profile_images/969377420427055104/83RlYXXU.jpg","View")</f>
        <v>View</v>
      </c>
      <c r="V133" s="14"/>
      <c r="W133" s="14"/>
      <c r="X133" s="14"/>
      <c r="Y133" s="14"/>
      <c r="Z133" s="14"/>
    </row>
    <row r="134">
      <c r="A134" s="11">
        <v>43848.50709490741</v>
      </c>
      <c r="B134" s="12" t="str">
        <f>HYPERLINK("https://twitter.com/erniebray","@erniebray")</f>
        <v>@erniebray</v>
      </c>
      <c r="C134" s="1" t="s">
        <v>736</v>
      </c>
      <c r="D134" s="1" t="s">
        <v>737</v>
      </c>
      <c r="E134" s="12" t="str">
        <f>HYPERLINK("https://twitter.com/erniebray/status/1218581368474607618","1218581368474607618")</f>
        <v>1218581368474607618</v>
      </c>
      <c r="F134" s="13" t="s">
        <v>738</v>
      </c>
      <c r="G134" s="14"/>
      <c r="H134" s="14"/>
      <c r="I134" s="15">
        <v>0.0</v>
      </c>
      <c r="J134" s="15">
        <v>0.0</v>
      </c>
      <c r="K134" s="12" t="str">
        <f>HYPERLINK("https://www.hootsuite.com","Hootsuite Inc.")</f>
        <v>Hootsuite Inc.</v>
      </c>
      <c r="L134" s="16">
        <v>8541.0</v>
      </c>
      <c r="M134" s="16">
        <v>519.0</v>
      </c>
      <c r="N134" s="16">
        <v>84.0</v>
      </c>
      <c r="O134" s="17"/>
      <c r="P134" s="18">
        <v>41288.031273148146</v>
      </c>
      <c r="Q134" s="1" t="s">
        <v>739</v>
      </c>
      <c r="R134" s="1" t="s">
        <v>740</v>
      </c>
      <c r="S134" s="13" t="s">
        <v>741</v>
      </c>
      <c r="T134" s="14"/>
      <c r="U134" s="19" t="str">
        <f>HYPERLINK("https://pbs.twimg.com/profile_images/1197764636424060930/X_7meGd2.jpg","View")</f>
        <v>View</v>
      </c>
      <c r="V134" s="14"/>
      <c r="W134" s="14"/>
      <c r="X134" s="14"/>
      <c r="Y134" s="14"/>
      <c r="Z134" s="14"/>
    </row>
    <row r="135">
      <c r="A135" s="11">
        <v>43848.50635416667</v>
      </c>
      <c r="B135" s="12" t="str">
        <f>HYPERLINK("https://twitter.com/BNWAccountantsL","@BNWAccountantsL")</f>
        <v>@BNWAccountantsL</v>
      </c>
      <c r="C135" s="1" t="s">
        <v>742</v>
      </c>
      <c r="D135" s="1" t="s">
        <v>743</v>
      </c>
      <c r="E135" s="12" t="str">
        <f>HYPERLINK("https://twitter.com/BNWAccountantsL/status/1218581102773919745","1218581102773919745")</f>
        <v>1218581102773919745</v>
      </c>
      <c r="F135" s="13" t="s">
        <v>744</v>
      </c>
      <c r="G135" s="13" t="s">
        <v>745</v>
      </c>
      <c r="H135" s="14"/>
      <c r="I135" s="15">
        <v>0.0</v>
      </c>
      <c r="J135" s="15">
        <v>0.0</v>
      </c>
      <c r="K135" s="12" t="str">
        <f>HYPERLINK("https://mobile.twitter.com","Twitter Web App")</f>
        <v>Twitter Web App</v>
      </c>
      <c r="L135" s="16">
        <v>449.0</v>
      </c>
      <c r="M135" s="16">
        <v>1749.0</v>
      </c>
      <c r="N135" s="16">
        <v>11.0</v>
      </c>
      <c r="O135" s="17"/>
      <c r="P135" s="18">
        <v>41501.247210648144</v>
      </c>
      <c r="Q135" s="1" t="s">
        <v>746</v>
      </c>
      <c r="R135" s="1" t="s">
        <v>747</v>
      </c>
      <c r="S135" s="13" t="s">
        <v>748</v>
      </c>
      <c r="T135" s="14"/>
      <c r="U135" s="19" t="str">
        <f>HYPERLINK("https://pbs.twimg.com/profile_images/1140934898968092672/_oY8MI9C.png","View")</f>
        <v>View</v>
      </c>
      <c r="V135" s="14"/>
      <c r="W135" s="14"/>
      <c r="X135" s="14"/>
      <c r="Y135" s="14"/>
      <c r="Z135" s="14"/>
    </row>
    <row r="136">
      <c r="A136" s="11">
        <v>43848.50475694444</v>
      </c>
      <c r="B136" s="12" t="str">
        <f>HYPERLINK("https://twitter.com/toni_bernhard","@toni_bernhard")</f>
        <v>@toni_bernhard</v>
      </c>
      <c r="C136" s="1" t="s">
        <v>749</v>
      </c>
      <c r="D136" s="1" t="s">
        <v>750</v>
      </c>
      <c r="E136" s="12" t="str">
        <f>HYPERLINK("https://twitter.com/toni_bernhard/status/1218580523359948805","1218580523359948805")</f>
        <v>1218580523359948805</v>
      </c>
      <c r="F136" s="13" t="s">
        <v>751</v>
      </c>
      <c r="G136" s="14"/>
      <c r="H136" s="14"/>
      <c r="I136" s="15">
        <v>30.0</v>
      </c>
      <c r="J136" s="15">
        <v>66.0</v>
      </c>
      <c r="K136" s="12" t="str">
        <f>HYPERLINK("http://twitter.com","Twitter Web Client")</f>
        <v>Twitter Web Client</v>
      </c>
      <c r="L136" s="16">
        <v>4965.0</v>
      </c>
      <c r="M136" s="16">
        <v>1524.0</v>
      </c>
      <c r="N136" s="16">
        <v>331.0</v>
      </c>
      <c r="O136" s="17"/>
      <c r="P136" s="18">
        <v>40382.55401620371</v>
      </c>
      <c r="Q136" s="14"/>
      <c r="R136" s="1" t="s">
        <v>752</v>
      </c>
      <c r="S136" s="13" t="s">
        <v>753</v>
      </c>
      <c r="T136" s="14"/>
      <c r="U136" s="19" t="str">
        <f>HYPERLINK("https://pbs.twimg.com/profile_images/759869867449196544/dEV7yImo.jpg","View")</f>
        <v>View</v>
      </c>
      <c r="V136" s="14"/>
      <c r="W136" s="14"/>
      <c r="X136" s="14"/>
      <c r="Y136" s="14"/>
      <c r="Z136" s="14"/>
    </row>
    <row r="137">
      <c r="A137" s="11">
        <v>43848.501435185186</v>
      </c>
      <c r="B137" s="12" t="str">
        <f>HYPERLINK("https://twitter.com/SipCourage","@SipCourage")</f>
        <v>@SipCourage</v>
      </c>
      <c r="C137" s="1" t="s">
        <v>270</v>
      </c>
      <c r="D137" s="1" t="s">
        <v>754</v>
      </c>
      <c r="E137" s="12" t="str">
        <f>HYPERLINK("https://twitter.com/SipCourage/status/1218579318139387905","1218579318139387905")</f>
        <v>1218579318139387905</v>
      </c>
      <c r="F137" s="13" t="s">
        <v>755</v>
      </c>
      <c r="G137" s="14"/>
      <c r="H137" s="14"/>
      <c r="I137" s="15">
        <v>1.0</v>
      </c>
      <c r="J137" s="15">
        <v>0.0</v>
      </c>
      <c r="K137" s="12" t="str">
        <f>HYPERLINK("https://buffer.com","Buffer")</f>
        <v>Buffer</v>
      </c>
      <c r="L137" s="16">
        <v>11532.0</v>
      </c>
      <c r="M137" s="16">
        <v>11161.0</v>
      </c>
      <c r="N137" s="16">
        <v>67.0</v>
      </c>
      <c r="O137" s="17"/>
      <c r="P137" s="18">
        <v>43567.57980324074</v>
      </c>
      <c r="Q137" s="1" t="s">
        <v>115</v>
      </c>
      <c r="R137" s="1" t="s">
        <v>273</v>
      </c>
      <c r="S137" s="13" t="s">
        <v>274</v>
      </c>
      <c r="T137" s="14"/>
      <c r="U137" s="19" t="str">
        <f>HYPERLINK("https://pbs.twimg.com/profile_images/1116772004894523392/MD8DI7fb.png","View")</f>
        <v>View</v>
      </c>
      <c r="V137" s="14"/>
      <c r="W137" s="14"/>
      <c r="X137" s="14"/>
      <c r="Y137" s="14"/>
      <c r="Z137" s="14"/>
    </row>
    <row r="138">
      <c r="A138" s="11">
        <v>43848.493101851855</v>
      </c>
      <c r="B138" s="12" t="str">
        <f>HYPERLINK("https://twitter.com/learningandtheb","@learningandtheb")</f>
        <v>@learningandtheb</v>
      </c>
      <c r="C138" s="1" t="s">
        <v>756</v>
      </c>
      <c r="D138" s="1" t="s">
        <v>757</v>
      </c>
      <c r="E138" s="12" t="str">
        <f>HYPERLINK("https://twitter.com/learningandtheb/status/1218576301545660416","1218576301545660416")</f>
        <v>1218576301545660416</v>
      </c>
      <c r="F138" s="13" t="s">
        <v>758</v>
      </c>
      <c r="G138" s="13" t="s">
        <v>759</v>
      </c>
      <c r="H138" s="14"/>
      <c r="I138" s="15">
        <v>8.0</v>
      </c>
      <c r="J138" s="15">
        <v>15.0</v>
      </c>
      <c r="K138" s="12" t="str">
        <f>HYPERLINK("https://www.hootsuite.com","Hootsuite Inc.")</f>
        <v>Hootsuite Inc.</v>
      </c>
      <c r="L138" s="16">
        <v>8920.0</v>
      </c>
      <c r="M138" s="16">
        <v>925.0</v>
      </c>
      <c r="N138" s="16">
        <v>213.0</v>
      </c>
      <c r="O138" s="17"/>
      <c r="P138" s="18">
        <v>40576.7094212963</v>
      </c>
      <c r="Q138" s="1" t="s">
        <v>760</v>
      </c>
      <c r="R138" s="1" t="s">
        <v>761</v>
      </c>
      <c r="S138" s="13" t="s">
        <v>762</v>
      </c>
      <c r="T138" s="14"/>
      <c r="U138" s="19" t="str">
        <f>HYPERLINK("https://pbs.twimg.com/profile_images/935177124947873792/9TM9c4IV.jpg","View")</f>
        <v>View</v>
      </c>
      <c r="V138" s="14"/>
      <c r="W138" s="14"/>
      <c r="X138" s="14"/>
      <c r="Y138" s="14"/>
      <c r="Z138" s="14"/>
    </row>
    <row r="139">
      <c r="A139" s="11">
        <v>43848.49239583334</v>
      </c>
      <c r="B139" s="12" t="str">
        <f>HYPERLINK("https://twitter.com/Mokokoma","@Mokokoma")</f>
        <v>@Mokokoma</v>
      </c>
      <c r="C139" s="1" t="s">
        <v>763</v>
      </c>
      <c r="D139" s="1" t="s">
        <v>764</v>
      </c>
      <c r="E139" s="12" t="str">
        <f>HYPERLINK("https://twitter.com/Mokokoma/status/1218576042077622272","1218576042077622272")</f>
        <v>1218576042077622272</v>
      </c>
      <c r="F139" s="13" t="s">
        <v>765</v>
      </c>
      <c r="G139" s="13" t="s">
        <v>766</v>
      </c>
      <c r="H139" s="14"/>
      <c r="I139" s="15">
        <v>0.0</v>
      </c>
      <c r="J139" s="15">
        <v>0.0</v>
      </c>
      <c r="K139" s="12" t="str">
        <f>HYPERLINK("http://twitter.com/download/iphone","Twitter for iPhone")</f>
        <v>Twitter for iPhone</v>
      </c>
      <c r="L139" s="16">
        <v>744.0</v>
      </c>
      <c r="M139" s="16">
        <v>1.0</v>
      </c>
      <c r="N139" s="16">
        <v>27.0</v>
      </c>
      <c r="O139" s="17"/>
      <c r="P139" s="18">
        <v>39536.46443287037</v>
      </c>
      <c r="Q139" s="1" t="s">
        <v>767</v>
      </c>
      <c r="R139" s="1" t="s">
        <v>768</v>
      </c>
      <c r="S139" s="13" t="s">
        <v>765</v>
      </c>
      <c r="T139" s="14"/>
      <c r="U139" s="19" t="str">
        <f>HYPERLINK("https://pbs.twimg.com/profile_images/1202281877035454464/j-B9IfU0.jpg","View")</f>
        <v>View</v>
      </c>
      <c r="V139" s="14"/>
      <c r="W139" s="14"/>
      <c r="X139" s="14"/>
      <c r="Y139" s="14"/>
      <c r="Z139" s="14"/>
    </row>
    <row r="140">
      <c r="A140" s="11">
        <v>43848.48986111111</v>
      </c>
      <c r="B140" s="12" t="str">
        <f>HYPERLINK("https://twitter.com/TurnoverTips","@TurnoverTips")</f>
        <v>@TurnoverTips</v>
      </c>
      <c r="C140" s="1" t="s">
        <v>769</v>
      </c>
      <c r="D140" s="1" t="s">
        <v>770</v>
      </c>
      <c r="E140" s="12" t="str">
        <f>HYPERLINK("https://twitter.com/TurnoverTips/status/1218575125160845313","1218575125160845313")</f>
        <v>1218575125160845313</v>
      </c>
      <c r="F140" s="14"/>
      <c r="G140" s="13" t="s">
        <v>771</v>
      </c>
      <c r="H140" s="14"/>
      <c r="I140" s="15">
        <v>0.0</v>
      </c>
      <c r="J140" s="15">
        <v>0.0</v>
      </c>
      <c r="K140" s="12" t="str">
        <f>HYPERLINK("https://mobile.twitter.com","Twitter Web App")</f>
        <v>Twitter Web App</v>
      </c>
      <c r="L140" s="16">
        <v>56.0</v>
      </c>
      <c r="M140" s="16">
        <v>74.0</v>
      </c>
      <c r="N140" s="16">
        <v>1.0</v>
      </c>
      <c r="O140" s="17"/>
      <c r="P140" s="18">
        <v>43352.49564814815</v>
      </c>
      <c r="Q140" s="14"/>
      <c r="R140" s="1" t="s">
        <v>772</v>
      </c>
      <c r="S140" s="13" t="s">
        <v>773</v>
      </c>
      <c r="T140" s="14"/>
      <c r="U140" s="19" t="str">
        <f>HYPERLINK("https://pbs.twimg.com/profile_images/1038820117021437954/F1zBKYWS.jpg","View")</f>
        <v>View</v>
      </c>
      <c r="V140" s="14"/>
      <c r="W140" s="14"/>
      <c r="X140" s="14"/>
      <c r="Y140" s="14"/>
      <c r="Z140" s="14"/>
    </row>
    <row r="141">
      <c r="A141" s="11">
        <v>43848.48983796296</v>
      </c>
      <c r="B141" s="12" t="str">
        <f>HYPERLINK("https://twitter.com/renascencemusic","@renascencemusic")</f>
        <v>@renascencemusic</v>
      </c>
      <c r="C141" s="1" t="s">
        <v>247</v>
      </c>
      <c r="D141" s="1" t="s">
        <v>774</v>
      </c>
      <c r="E141" s="12" t="str">
        <f>HYPERLINK("https://twitter.com/renascencemusic/status/1218575115144847360","1218575115144847360")</f>
        <v>1218575115144847360</v>
      </c>
      <c r="F141" s="13" t="s">
        <v>775</v>
      </c>
      <c r="G141" s="13" t="s">
        <v>776</v>
      </c>
      <c r="H141" s="14"/>
      <c r="I141" s="15">
        <v>0.0</v>
      </c>
      <c r="J141" s="15">
        <v>0.0</v>
      </c>
      <c r="K141" s="12" t="str">
        <f>HYPERLINK("https://www.socialoomph.com","SocialOomph")</f>
        <v>SocialOomph</v>
      </c>
      <c r="L141" s="16">
        <v>13031.0</v>
      </c>
      <c r="M141" s="16">
        <v>11650.0</v>
      </c>
      <c r="N141" s="16">
        <v>219.0</v>
      </c>
      <c r="O141" s="17"/>
      <c r="P141" s="18">
        <v>42470.67052083333</v>
      </c>
      <c r="Q141" s="1" t="s">
        <v>251</v>
      </c>
      <c r="R141" s="1" t="s">
        <v>252</v>
      </c>
      <c r="S141" s="13" t="s">
        <v>253</v>
      </c>
      <c r="T141" s="14"/>
      <c r="U141" s="19" t="str">
        <f>HYPERLINK("https://pbs.twimg.com/profile_images/1123407512743612416/g721ra2J.png","View")</f>
        <v>View</v>
      </c>
      <c r="V141" s="14"/>
      <c r="W141" s="14"/>
      <c r="X141" s="14"/>
      <c r="Y141" s="14"/>
      <c r="Z141" s="14"/>
    </row>
    <row r="142">
      <c r="A142" s="11">
        <v>43848.48921296296</v>
      </c>
      <c r="B142" s="12" t="str">
        <f>HYPERLINK("https://twitter.com/HCleaning360","@HCleaning360")</f>
        <v>@HCleaning360</v>
      </c>
      <c r="C142" s="1" t="s">
        <v>777</v>
      </c>
      <c r="D142" s="1" t="s">
        <v>770</v>
      </c>
      <c r="E142" s="12" t="str">
        <f>HYPERLINK("https://twitter.com/HCleaning360/status/1218574888610541576","1218574888610541576")</f>
        <v>1218574888610541576</v>
      </c>
      <c r="F142" s="14"/>
      <c r="G142" s="13" t="s">
        <v>778</v>
      </c>
      <c r="H142" s="14"/>
      <c r="I142" s="15">
        <v>0.0</v>
      </c>
      <c r="J142" s="15">
        <v>0.0</v>
      </c>
      <c r="K142" s="12" t="str">
        <f t="shared" ref="K142:K143" si="14">HYPERLINK("https://mobile.twitter.com","Twitter Web App")</f>
        <v>Twitter Web App</v>
      </c>
      <c r="L142" s="16">
        <v>196.0</v>
      </c>
      <c r="M142" s="16">
        <v>405.0</v>
      </c>
      <c r="N142" s="16">
        <v>5.0</v>
      </c>
      <c r="O142" s="17"/>
      <c r="P142" s="18">
        <v>43287.48469907408</v>
      </c>
      <c r="Q142" s="1" t="s">
        <v>56</v>
      </c>
      <c r="R142" s="1" t="s">
        <v>779</v>
      </c>
      <c r="S142" s="13" t="s">
        <v>780</v>
      </c>
      <c r="T142" s="14"/>
      <c r="U142" s="19" t="str">
        <f>HYPERLINK("https://pbs.twimg.com/profile_images/1015270236709322752/wVqyuKIB.jpg","View")</f>
        <v>View</v>
      </c>
      <c r="V142" s="14"/>
      <c r="W142" s="14"/>
      <c r="X142" s="14"/>
      <c r="Y142" s="14"/>
      <c r="Z142" s="14"/>
    </row>
    <row r="143">
      <c r="A143" s="11">
        <v>43848.48857638889</v>
      </c>
      <c r="B143" s="12" t="str">
        <f>HYPERLINK("https://twitter.com/AskaHouseCleanr","@AskaHouseCleanr")</f>
        <v>@AskaHouseCleanr</v>
      </c>
      <c r="C143" s="1" t="s">
        <v>781</v>
      </c>
      <c r="D143" s="1" t="s">
        <v>770</v>
      </c>
      <c r="E143" s="12" t="str">
        <f>HYPERLINK("https://twitter.com/AskaHouseCleanr/status/1218574661136650242","1218574661136650242")</f>
        <v>1218574661136650242</v>
      </c>
      <c r="F143" s="14"/>
      <c r="G143" s="13" t="s">
        <v>782</v>
      </c>
      <c r="H143" s="14"/>
      <c r="I143" s="15">
        <v>0.0</v>
      </c>
      <c r="J143" s="15">
        <v>0.0</v>
      </c>
      <c r="K143" s="12" t="str">
        <f t="shared" si="14"/>
        <v>Twitter Web App</v>
      </c>
      <c r="L143" s="16">
        <v>44.0</v>
      </c>
      <c r="M143" s="16">
        <v>70.0</v>
      </c>
      <c r="N143" s="16">
        <v>1.0</v>
      </c>
      <c r="O143" s="17"/>
      <c r="P143" s="18">
        <v>43352.549687499995</v>
      </c>
      <c r="Q143" s="14"/>
      <c r="R143" s="1" t="s">
        <v>783</v>
      </c>
      <c r="S143" s="13" t="s">
        <v>784</v>
      </c>
      <c r="T143" s="14"/>
      <c r="U143" s="19" t="str">
        <f>HYPERLINK("https://pbs.twimg.com/profile_images/1038942982286630912/T8z6hT0V.jpg","View")</f>
        <v>View</v>
      </c>
      <c r="V143" s="14"/>
      <c r="W143" s="14"/>
      <c r="X143" s="14"/>
      <c r="Y143" s="14"/>
      <c r="Z143" s="14"/>
    </row>
    <row r="144">
      <c r="A144" s="11">
        <v>43848.48819444445</v>
      </c>
      <c r="B144" s="12" t="str">
        <f>HYPERLINK("https://twitter.com/KenOkel","@KenOkel")</f>
        <v>@KenOkel</v>
      </c>
      <c r="C144" s="1" t="s">
        <v>41</v>
      </c>
      <c r="D144" s="1" t="s">
        <v>785</v>
      </c>
      <c r="E144" s="12" t="str">
        <f>HYPERLINK("https://twitter.com/KenOkel/status/1218574519998140419","1218574519998140419")</f>
        <v>1218574519998140419</v>
      </c>
      <c r="F144" s="13" t="s">
        <v>786</v>
      </c>
      <c r="G144" s="14"/>
      <c r="H144" s="14"/>
      <c r="I144" s="15">
        <v>0.0</v>
      </c>
      <c r="J144" s="15">
        <v>0.0</v>
      </c>
      <c r="K144" s="12" t="str">
        <f>HYPERLINK("https://about.twitter.com/products/tweetdeck","TweetDeck")</f>
        <v>TweetDeck</v>
      </c>
      <c r="L144" s="16">
        <v>603.0</v>
      </c>
      <c r="M144" s="16">
        <v>261.0</v>
      </c>
      <c r="N144" s="16">
        <v>827.0</v>
      </c>
      <c r="O144" s="17"/>
      <c r="P144" s="18">
        <v>39880.78482638889</v>
      </c>
      <c r="Q144" s="1" t="s">
        <v>44</v>
      </c>
      <c r="R144" s="1" t="s">
        <v>45</v>
      </c>
      <c r="S144" s="13" t="s">
        <v>46</v>
      </c>
      <c r="T144" s="14"/>
      <c r="U144" s="19" t="str">
        <f>HYPERLINK("https://pbs.twimg.com/profile_images/805116072785563648/LPXnbxnK.jpg","View")</f>
        <v>View</v>
      </c>
      <c r="V144" s="14"/>
      <c r="W144" s="14"/>
      <c r="X144" s="14"/>
      <c r="Y144" s="14"/>
      <c r="Z144" s="14"/>
    </row>
    <row r="145">
      <c r="A145" s="11">
        <v>43848.48625</v>
      </c>
      <c r="B145" s="12" t="str">
        <f>HYPERLINK("https://twitter.com/HealthyandFitn6","@HealthyandFitn6")</f>
        <v>@HealthyandFitn6</v>
      </c>
      <c r="C145" s="1" t="s">
        <v>787</v>
      </c>
      <c r="D145" s="1" t="s">
        <v>788</v>
      </c>
      <c r="E145" s="12" t="str">
        <f>HYPERLINK("https://twitter.com/HealthyandFitn6/status/1218573814776373255","1218573814776373255")</f>
        <v>1218573814776373255</v>
      </c>
      <c r="F145" s="13" t="s">
        <v>789</v>
      </c>
      <c r="G145" s="13" t="s">
        <v>790</v>
      </c>
      <c r="H145" s="14"/>
      <c r="I145" s="15">
        <v>0.0</v>
      </c>
      <c r="J145" s="15">
        <v>1.0</v>
      </c>
      <c r="K145" s="12" t="str">
        <f>HYPERLINK("https://crowdfireapp.com","Crowdfire App")</f>
        <v>Crowdfire App</v>
      </c>
      <c r="L145" s="16">
        <v>121.0</v>
      </c>
      <c r="M145" s="16">
        <v>51.0</v>
      </c>
      <c r="N145" s="16">
        <v>0.0</v>
      </c>
      <c r="O145" s="17"/>
      <c r="P145" s="18">
        <v>43752.99784722222</v>
      </c>
      <c r="Q145" s="14"/>
      <c r="R145" s="1" t="s">
        <v>791</v>
      </c>
      <c r="S145" s="13" t="s">
        <v>792</v>
      </c>
      <c r="T145" s="14"/>
      <c r="U145" s="19" t="str">
        <f>HYPERLINK("https://pbs.twimg.com/profile_images/1183954983550513152/LlRQvdFF.jpg","View")</f>
        <v>View</v>
      </c>
      <c r="V145" s="14"/>
      <c r="W145" s="14"/>
      <c r="X145" s="14"/>
      <c r="Y145" s="14"/>
      <c r="Z145" s="14"/>
    </row>
    <row r="146">
      <c r="A146" s="11">
        <v>43848.483449074076</v>
      </c>
      <c r="B146" s="12" t="str">
        <f>HYPERLINK("https://twitter.com/CYPRESSMUZIK","@CYPRESSMUZIK")</f>
        <v>@CYPRESSMUZIK</v>
      </c>
      <c r="C146" s="1" t="s">
        <v>793</v>
      </c>
      <c r="D146" s="1" t="s">
        <v>794</v>
      </c>
      <c r="E146" s="12" t="str">
        <f>HYPERLINK("https://twitter.com/CYPRESSMUZIK/status/1218572802346770434","1218572802346770434")</f>
        <v>1218572802346770434</v>
      </c>
      <c r="F146" s="13" t="s">
        <v>795</v>
      </c>
      <c r="G146" s="14"/>
      <c r="H146" s="14"/>
      <c r="I146" s="15">
        <v>0.0</v>
      </c>
      <c r="J146" s="15">
        <v>0.0</v>
      </c>
      <c r="K146" s="12" t="str">
        <f>HYPERLINK("http://instagram.com","Instagram")</f>
        <v>Instagram</v>
      </c>
      <c r="L146" s="16">
        <v>998.0</v>
      </c>
      <c r="M146" s="16">
        <v>949.0</v>
      </c>
      <c r="N146" s="16">
        <v>13.0</v>
      </c>
      <c r="O146" s="17"/>
      <c r="P146" s="18">
        <v>39982.57439814815</v>
      </c>
      <c r="Q146" s="1" t="s">
        <v>796</v>
      </c>
      <c r="R146" s="1" t="s">
        <v>797</v>
      </c>
      <c r="S146" s="13" t="s">
        <v>798</v>
      </c>
      <c r="T146" s="14"/>
      <c r="U146" s="19" t="str">
        <f>HYPERLINK("https://pbs.twimg.com/profile_images/998734940513619968/SETN-jNa.jpg","View")</f>
        <v>View</v>
      </c>
      <c r="V146" s="14"/>
      <c r="W146" s="14"/>
      <c r="X146" s="14"/>
      <c r="Y146" s="14"/>
      <c r="Z146" s="14"/>
    </row>
    <row r="147">
      <c r="A147" s="11">
        <v>43848.481365740736</v>
      </c>
      <c r="B147" s="12" t="str">
        <f>HYPERLINK("https://twitter.com/SquishSupport","@SquishSupport")</f>
        <v>@SquishSupport</v>
      </c>
      <c r="C147" s="1" t="s">
        <v>799</v>
      </c>
      <c r="D147" s="1" t="s">
        <v>800</v>
      </c>
      <c r="E147" s="12" t="str">
        <f>HYPERLINK("https://twitter.com/SquishSupport/status/1218572048336814081","1218572048336814081")</f>
        <v>1218572048336814081</v>
      </c>
      <c r="F147" s="14"/>
      <c r="G147" s="13" t="s">
        <v>801</v>
      </c>
      <c r="H147" s="14"/>
      <c r="I147" s="15">
        <v>1.0</v>
      </c>
      <c r="J147" s="15">
        <v>2.0</v>
      </c>
      <c r="K147" s="12" t="str">
        <f>HYPERLINK("http://twitter.com/download/android","Twitter for Android")</f>
        <v>Twitter for Android</v>
      </c>
      <c r="L147" s="16">
        <v>24.0</v>
      </c>
      <c r="M147" s="16">
        <v>109.0</v>
      </c>
      <c r="N147" s="16">
        <v>0.0</v>
      </c>
      <c r="O147" s="17"/>
      <c r="P147" s="18">
        <v>43790.01303240741</v>
      </c>
      <c r="Q147" s="1" t="s">
        <v>802</v>
      </c>
      <c r="R147" s="1" t="s">
        <v>803</v>
      </c>
      <c r="S147" s="13" t="s">
        <v>804</v>
      </c>
      <c r="T147" s="14"/>
      <c r="U147" s="19" t="str">
        <f>HYPERLINK("https://pbs.twimg.com/profile_images/1197383912084905984/1yZnevKP.png","View")</f>
        <v>View</v>
      </c>
      <c r="V147" s="14"/>
      <c r="W147" s="14"/>
      <c r="X147" s="14"/>
      <c r="Y147" s="14"/>
      <c r="Z147" s="14"/>
    </row>
    <row r="148">
      <c r="A148" s="11">
        <v>43848.475810185184</v>
      </c>
      <c r="B148" s="12" t="str">
        <f>HYPERLINK("https://twitter.com/jpafhc","@jpafhc")</f>
        <v>@jpafhc</v>
      </c>
      <c r="C148" s="1" t="s">
        <v>805</v>
      </c>
      <c r="D148" s="1" t="s">
        <v>806</v>
      </c>
      <c r="E148" s="12" t="str">
        <f>HYPERLINK("https://twitter.com/jpafhc/status/1218570032369803266","1218570032369803266")</f>
        <v>1218570032369803266</v>
      </c>
      <c r="F148" s="13" t="s">
        <v>807</v>
      </c>
      <c r="G148" s="13" t="s">
        <v>808</v>
      </c>
      <c r="H148" s="14"/>
      <c r="I148" s="15">
        <v>0.0</v>
      </c>
      <c r="J148" s="15">
        <v>0.0</v>
      </c>
      <c r="K148" s="12" t="str">
        <f>HYPERLINK("https://www.hootsuite.com","Hootsuite Inc.")</f>
        <v>Hootsuite Inc.</v>
      </c>
      <c r="L148" s="16">
        <v>22.0</v>
      </c>
      <c r="M148" s="16">
        <v>11.0</v>
      </c>
      <c r="N148" s="16">
        <v>1.0</v>
      </c>
      <c r="O148" s="17"/>
      <c r="P148" s="18">
        <v>42467.64606481481</v>
      </c>
      <c r="Q148" s="1" t="s">
        <v>809</v>
      </c>
      <c r="R148" s="1" t="s">
        <v>810</v>
      </c>
      <c r="S148" s="13" t="s">
        <v>811</v>
      </c>
      <c r="T148" s="14"/>
      <c r="U148" s="19" t="str">
        <f>HYPERLINK("https://pbs.twimg.com/profile_images/1082388519937466368/Foa0EDQ3.jpg","View")</f>
        <v>View</v>
      </c>
      <c r="V148" s="14"/>
      <c r="W148" s="14"/>
      <c r="X148" s="14"/>
      <c r="Y148" s="14"/>
      <c r="Z148" s="14"/>
    </row>
    <row r="149">
      <c r="A149" s="11">
        <v>43848.474375000005</v>
      </c>
      <c r="B149" s="12" t="str">
        <f>HYPERLINK("https://twitter.com/naturalhealthbl","@naturalhealthbl")</f>
        <v>@naturalhealthbl</v>
      </c>
      <c r="C149" s="1" t="s">
        <v>259</v>
      </c>
      <c r="D149" s="1" t="s">
        <v>812</v>
      </c>
      <c r="E149" s="12" t="str">
        <f>HYPERLINK("https://twitter.com/naturalhealthbl/status/1218569512661979137","1218569512661979137")</f>
        <v>1218569512661979137</v>
      </c>
      <c r="F149" s="13" t="s">
        <v>813</v>
      </c>
      <c r="G149" s="14"/>
      <c r="H149" s="14"/>
      <c r="I149" s="15">
        <v>0.0</v>
      </c>
      <c r="J149" s="15">
        <v>0.0</v>
      </c>
      <c r="K149" s="12" t="str">
        <f>HYPERLINK("https://mobile.twitter.com","Twitter Web App")</f>
        <v>Twitter Web App</v>
      </c>
      <c r="L149" s="16">
        <v>1793.0</v>
      </c>
      <c r="M149" s="16">
        <v>1569.0</v>
      </c>
      <c r="N149" s="16">
        <v>180.0</v>
      </c>
      <c r="O149" s="17"/>
      <c r="P149" s="18">
        <v>41475.38408564815</v>
      </c>
      <c r="Q149" s="1" t="s">
        <v>263</v>
      </c>
      <c r="R149" s="1" t="s">
        <v>264</v>
      </c>
      <c r="S149" s="13" t="s">
        <v>265</v>
      </c>
      <c r="T149" s="14"/>
      <c r="U149" s="19" t="str">
        <f>HYPERLINK("https://pbs.twimg.com/profile_images/1217967343135023105/rnonJTby.jpg","View")</f>
        <v>View</v>
      </c>
      <c r="V149" s="14"/>
      <c r="W149" s="14"/>
      <c r="X149" s="14"/>
      <c r="Y149" s="14"/>
      <c r="Z149" s="14"/>
    </row>
    <row r="150">
      <c r="A150" s="11">
        <v>43848.47226851852</v>
      </c>
      <c r="B150" s="12" t="str">
        <f>HYPERLINK("https://twitter.com/NAMINTX","@NAMINTX")</f>
        <v>@NAMINTX</v>
      </c>
      <c r="C150" s="1" t="s">
        <v>814</v>
      </c>
      <c r="D150" s="1" t="s">
        <v>815</v>
      </c>
      <c r="E150" s="12" t="str">
        <f>HYPERLINK("https://twitter.com/NAMINTX/status/1218568750951256068","1218568750951256068")</f>
        <v>1218568750951256068</v>
      </c>
      <c r="F150" s="13" t="s">
        <v>816</v>
      </c>
      <c r="G150" s="14"/>
      <c r="H150" s="14"/>
      <c r="I150" s="15">
        <v>1.0</v>
      </c>
      <c r="J150" s="15">
        <v>0.0</v>
      </c>
      <c r="K150" s="12" t="str">
        <f>HYPERLINK("https://www.hootsuite.com","Hootsuite Inc.")</f>
        <v>Hootsuite Inc.</v>
      </c>
      <c r="L150" s="16">
        <v>2077.0</v>
      </c>
      <c r="M150" s="16">
        <v>872.0</v>
      </c>
      <c r="N150" s="16">
        <v>80.0</v>
      </c>
      <c r="O150" s="17"/>
      <c r="P150" s="18">
        <v>40469.66322916667</v>
      </c>
      <c r="Q150" s="1" t="s">
        <v>817</v>
      </c>
      <c r="R150" s="1" t="s">
        <v>818</v>
      </c>
      <c r="S150" s="13" t="s">
        <v>819</v>
      </c>
      <c r="T150" s="14"/>
      <c r="U150" s="19" t="str">
        <f>HYPERLINK("https://pbs.twimg.com/profile_images/1057712630717018113/-6VCgTsK.jpg","View")</f>
        <v>View</v>
      </c>
      <c r="V150" s="14"/>
      <c r="W150" s="14"/>
      <c r="X150" s="14"/>
      <c r="Y150" s="14"/>
      <c r="Z150" s="14"/>
    </row>
    <row r="151">
      <c r="A151" s="11">
        <v>43848.46666666667</v>
      </c>
      <c r="B151" s="12" t="str">
        <f>HYPERLINK("https://twitter.com/HealthyCollier","@HealthyCollier")</f>
        <v>@HealthyCollier</v>
      </c>
      <c r="C151" s="1" t="s">
        <v>820</v>
      </c>
      <c r="D151" s="1" t="s">
        <v>821</v>
      </c>
      <c r="E151" s="12" t="str">
        <f>HYPERLINK("https://twitter.com/HealthyCollier/status/1218566718617944064","1218566718617944064")</f>
        <v>1218566718617944064</v>
      </c>
      <c r="F151" s="14"/>
      <c r="G151" s="13" t="s">
        <v>822</v>
      </c>
      <c r="H151" s="14"/>
      <c r="I151" s="15">
        <v>0.0</v>
      </c>
      <c r="J151" s="15">
        <v>2.0</v>
      </c>
      <c r="K151" s="12" t="str">
        <f>HYPERLINK("https://about.twitter.com/products/tweetdeck","TweetDeck")</f>
        <v>TweetDeck</v>
      </c>
      <c r="L151" s="16">
        <v>608.0</v>
      </c>
      <c r="M151" s="16">
        <v>415.0</v>
      </c>
      <c r="N151" s="16">
        <v>22.0</v>
      </c>
      <c r="O151" s="17"/>
      <c r="P151" s="18">
        <v>42564.66666666667</v>
      </c>
      <c r="Q151" s="14"/>
      <c r="R151" s="1" t="s">
        <v>823</v>
      </c>
      <c r="S151" s="14"/>
      <c r="T151" s="14"/>
      <c r="U151" s="19" t="str">
        <f>HYPERLINK("https://pbs.twimg.com/profile_images/850007006706622467/1h4Rl99v.jpg","View")</f>
        <v>View</v>
      </c>
      <c r="V151" s="14"/>
      <c r="W151" s="14"/>
      <c r="X151" s="14"/>
      <c r="Y151" s="14"/>
      <c r="Z151" s="14"/>
    </row>
    <row r="152">
      <c r="A152" s="11">
        <v>43848.46664351852</v>
      </c>
      <c r="B152" s="12" t="str">
        <f>HYPERLINK("https://twitter.com/KenOkel","@KenOkel")</f>
        <v>@KenOkel</v>
      </c>
      <c r="C152" s="1" t="s">
        <v>41</v>
      </c>
      <c r="D152" s="1" t="s">
        <v>824</v>
      </c>
      <c r="E152" s="12" t="str">
        <f>HYPERLINK("https://twitter.com/KenOkel/status/1218566710158032902","1218566710158032902")</f>
        <v>1218566710158032902</v>
      </c>
      <c r="F152" s="1" t="s">
        <v>825</v>
      </c>
      <c r="G152" s="14"/>
      <c r="H152" s="14"/>
      <c r="I152" s="15">
        <v>0.0</v>
      </c>
      <c r="J152" s="15">
        <v>0.0</v>
      </c>
      <c r="K152" s="12" t="str">
        <f>HYPERLINK("http://www.linkedin.com/","LinkedIn")</f>
        <v>LinkedIn</v>
      </c>
      <c r="L152" s="16">
        <v>603.0</v>
      </c>
      <c r="M152" s="16">
        <v>261.0</v>
      </c>
      <c r="N152" s="16">
        <v>827.0</v>
      </c>
      <c r="O152" s="17"/>
      <c r="P152" s="18">
        <v>39880.78482638889</v>
      </c>
      <c r="Q152" s="1" t="s">
        <v>44</v>
      </c>
      <c r="R152" s="1" t="s">
        <v>45</v>
      </c>
      <c r="S152" s="13" t="s">
        <v>46</v>
      </c>
      <c r="T152" s="14"/>
      <c r="U152" s="19" t="str">
        <f>HYPERLINK("https://pbs.twimg.com/profile_images/805116072785563648/LPXnbxnK.jpg","View")</f>
        <v>View</v>
      </c>
      <c r="V152" s="14"/>
      <c r="W152" s="14"/>
      <c r="X152" s="14"/>
      <c r="Y152" s="14"/>
      <c r="Z152" s="14"/>
    </row>
    <row r="153">
      <c r="A153" s="11">
        <v>43848.46652777778</v>
      </c>
      <c r="B153" s="12" t="str">
        <f>HYPERLINK("https://twitter.com/PolyConundrum","@PolyConundrum")</f>
        <v>@PolyConundrum</v>
      </c>
      <c r="C153" s="1" t="s">
        <v>826</v>
      </c>
      <c r="D153" s="1" t="s">
        <v>827</v>
      </c>
      <c r="E153" s="12" t="str">
        <f>HYPERLINK("https://twitter.com/PolyConundrum/status/1218566668277944322","1218566668277944322")</f>
        <v>1218566668277944322</v>
      </c>
      <c r="F153" s="13" t="s">
        <v>828</v>
      </c>
      <c r="G153" s="13" t="s">
        <v>829</v>
      </c>
      <c r="H153" s="14"/>
      <c r="I153" s="15">
        <v>0.0</v>
      </c>
      <c r="J153" s="15">
        <v>0.0</v>
      </c>
      <c r="K153" s="12" t="str">
        <f>HYPERLINK("http://innerself.com/content/social.html","Jocial")</f>
        <v>Jocial</v>
      </c>
      <c r="L153" s="16">
        <v>1339.0</v>
      </c>
      <c r="M153" s="16">
        <v>1294.0</v>
      </c>
      <c r="N153" s="16">
        <v>123.0</v>
      </c>
      <c r="O153" s="17"/>
      <c r="P153" s="18">
        <v>41353.64335648148</v>
      </c>
      <c r="Q153" s="1" t="s">
        <v>830</v>
      </c>
      <c r="R153" s="1" t="s">
        <v>831</v>
      </c>
      <c r="S153" s="13" t="s">
        <v>832</v>
      </c>
      <c r="T153" s="14"/>
      <c r="U153" s="19" t="str">
        <f>HYPERLINK("https://pbs.twimg.com/profile_images/734517371222827008/kWmnbPYS.jpg","View")</f>
        <v>View</v>
      </c>
      <c r="V153" s="14"/>
      <c r="W153" s="14"/>
      <c r="X153" s="14"/>
      <c r="Y153" s="14"/>
      <c r="Z153" s="14"/>
    </row>
    <row r="154">
      <c r="A154" s="11">
        <v>43848.466516203705</v>
      </c>
      <c r="B154" s="12" t="str">
        <f>HYPERLINK("https://twitter.com/InnerSelfcom","@InnerSelfcom")</f>
        <v>@InnerSelfcom</v>
      </c>
      <c r="C154" s="13" t="s">
        <v>833</v>
      </c>
      <c r="D154" s="1" t="s">
        <v>827</v>
      </c>
      <c r="E154" s="12" t="str">
        <f>HYPERLINK("https://twitter.com/InnerSelfcom/status/1218566663702024192","1218566663702024192")</f>
        <v>1218566663702024192</v>
      </c>
      <c r="F154" s="13" t="s">
        <v>828</v>
      </c>
      <c r="G154" s="13" t="s">
        <v>834</v>
      </c>
      <c r="H154" s="14"/>
      <c r="I154" s="15">
        <v>0.0</v>
      </c>
      <c r="J154" s="15">
        <v>0.0</v>
      </c>
      <c r="K154" s="12" t="str">
        <f>HYPERLINK("https://innerself.com/content","InnerSelfcom")</f>
        <v>InnerSelfcom</v>
      </c>
      <c r="L154" s="16">
        <v>2680.0</v>
      </c>
      <c r="M154" s="16">
        <v>2592.0</v>
      </c>
      <c r="N154" s="16">
        <v>309.0</v>
      </c>
      <c r="O154" s="17"/>
      <c r="P154" s="18">
        <v>40544.860300925924</v>
      </c>
      <c r="Q154" s="1" t="s">
        <v>830</v>
      </c>
      <c r="R154" s="1" t="s">
        <v>835</v>
      </c>
      <c r="S154" s="13" t="s">
        <v>836</v>
      </c>
      <c r="T154" s="14"/>
      <c r="U154" s="19" t="str">
        <f>HYPERLINK("https://pbs.twimg.com/profile_images/554419299712892928/Z_KvUo-W.png","View")</f>
        <v>View</v>
      </c>
      <c r="V154" s="14"/>
      <c r="W154" s="14"/>
      <c r="X154" s="14"/>
      <c r="Y154" s="14"/>
      <c r="Z154" s="14"/>
    </row>
    <row r="155">
      <c r="A155" s="11">
        <v>43848.463217592594</v>
      </c>
      <c r="B155" s="12" t="str">
        <f>HYPERLINK("https://twitter.com/PacPayroll","@PacPayroll")</f>
        <v>@PacPayroll</v>
      </c>
      <c r="C155" s="1" t="s">
        <v>837</v>
      </c>
      <c r="D155" s="1" t="s">
        <v>838</v>
      </c>
      <c r="E155" s="12" t="str">
        <f>HYPERLINK("https://twitter.com/PacPayroll/status/1218565470284107776","1218565470284107776")</f>
        <v>1218565470284107776</v>
      </c>
      <c r="F155" s="13" t="s">
        <v>839</v>
      </c>
      <c r="G155" s="13" t="s">
        <v>840</v>
      </c>
      <c r="H155" s="14"/>
      <c r="I155" s="15">
        <v>0.0</v>
      </c>
      <c r="J155" s="15">
        <v>0.0</v>
      </c>
      <c r="K155" s="12" t="str">
        <f>HYPERLINK("https://buffer.com","Buffer")</f>
        <v>Buffer</v>
      </c>
      <c r="L155" s="16">
        <v>341.0</v>
      </c>
      <c r="M155" s="16">
        <v>319.0</v>
      </c>
      <c r="N155" s="16">
        <v>7.0</v>
      </c>
      <c r="O155" s="17"/>
      <c r="P155" s="18">
        <v>43068.565520833334</v>
      </c>
      <c r="Q155" s="1" t="s">
        <v>841</v>
      </c>
      <c r="R155" s="1" t="s">
        <v>842</v>
      </c>
      <c r="S155" s="13" t="s">
        <v>843</v>
      </c>
      <c r="T155" s="14"/>
      <c r="U155" s="19" t="str">
        <f>HYPERLINK("https://pbs.twimg.com/profile_images/935942695586955264/-RSN8PzM.jpg","View")</f>
        <v>View</v>
      </c>
      <c r="V155" s="14"/>
      <c r="W155" s="14"/>
      <c r="X155" s="14"/>
      <c r="Y155" s="14"/>
      <c r="Z155" s="14"/>
    </row>
    <row r="156">
      <c r="A156" s="11">
        <v>43848.4591087963</v>
      </c>
      <c r="B156" s="12" t="str">
        <f>HYPERLINK("https://twitter.com/WisdomQuotesMM","@WisdomQuotesMM")</f>
        <v>@WisdomQuotesMM</v>
      </c>
      <c r="C156" s="1" t="s">
        <v>844</v>
      </c>
      <c r="D156" s="1" t="s">
        <v>845</v>
      </c>
      <c r="E156" s="12" t="str">
        <f>HYPERLINK("https://twitter.com/WisdomQuotesMM/status/1218563982203768834","1218563982203768834")</f>
        <v>1218563982203768834</v>
      </c>
      <c r="F156" s="1" t="s">
        <v>846</v>
      </c>
      <c r="G156" s="14"/>
      <c r="H156" s="14"/>
      <c r="I156" s="15">
        <v>6.0</v>
      </c>
      <c r="J156" s="15">
        <v>14.0</v>
      </c>
      <c r="K156" s="12" t="str">
        <f>HYPERLINK("https://metricool.com","Metricool")</f>
        <v>Metricool</v>
      </c>
      <c r="L156" s="16">
        <v>483.0</v>
      </c>
      <c r="M156" s="16">
        <v>31.0</v>
      </c>
      <c r="N156" s="16">
        <v>2.0</v>
      </c>
      <c r="O156" s="17"/>
      <c r="P156" s="18">
        <v>43792.50886574074</v>
      </c>
      <c r="Q156" s="1" t="s">
        <v>847</v>
      </c>
      <c r="R156" s="1" t="s">
        <v>848</v>
      </c>
      <c r="S156" s="13" t="s">
        <v>849</v>
      </c>
      <c r="T156" s="14"/>
      <c r="U156" s="19" t="str">
        <f>HYPERLINK("https://pbs.twimg.com/profile_images/1198288436349865985/D_x9O0Np.jpg","View")</f>
        <v>View</v>
      </c>
      <c r="V156" s="14"/>
      <c r="W156" s="14"/>
      <c r="X156" s="14"/>
      <c r="Y156" s="14"/>
      <c r="Z156" s="14"/>
    </row>
    <row r="157">
      <c r="A157" s="11">
        <v>43848.45903935185</v>
      </c>
      <c r="B157" s="12" t="str">
        <f>HYPERLINK("https://twitter.com/NWBoroughsNHS","@NWBoroughsNHS")</f>
        <v>@NWBoroughsNHS</v>
      </c>
      <c r="C157" s="1" t="s">
        <v>850</v>
      </c>
      <c r="D157" s="1" t="s">
        <v>851</v>
      </c>
      <c r="E157" s="12" t="str">
        <f>HYPERLINK("https://twitter.com/NWBoroughsNHS/status/1218563956106833921","1218563956106833921")</f>
        <v>1218563956106833921</v>
      </c>
      <c r="F157" s="13" t="s">
        <v>852</v>
      </c>
      <c r="G157" s="13" t="s">
        <v>853</v>
      </c>
      <c r="H157" s="14"/>
      <c r="I157" s="15">
        <v>1.0</v>
      </c>
      <c r="J157" s="15">
        <v>2.0</v>
      </c>
      <c r="K157" s="12" t="str">
        <f>HYPERLINK("https://www.hootsuite.com","Hootsuite Inc.")</f>
        <v>Hootsuite Inc.</v>
      </c>
      <c r="L157" s="16">
        <v>9199.0</v>
      </c>
      <c r="M157" s="16">
        <v>888.0</v>
      </c>
      <c r="N157" s="16">
        <v>230.0</v>
      </c>
      <c r="O157" s="17"/>
      <c r="P157" s="18">
        <v>40434.430555555555</v>
      </c>
      <c r="Q157" s="1" t="s">
        <v>854</v>
      </c>
      <c r="R157" s="1" t="s">
        <v>855</v>
      </c>
      <c r="S157" s="13" t="s">
        <v>856</v>
      </c>
      <c r="T157" s="14"/>
      <c r="U157" s="19" t="str">
        <f>HYPERLINK("https://pbs.twimg.com/profile_images/1108392009260322816/10pBQpCY.png","View")</f>
        <v>View</v>
      </c>
      <c r="V157" s="14"/>
      <c r="W157" s="14"/>
      <c r="X157" s="14"/>
      <c r="Y157" s="14"/>
      <c r="Z157" s="14"/>
    </row>
    <row r="158">
      <c r="A158" s="11">
        <v>43848.45900462963</v>
      </c>
      <c r="B158" s="12" t="str">
        <f>HYPERLINK("https://twitter.com/DaltonJNull","@DaltonJNull")</f>
        <v>@DaltonJNull</v>
      </c>
      <c r="C158" s="1" t="s">
        <v>857</v>
      </c>
      <c r="D158" s="1" t="s">
        <v>858</v>
      </c>
      <c r="E158" s="12" t="str">
        <f>HYPERLINK("https://twitter.com/DaltonJNull/status/1218563944039604225","1218563944039604225")</f>
        <v>1218563944039604225</v>
      </c>
      <c r="F158" s="13" t="s">
        <v>859</v>
      </c>
      <c r="G158" s="14"/>
      <c r="H158" s="14"/>
      <c r="I158" s="15">
        <v>0.0</v>
      </c>
      <c r="J158" s="15">
        <v>0.0</v>
      </c>
      <c r="K158" s="12" t="str">
        <f>HYPERLINK("http://instagram.com","Instagram")</f>
        <v>Instagram</v>
      </c>
      <c r="L158" s="16">
        <v>557.0</v>
      </c>
      <c r="M158" s="16">
        <v>2118.0</v>
      </c>
      <c r="N158" s="16">
        <v>0.0</v>
      </c>
      <c r="O158" s="17"/>
      <c r="P158" s="18">
        <v>40921.70759259259</v>
      </c>
      <c r="Q158" s="1" t="s">
        <v>860</v>
      </c>
      <c r="R158" s="1" t="s">
        <v>861</v>
      </c>
      <c r="S158" s="14"/>
      <c r="T158" s="14"/>
      <c r="U158" s="19" t="str">
        <f>HYPERLINK("https://pbs.twimg.com/profile_images/754852976850669568/TpfG9ys9.jpg","View")</f>
        <v>View</v>
      </c>
      <c r="V158" s="14"/>
      <c r="W158" s="14"/>
      <c r="X158" s="14"/>
      <c r="Y158" s="14"/>
      <c r="Z158" s="14"/>
    </row>
    <row r="159">
      <c r="A159" s="11">
        <v>43848.45834490741</v>
      </c>
      <c r="B159" s="12" t="str">
        <f>HYPERLINK("https://twitter.com/SaltSenseUK","@SaltSenseUK")</f>
        <v>@SaltSenseUK</v>
      </c>
      <c r="C159" s="1" t="s">
        <v>862</v>
      </c>
      <c r="D159" s="1" t="s">
        <v>863</v>
      </c>
      <c r="E159" s="12" t="str">
        <f>HYPERLINK("https://twitter.com/SaltSenseUK/status/1218563702129078273","1218563702129078273")</f>
        <v>1218563702129078273</v>
      </c>
      <c r="F159" s="14"/>
      <c r="G159" s="14"/>
      <c r="H159" s="14"/>
      <c r="I159" s="15">
        <v>0.0</v>
      </c>
      <c r="J159" s="15">
        <v>0.0</v>
      </c>
      <c r="K159" s="12" t="str">
        <f>HYPERLINK("https://www.contentcal.io","ContentCal Studio")</f>
        <v>ContentCal Studio</v>
      </c>
      <c r="L159" s="16">
        <v>2124.0</v>
      </c>
      <c r="M159" s="16">
        <v>1047.0</v>
      </c>
      <c r="N159" s="16">
        <v>23.0</v>
      </c>
      <c r="O159" s="17"/>
      <c r="P159" s="18">
        <v>41045.26390046296</v>
      </c>
      <c r="Q159" s="1" t="s">
        <v>864</v>
      </c>
      <c r="R159" s="1" t="s">
        <v>865</v>
      </c>
      <c r="S159" s="13" t="s">
        <v>866</v>
      </c>
      <c r="T159" s="14"/>
      <c r="U159" s="19" t="str">
        <f>HYPERLINK("https://pbs.twimg.com/profile_images/2579375464/3f40pt71g5qs6a54a9el.jpeg","View")</f>
        <v>View</v>
      </c>
      <c r="V159" s="14"/>
      <c r="W159" s="14"/>
      <c r="X159" s="14"/>
      <c r="Y159" s="14"/>
      <c r="Z159" s="14"/>
    </row>
    <row r="160">
      <c r="A160" s="11">
        <v>43848.45763888889</v>
      </c>
      <c r="B160" s="12" t="str">
        <f>HYPERLINK("https://twitter.com/Brillianto_GI","@Brillianto_GI")</f>
        <v>@Brillianto_GI</v>
      </c>
      <c r="C160" s="1" t="s">
        <v>867</v>
      </c>
      <c r="D160" s="1" t="s">
        <v>868</v>
      </c>
      <c r="E160" s="12" t="str">
        <f>HYPERLINK("https://twitter.com/Brillianto_GI/status/1218563447157350401","1218563447157350401")</f>
        <v>1218563447157350401</v>
      </c>
      <c r="F160" s="13" t="s">
        <v>869</v>
      </c>
      <c r="G160" s="14"/>
      <c r="H160" s="14"/>
      <c r="I160" s="15">
        <v>0.0</v>
      </c>
      <c r="J160" s="15">
        <v>0.0</v>
      </c>
      <c r="K160" s="12" t="str">
        <f>HYPERLINK("https://about.twitter.com/products/tweetdeck","TweetDeck")</f>
        <v>TweetDeck</v>
      </c>
      <c r="L160" s="16">
        <v>5559.0</v>
      </c>
      <c r="M160" s="16">
        <v>3317.0</v>
      </c>
      <c r="N160" s="16">
        <v>185.0</v>
      </c>
      <c r="O160" s="17"/>
      <c r="P160" s="18">
        <v>41726.70417824074</v>
      </c>
      <c r="Q160" s="1" t="s">
        <v>870</v>
      </c>
      <c r="R160" s="1" t="s">
        <v>871</v>
      </c>
      <c r="S160" s="13" t="s">
        <v>872</v>
      </c>
      <c r="T160" s="14"/>
      <c r="U160" s="19" t="str">
        <f>HYPERLINK("https://pbs.twimg.com/profile_images/449655017339772928/ZpzEcIdI.jpeg","View")</f>
        <v>View</v>
      </c>
      <c r="V160" s="14"/>
      <c r="W160" s="14"/>
      <c r="X160" s="14"/>
      <c r="Y160" s="14"/>
      <c r="Z160" s="14"/>
    </row>
    <row r="161">
      <c r="A161" s="11">
        <v>43848.456504629634</v>
      </c>
      <c r="B161" s="12" t="str">
        <f>HYPERLINK("https://twitter.com/RealtyMarilyn","@RealtyMarilyn")</f>
        <v>@RealtyMarilyn</v>
      </c>
      <c r="C161" s="1" t="s">
        <v>873</v>
      </c>
      <c r="D161" s="1" t="s">
        <v>874</v>
      </c>
      <c r="E161" s="12" t="str">
        <f>HYPERLINK("https://twitter.com/RealtyMarilyn/status/1218563036941901825","1218563036941901825")</f>
        <v>1218563036941901825</v>
      </c>
      <c r="F161" s="13" t="s">
        <v>875</v>
      </c>
      <c r="G161" s="13" t="s">
        <v>876</v>
      </c>
      <c r="H161" s="14"/>
      <c r="I161" s="15">
        <v>0.0</v>
      </c>
      <c r="J161" s="15">
        <v>0.0</v>
      </c>
      <c r="K161" s="12" t="str">
        <f>HYPERLINK("https://www.corelistingmachine.com/","CORE ListingMachine")</f>
        <v>CORE ListingMachine</v>
      </c>
      <c r="L161" s="16">
        <v>0.0</v>
      </c>
      <c r="M161" s="16">
        <v>6.0</v>
      </c>
      <c r="N161" s="16">
        <v>0.0</v>
      </c>
      <c r="O161" s="17"/>
      <c r="P161" s="18">
        <v>43811.78556712963</v>
      </c>
      <c r="Q161" s="14"/>
      <c r="R161" s="14"/>
      <c r="S161" s="14"/>
      <c r="T161" s="14"/>
      <c r="U161" s="19" t="str">
        <f>HYPERLINK("https://pbs.twimg.com/profile_images/1211112902691827712/4c1WPqRg.jpg","View")</f>
        <v>View</v>
      </c>
      <c r="V161" s="14"/>
      <c r="W161" s="14"/>
      <c r="X161" s="14"/>
      <c r="Y161" s="14"/>
      <c r="Z161" s="14"/>
    </row>
    <row r="162">
      <c r="A162" s="11">
        <v>43848.45138888889</v>
      </c>
      <c r="B162" s="12" t="str">
        <f>HYPERLINK("https://twitter.com/TrainingMindful","@TrainingMindful")</f>
        <v>@TrainingMindful</v>
      </c>
      <c r="C162" s="1" t="s">
        <v>94</v>
      </c>
      <c r="D162" s="1" t="s">
        <v>877</v>
      </c>
      <c r="E162" s="12" t="str">
        <f>HYPERLINK("https://twitter.com/TrainingMindful/status/1218561183621505024","1218561183621505024")</f>
        <v>1218561183621505024</v>
      </c>
      <c r="F162" s="13" t="s">
        <v>878</v>
      </c>
      <c r="G162" s="14"/>
      <c r="H162" s="14"/>
      <c r="I162" s="15">
        <v>0.0</v>
      </c>
      <c r="J162" s="15">
        <v>1.0</v>
      </c>
      <c r="K162" s="12" t="str">
        <f>HYPERLINK("https://www.socialoomph.com","SocialOomph")</f>
        <v>SocialOomph</v>
      </c>
      <c r="L162" s="16">
        <v>185303.0</v>
      </c>
      <c r="M162" s="16">
        <v>43980.0</v>
      </c>
      <c r="N162" s="16">
        <v>2800.0</v>
      </c>
      <c r="O162" s="17"/>
      <c r="P162" s="18">
        <v>41286.039305555554</v>
      </c>
      <c r="Q162" s="1" t="s">
        <v>97</v>
      </c>
      <c r="R162" s="1" t="s">
        <v>98</v>
      </c>
      <c r="S162" s="13" t="s">
        <v>99</v>
      </c>
      <c r="T162" s="14"/>
      <c r="U162" s="19" t="str">
        <f>HYPERLINK("https://pbs.twimg.com/profile_images/566526924059459584/gdMxDA9x.jpeg","View")</f>
        <v>View</v>
      </c>
      <c r="V162" s="14"/>
      <c r="W162" s="14"/>
      <c r="X162" s="14"/>
      <c r="Y162" s="14"/>
      <c r="Z162" s="14"/>
    </row>
    <row r="163">
      <c r="A163" s="11">
        <v>43848.447650462964</v>
      </c>
      <c r="B163" s="12" t="str">
        <f>HYPERLINK("https://twitter.com/elly_chapple","@elly_chapple")</f>
        <v>@elly_chapple</v>
      </c>
      <c r="C163" s="1" t="s">
        <v>879</v>
      </c>
      <c r="D163" s="1" t="s">
        <v>880</v>
      </c>
      <c r="E163" s="12" t="str">
        <f>HYPERLINK("https://twitter.com/elly_chapple/status/1218559828127252484","1218559828127252484")</f>
        <v>1218559828127252484</v>
      </c>
      <c r="F163" s="1" t="s">
        <v>881</v>
      </c>
      <c r="G163" s="14"/>
      <c r="H163" s="14"/>
      <c r="I163" s="15">
        <v>3.0</v>
      </c>
      <c r="J163" s="15">
        <v>4.0</v>
      </c>
      <c r="K163" s="12" t="str">
        <f t="shared" ref="K163:K164" si="15">HYPERLINK("http://twitter.com/download/android","Twitter for Android")</f>
        <v>Twitter for Android</v>
      </c>
      <c r="L163" s="16">
        <v>7278.0</v>
      </c>
      <c r="M163" s="16">
        <v>5341.0</v>
      </c>
      <c r="N163" s="16">
        <v>42.0</v>
      </c>
      <c r="O163" s="17"/>
      <c r="P163" s="18">
        <v>43021.31917824074</v>
      </c>
      <c r="Q163" s="1" t="s">
        <v>882</v>
      </c>
      <c r="R163" s="1" t="s">
        <v>883</v>
      </c>
      <c r="S163" s="13" t="s">
        <v>884</v>
      </c>
      <c r="T163" s="14"/>
      <c r="U163" s="19" t="str">
        <f>HYPERLINK("https://pbs.twimg.com/profile_images/1150025453652127744/enm8OmQJ.jpg","View")</f>
        <v>View</v>
      </c>
      <c r="V163" s="14"/>
      <c r="W163" s="14"/>
      <c r="X163" s="14"/>
      <c r="Y163" s="14"/>
      <c r="Z163" s="14"/>
    </row>
    <row r="164">
      <c r="A164" s="11">
        <v>43848.44646990741</v>
      </c>
      <c r="B164" s="12" t="str">
        <f>HYPERLINK("https://twitter.com/Yokkkk46914160","@Yokkkk46914160")</f>
        <v>@Yokkkk46914160</v>
      </c>
      <c r="C164" s="1" t="s">
        <v>885</v>
      </c>
      <c r="D164" s="1" t="s">
        <v>886</v>
      </c>
      <c r="E164" s="12" t="str">
        <f>HYPERLINK("https://twitter.com/Yokkkk46914160/status/1218559401772011522","1218559401772011522")</f>
        <v>1218559401772011522</v>
      </c>
      <c r="F164" s="14"/>
      <c r="G164" s="14"/>
      <c r="H164" s="14"/>
      <c r="I164" s="15">
        <v>0.0</v>
      </c>
      <c r="J164" s="15">
        <v>1.0</v>
      </c>
      <c r="K164" s="12" t="str">
        <f t="shared" si="15"/>
        <v>Twitter for Android</v>
      </c>
      <c r="L164" s="16">
        <v>26.0</v>
      </c>
      <c r="M164" s="16">
        <v>388.0</v>
      </c>
      <c r="N164" s="16">
        <v>0.0</v>
      </c>
      <c r="O164" s="17"/>
      <c r="P164" s="18">
        <v>43635.4594212963</v>
      </c>
      <c r="Q164" s="14"/>
      <c r="R164" s="1" t="s">
        <v>887</v>
      </c>
      <c r="S164" s="14"/>
      <c r="T164" s="14"/>
      <c r="U164" s="19" t="str">
        <f>HYPERLINK("https://pbs.twimg.com/profile_images/1194553073479274496/gZBPc4xi.jpg","View")</f>
        <v>View</v>
      </c>
      <c r="V164" s="14"/>
      <c r="W164" s="14"/>
      <c r="X164" s="14"/>
      <c r="Y164" s="14"/>
      <c r="Z164" s="14"/>
    </row>
    <row r="165">
      <c r="A165" s="11">
        <v>43848.4375</v>
      </c>
      <c r="B165" s="12" t="str">
        <f>HYPERLINK("https://twitter.com/niharikaverma95","@niharikaverma95")</f>
        <v>@niharikaverma95</v>
      </c>
      <c r="C165" s="1" t="s">
        <v>888</v>
      </c>
      <c r="D165" s="1" t="s">
        <v>889</v>
      </c>
      <c r="E165" s="12" t="str">
        <f>HYPERLINK("https://twitter.com/niharikaverma95/status/1218556151639482368","1218556151639482368")</f>
        <v>1218556151639482368</v>
      </c>
      <c r="F165" s="13" t="s">
        <v>890</v>
      </c>
      <c r="G165" s="14"/>
      <c r="H165" s="14"/>
      <c r="I165" s="15">
        <v>0.0</v>
      </c>
      <c r="J165" s="15">
        <v>0.0</v>
      </c>
      <c r="K165" s="12" t="str">
        <f>HYPERLINK("https://buffer.com","Buffer")</f>
        <v>Buffer</v>
      </c>
      <c r="L165" s="16">
        <v>847.0</v>
      </c>
      <c r="M165" s="16">
        <v>142.0</v>
      </c>
      <c r="N165" s="16">
        <v>61.0</v>
      </c>
      <c r="O165" s="17"/>
      <c r="P165" s="18">
        <v>42542.06670138889</v>
      </c>
      <c r="Q165" s="1" t="s">
        <v>891</v>
      </c>
      <c r="R165" s="1" t="s">
        <v>892</v>
      </c>
      <c r="S165" s="13" t="s">
        <v>893</v>
      </c>
      <c r="T165" s="14"/>
      <c r="U165" s="19" t="str">
        <f>HYPERLINK("https://pbs.twimg.com/profile_images/1218631112752160768/smL-X6Vx.jpg","View")</f>
        <v>View</v>
      </c>
      <c r="V165" s="14"/>
      <c r="W165" s="14"/>
      <c r="X165" s="14"/>
      <c r="Y165" s="14"/>
      <c r="Z165" s="14"/>
    </row>
    <row r="166">
      <c r="A166" s="11">
        <v>43848.433483796296</v>
      </c>
      <c r="B166" s="12" t="str">
        <f>HYPERLINK("https://twitter.com/hearthandmadeuk","@hearthandmadeuk")</f>
        <v>@hearthandmadeuk</v>
      </c>
      <c r="C166" s="1" t="s">
        <v>894</v>
      </c>
      <c r="D166" s="1" t="s">
        <v>895</v>
      </c>
      <c r="E166" s="12" t="str">
        <f>HYPERLINK("https://twitter.com/hearthandmadeuk/status/1218554692977950721","1218554692977950721")</f>
        <v>1218554692977950721</v>
      </c>
      <c r="F166" s="13" t="s">
        <v>896</v>
      </c>
      <c r="G166" s="13" t="s">
        <v>897</v>
      </c>
      <c r="H166" s="14"/>
      <c r="I166" s="15">
        <v>0.0</v>
      </c>
      <c r="J166" s="15">
        <v>0.0</v>
      </c>
      <c r="K166" s="12" t="str">
        <f>HYPERLINK("https://missinglettr.com","Missinglettr")</f>
        <v>Missinglettr</v>
      </c>
      <c r="L166" s="16">
        <v>5257.0</v>
      </c>
      <c r="M166" s="16">
        <v>1163.0</v>
      </c>
      <c r="N166" s="16">
        <v>166.0</v>
      </c>
      <c r="O166" s="17"/>
      <c r="P166" s="18">
        <v>40246.384247685186</v>
      </c>
      <c r="Q166" s="1" t="s">
        <v>898</v>
      </c>
      <c r="R166" s="1" t="s">
        <v>899</v>
      </c>
      <c r="S166" s="13" t="s">
        <v>900</v>
      </c>
      <c r="T166" s="14"/>
      <c r="U166" s="19" t="str">
        <f>HYPERLINK("https://pbs.twimg.com/profile_images/1096057274760683521/Bog751sc.png","View")</f>
        <v>View</v>
      </c>
      <c r="V166" s="14"/>
      <c r="W166" s="14"/>
      <c r="X166" s="14"/>
      <c r="Y166" s="14"/>
      <c r="Z166" s="14"/>
    </row>
    <row r="167">
      <c r="A167" s="11">
        <v>43848.429247685184</v>
      </c>
      <c r="B167" s="12" t="str">
        <f>HYPERLINK("https://twitter.com/DrFeliceGersh","@DrFeliceGersh")</f>
        <v>@DrFeliceGersh</v>
      </c>
      <c r="C167" s="1" t="s">
        <v>901</v>
      </c>
      <c r="D167" s="1" t="s">
        <v>902</v>
      </c>
      <c r="E167" s="12" t="str">
        <f>HYPERLINK("https://twitter.com/DrFeliceGersh/status/1218553158172954625","1218553158172954625")</f>
        <v>1218553158172954625</v>
      </c>
      <c r="F167" s="14"/>
      <c r="G167" s="14"/>
      <c r="H167" s="14"/>
      <c r="I167" s="15">
        <v>0.0</v>
      </c>
      <c r="J167" s="15">
        <v>1.0</v>
      </c>
      <c r="K167" s="12" t="str">
        <f>HYPERLINK("http://twitter.com/download/iphone","Twitter for iPhone")</f>
        <v>Twitter for iPhone</v>
      </c>
      <c r="L167" s="16">
        <v>8037.0</v>
      </c>
      <c r="M167" s="16">
        <v>3096.0</v>
      </c>
      <c r="N167" s="16">
        <v>73.0</v>
      </c>
      <c r="O167" s="17"/>
      <c r="P167" s="18">
        <v>42178.71329861111</v>
      </c>
      <c r="Q167" s="1" t="s">
        <v>903</v>
      </c>
      <c r="R167" s="1" t="s">
        <v>904</v>
      </c>
      <c r="S167" s="13" t="s">
        <v>905</v>
      </c>
      <c r="T167" s="14"/>
      <c r="U167" s="19" t="str">
        <f>HYPERLINK("https://pbs.twimg.com/profile_images/899387791267708928/RtRa8K1O.jpg","View")</f>
        <v>View</v>
      </c>
      <c r="V167" s="14"/>
      <c r="W167" s="14"/>
      <c r="X167" s="14"/>
      <c r="Y167" s="14"/>
      <c r="Z167" s="14"/>
    </row>
    <row r="168">
      <c r="A168" s="11">
        <v>43848.42673611111</v>
      </c>
      <c r="B168" s="12" t="str">
        <f>HYPERLINK("https://twitter.com/fbinaanj","@fbinaanj")</f>
        <v>@fbinaanj</v>
      </c>
      <c r="C168" s="1" t="s">
        <v>906</v>
      </c>
      <c r="D168" s="1" t="s">
        <v>907</v>
      </c>
      <c r="E168" s="12" t="str">
        <f>HYPERLINK("https://twitter.com/fbinaanj/status/1218552247514226691","1218552247514226691")</f>
        <v>1218552247514226691</v>
      </c>
      <c r="F168" s="1" t="s">
        <v>908</v>
      </c>
      <c r="G168" s="13" t="s">
        <v>909</v>
      </c>
      <c r="H168" s="14"/>
      <c r="I168" s="15">
        <v>1.0</v>
      </c>
      <c r="J168" s="15">
        <v>0.0</v>
      </c>
      <c r="K168" s="12" t="str">
        <f>HYPERLINK("http://twitter.com/download/android","Twitter for Android")</f>
        <v>Twitter for Android</v>
      </c>
      <c r="L168" s="16">
        <v>54.0</v>
      </c>
      <c r="M168" s="16">
        <v>176.0</v>
      </c>
      <c r="N168" s="16">
        <v>0.0</v>
      </c>
      <c r="O168" s="17"/>
      <c r="P168" s="18">
        <v>43836.54253472222</v>
      </c>
      <c r="Q168" s="1" t="s">
        <v>108</v>
      </c>
      <c r="R168" s="1" t="s">
        <v>910</v>
      </c>
      <c r="S168" s="13" t="s">
        <v>911</v>
      </c>
      <c r="T168" s="14"/>
      <c r="U168" s="19" t="str">
        <f>HYPERLINK("https://pbs.twimg.com/profile_images/1214245743722160128/BKUTR6IK.png","View")</f>
        <v>View</v>
      </c>
      <c r="V168" s="14"/>
      <c r="W168" s="14"/>
      <c r="X168" s="14"/>
      <c r="Y168" s="14"/>
      <c r="Z168" s="14"/>
    </row>
    <row r="169">
      <c r="A169" s="11">
        <v>43848.42570601852</v>
      </c>
      <c r="B169" s="12" t="str">
        <f>HYPERLINK("https://twitter.com/snowfrogdev","@snowfrogdev")</f>
        <v>@snowfrogdev</v>
      </c>
      <c r="C169" s="1" t="s">
        <v>912</v>
      </c>
      <c r="D169" s="1" t="s">
        <v>913</v>
      </c>
      <c r="E169" s="12" t="str">
        <f>HYPERLINK("https://twitter.com/snowfrogdev/status/1218551875940823045","1218551875940823045")</f>
        <v>1218551875940823045</v>
      </c>
      <c r="F169" s="13" t="s">
        <v>914</v>
      </c>
      <c r="G169" s="14"/>
      <c r="H169" s="14"/>
      <c r="I169" s="15">
        <v>0.0</v>
      </c>
      <c r="J169" s="15">
        <v>1.0</v>
      </c>
      <c r="K169" s="12" t="str">
        <f>HYPERLINK("https://buffer.com","Buffer")</f>
        <v>Buffer</v>
      </c>
      <c r="L169" s="16">
        <v>309.0</v>
      </c>
      <c r="M169" s="16">
        <v>1717.0</v>
      </c>
      <c r="N169" s="16">
        <v>4.0</v>
      </c>
      <c r="O169" s="17"/>
      <c r="P169" s="18">
        <v>43567.49643518518</v>
      </c>
      <c r="Q169" s="1" t="s">
        <v>915</v>
      </c>
      <c r="R169" s="1" t="s">
        <v>916</v>
      </c>
      <c r="S169" s="13" t="s">
        <v>917</v>
      </c>
      <c r="T169" s="14"/>
      <c r="U169" s="19" t="str">
        <f>HYPERLINK("https://pbs.twimg.com/profile_images/1116734133118619648/XRSkKOCw.jpg","View")</f>
        <v>View</v>
      </c>
      <c r="V169" s="14"/>
      <c r="W169" s="14"/>
      <c r="X169" s="14"/>
      <c r="Y169" s="14"/>
      <c r="Z169" s="14"/>
    </row>
    <row r="170">
      <c r="A170" s="11">
        <v>43848.42376157407</v>
      </c>
      <c r="B170" s="12" t="str">
        <f>HYPERLINK("https://twitter.com/DrTanenbaum","@DrTanenbaum")</f>
        <v>@DrTanenbaum</v>
      </c>
      <c r="C170" s="1" t="s">
        <v>918</v>
      </c>
      <c r="D170" s="1" t="s">
        <v>919</v>
      </c>
      <c r="E170" s="12" t="str">
        <f>HYPERLINK("https://twitter.com/DrTanenbaum/status/1218551172006662144","1218551172006662144")</f>
        <v>1218551172006662144</v>
      </c>
      <c r="F170" s="13" t="s">
        <v>920</v>
      </c>
      <c r="G170" s="14"/>
      <c r="H170" s="14"/>
      <c r="I170" s="15">
        <v>0.0</v>
      </c>
      <c r="J170" s="15">
        <v>1.0</v>
      </c>
      <c r="K170" s="12" t="str">
        <f>HYPERLINK("https://www.hootsuite.com","Hootsuite Inc.")</f>
        <v>Hootsuite Inc.</v>
      </c>
      <c r="L170" s="16">
        <v>2496.0</v>
      </c>
      <c r="M170" s="16">
        <v>1363.0</v>
      </c>
      <c r="N170" s="16">
        <v>66.0</v>
      </c>
      <c r="O170" s="17"/>
      <c r="P170" s="18">
        <v>40670.56287037037</v>
      </c>
      <c r="Q170" s="1" t="s">
        <v>921</v>
      </c>
      <c r="R170" s="1" t="s">
        <v>922</v>
      </c>
      <c r="S170" s="13" t="s">
        <v>923</v>
      </c>
      <c r="T170" s="14"/>
      <c r="U170" s="19" t="str">
        <f>HYPERLINK("https://pbs.twimg.com/profile_images/1342984500/Dr_Donald_Tanenbaum.png","View")</f>
        <v>View</v>
      </c>
      <c r="V170" s="14"/>
      <c r="W170" s="14"/>
      <c r="X170" s="14"/>
      <c r="Y170" s="14"/>
      <c r="Z170" s="14"/>
    </row>
    <row r="171">
      <c r="A171" s="11">
        <v>43848.42013888889</v>
      </c>
      <c r="B171" s="12" t="str">
        <f>HYPERLINK("https://twitter.com/svcautopilot","@svcautopilot")</f>
        <v>@svcautopilot</v>
      </c>
      <c r="C171" s="1" t="s">
        <v>924</v>
      </c>
      <c r="D171" s="1" t="s">
        <v>925</v>
      </c>
      <c r="E171" s="12" t="str">
        <f>HYPERLINK("https://twitter.com/svcautopilot/status/1218549857146802177","1218549857146802177")</f>
        <v>1218549857146802177</v>
      </c>
      <c r="F171" s="13" t="s">
        <v>926</v>
      </c>
      <c r="G171" s="13" t="s">
        <v>927</v>
      </c>
      <c r="H171" s="14"/>
      <c r="I171" s="15">
        <v>0.0</v>
      </c>
      <c r="J171" s="15">
        <v>0.0</v>
      </c>
      <c r="K171" s="12" t="str">
        <f>HYPERLINK("http://www.hubspot.com/","HubSpot")</f>
        <v>HubSpot</v>
      </c>
      <c r="L171" s="16">
        <v>778.0</v>
      </c>
      <c r="M171" s="16">
        <v>493.0</v>
      </c>
      <c r="N171" s="16">
        <v>87.0</v>
      </c>
      <c r="O171" s="17"/>
      <c r="P171" s="18">
        <v>40380.50451388889</v>
      </c>
      <c r="Q171" s="1" t="s">
        <v>928</v>
      </c>
      <c r="R171" s="1" t="s">
        <v>929</v>
      </c>
      <c r="S171" s="13" t="s">
        <v>930</v>
      </c>
      <c r="T171" s="14"/>
      <c r="U171" s="19" t="str">
        <f>HYPERLINK("https://pbs.twimg.com/profile_images/805927706957254656/3bMcbE7w.jpg","View")</f>
        <v>View</v>
      </c>
      <c r="V171" s="14"/>
      <c r="W171" s="14"/>
      <c r="X171" s="14"/>
      <c r="Y171" s="14"/>
      <c r="Z171" s="14"/>
    </row>
    <row r="172">
      <c r="A172" s="11">
        <v>43848.41814814815</v>
      </c>
      <c r="B172" s="12" t="str">
        <f>HYPERLINK("https://twitter.com/ThePathOfMe","@ThePathOfMe")</f>
        <v>@ThePathOfMe</v>
      </c>
      <c r="C172" s="1" t="s">
        <v>931</v>
      </c>
      <c r="D172" s="1" t="s">
        <v>932</v>
      </c>
      <c r="E172" s="12" t="str">
        <f>HYPERLINK("https://twitter.com/ThePathOfMe/status/1218549137404309504","1218549137404309504")</f>
        <v>1218549137404309504</v>
      </c>
      <c r="F172" s="13" t="s">
        <v>933</v>
      </c>
      <c r="G172" s="14"/>
      <c r="H172" s="14"/>
      <c r="I172" s="15">
        <v>0.0</v>
      </c>
      <c r="J172" s="15">
        <v>0.0</v>
      </c>
      <c r="K172" s="12" t="str">
        <f>HYPERLINK("https://www.socialoomph.com","SocialOomph")</f>
        <v>SocialOomph</v>
      </c>
      <c r="L172" s="16">
        <v>13129.0</v>
      </c>
      <c r="M172" s="16">
        <v>11638.0</v>
      </c>
      <c r="N172" s="16">
        <v>580.0</v>
      </c>
      <c r="O172" s="17"/>
      <c r="P172" s="18">
        <v>41567.04141203704</v>
      </c>
      <c r="Q172" s="1" t="s">
        <v>934</v>
      </c>
      <c r="R172" s="1" t="s">
        <v>935</v>
      </c>
      <c r="S172" s="13" t="s">
        <v>936</v>
      </c>
      <c r="T172" s="14"/>
      <c r="U172" s="19" t="str">
        <f>HYPERLINK("https://pbs.twimg.com/profile_images/1088560942126952449/0WtZpiss.jpg","View")</f>
        <v>View</v>
      </c>
      <c r="V172" s="14"/>
      <c r="W172" s="14"/>
      <c r="X172" s="14"/>
      <c r="Y172" s="14"/>
      <c r="Z172" s="14"/>
    </row>
    <row r="173">
      <c r="A173" s="11">
        <v>43848.418020833335</v>
      </c>
      <c r="B173" s="12" t="str">
        <f>HYPERLINK("https://twitter.com/OConceptions","@OConceptions")</f>
        <v>@OConceptions</v>
      </c>
      <c r="C173" s="1" t="s">
        <v>937</v>
      </c>
      <c r="D173" s="1" t="s">
        <v>938</v>
      </c>
      <c r="E173" s="12" t="str">
        <f>HYPERLINK("https://twitter.com/OConceptions/status/1218549089408897024","1218549089408897024")</f>
        <v>1218549089408897024</v>
      </c>
      <c r="F173" s="13" t="s">
        <v>939</v>
      </c>
      <c r="G173" s="14"/>
      <c r="H173" s="14"/>
      <c r="I173" s="15">
        <v>0.0</v>
      </c>
      <c r="J173" s="15">
        <v>0.0</v>
      </c>
      <c r="K173" s="12" t="str">
        <f>HYPERLINK("https://www.hootsuite.com","Hootsuite Inc.")</f>
        <v>Hootsuite Inc.</v>
      </c>
      <c r="L173" s="16">
        <v>293.0</v>
      </c>
      <c r="M173" s="16">
        <v>155.0</v>
      </c>
      <c r="N173" s="16">
        <v>2.0</v>
      </c>
      <c r="O173" s="17"/>
      <c r="P173" s="18">
        <v>42431.91024305555</v>
      </c>
      <c r="Q173" s="1" t="s">
        <v>526</v>
      </c>
      <c r="R173" s="1" t="s">
        <v>940</v>
      </c>
      <c r="S173" s="13" t="s">
        <v>941</v>
      </c>
      <c r="T173" s="14"/>
      <c r="U173" s="19" t="str">
        <f>HYPERLINK("https://pbs.twimg.com/profile_images/794904536133632000/bsItxR5U.jpg","View")</f>
        <v>View</v>
      </c>
      <c r="V173" s="14"/>
      <c r="W173" s="14"/>
      <c r="X173" s="14"/>
      <c r="Y173" s="14"/>
      <c r="Z173" s="14"/>
    </row>
    <row r="174">
      <c r="A174" s="11">
        <v>43848.4170949074</v>
      </c>
      <c r="B174" s="12" t="str">
        <f>HYPERLINK("https://twitter.com/oxfordcounselor","@oxfordcounselor")</f>
        <v>@oxfordcounselor</v>
      </c>
      <c r="C174" s="1" t="s">
        <v>942</v>
      </c>
      <c r="D174" s="1" t="s">
        <v>943</v>
      </c>
      <c r="E174" s="12" t="str">
        <f>HYPERLINK("https://twitter.com/oxfordcounselor/status/1218548755005419522","1218548755005419522")</f>
        <v>1218548755005419522</v>
      </c>
      <c r="F174" s="13" t="s">
        <v>944</v>
      </c>
      <c r="G174" s="14"/>
      <c r="H174" s="14"/>
      <c r="I174" s="15">
        <v>0.0</v>
      </c>
      <c r="J174" s="15">
        <v>0.0</v>
      </c>
      <c r="K174" s="12" t="str">
        <f>HYPERLINK("http://counsellor.directory","counsellor.directory")</f>
        <v>counsellor.directory</v>
      </c>
      <c r="L174" s="16">
        <v>816.0</v>
      </c>
      <c r="M174" s="16">
        <v>36.0</v>
      </c>
      <c r="N174" s="16">
        <v>25.0</v>
      </c>
      <c r="O174" s="17"/>
      <c r="P174" s="18">
        <v>41520.635</v>
      </c>
      <c r="Q174" s="1" t="s">
        <v>945</v>
      </c>
      <c r="R174" s="1" t="s">
        <v>946</v>
      </c>
      <c r="S174" s="13" t="s">
        <v>947</v>
      </c>
      <c r="T174" s="14"/>
      <c r="U174" s="19" t="str">
        <f>HYPERLINK("https://pbs.twimg.com/profile_images/1144687984110919680/_rNkOpOE.png","View")</f>
        <v>View</v>
      </c>
      <c r="V174" s="14"/>
      <c r="W174" s="14"/>
      <c r="X174" s="14"/>
      <c r="Y174" s="14"/>
      <c r="Z174" s="14"/>
    </row>
    <row r="175">
      <c r="A175" s="11">
        <v>43848.41400462963</v>
      </c>
      <c r="B175" s="12" t="str">
        <f>HYPERLINK("https://twitter.com/RONISREALTOR","@RONISREALTOR")</f>
        <v>@RONISREALTOR</v>
      </c>
      <c r="C175" s="1" t="s">
        <v>948</v>
      </c>
      <c r="D175" s="1" t="s">
        <v>949</v>
      </c>
      <c r="E175" s="12" t="str">
        <f>HYPERLINK("https://twitter.com/RONISREALTOR/status/1218547635029569536","1218547635029569536")</f>
        <v>1218547635029569536</v>
      </c>
      <c r="F175" s="13" t="s">
        <v>950</v>
      </c>
      <c r="G175" s="14"/>
      <c r="H175" s="12" t="str">
        <f>HYPERLINK("https://ctrlq.org/maps/address/#26.0632,-80.2803","Map")</f>
        <v>Map</v>
      </c>
      <c r="I175" s="15">
        <v>0.0</v>
      </c>
      <c r="J175" s="15">
        <v>0.0</v>
      </c>
      <c r="K175" s="12" t="str">
        <f>HYPERLINK("http://instagram.com","Instagram")</f>
        <v>Instagram</v>
      </c>
      <c r="L175" s="16">
        <v>277.0</v>
      </c>
      <c r="M175" s="16">
        <v>453.0</v>
      </c>
      <c r="N175" s="16">
        <v>25.0</v>
      </c>
      <c r="O175" s="17"/>
      <c r="P175" s="18">
        <v>39852.96959490741</v>
      </c>
      <c r="Q175" s="1" t="s">
        <v>951</v>
      </c>
      <c r="R175" s="1" t="s">
        <v>952</v>
      </c>
      <c r="S175" s="13" t="s">
        <v>953</v>
      </c>
      <c r="T175" s="14"/>
      <c r="U175" s="19" t="str">
        <f>HYPERLINK("https://pbs.twimg.com/profile_images/1072510279798411264/mUSkfiPB.jpg","View")</f>
        <v>View</v>
      </c>
      <c r="V175" s="14"/>
      <c r="W175" s="14"/>
      <c r="X175" s="14"/>
      <c r="Y175" s="14"/>
      <c r="Z175" s="14"/>
    </row>
    <row r="176">
      <c r="A176" s="11">
        <v>43848.41364583334</v>
      </c>
      <c r="B176" s="12" t="str">
        <f>HYPERLINK("https://twitter.com/ReputationComm","@ReputationComm")</f>
        <v>@ReputationComm</v>
      </c>
      <c r="C176" s="1" t="s">
        <v>954</v>
      </c>
      <c r="D176" s="1" t="s">
        <v>955</v>
      </c>
      <c r="E176" s="12" t="str">
        <f>HYPERLINK("https://twitter.com/ReputationComm/status/1218547504863641603","1218547504863641603")</f>
        <v>1218547504863641603</v>
      </c>
      <c r="F176" s="13" t="s">
        <v>956</v>
      </c>
      <c r="G176" s="14"/>
      <c r="H176" s="14"/>
      <c r="I176" s="15">
        <v>0.0</v>
      </c>
      <c r="J176" s="15">
        <v>0.0</v>
      </c>
      <c r="K176" s="12" t="str">
        <f>HYPERLINK("https://mobile.twitter.com","Twitter Web App")</f>
        <v>Twitter Web App</v>
      </c>
      <c r="L176" s="16">
        <v>550.0</v>
      </c>
      <c r="M176" s="16">
        <v>319.0</v>
      </c>
      <c r="N176" s="16">
        <v>16.0</v>
      </c>
      <c r="O176" s="17"/>
      <c r="P176" s="18">
        <v>42864.74561342593</v>
      </c>
      <c r="Q176" s="1" t="s">
        <v>957</v>
      </c>
      <c r="R176" s="1" t="s">
        <v>958</v>
      </c>
      <c r="S176" s="13" t="s">
        <v>959</v>
      </c>
      <c r="T176" s="14"/>
      <c r="U176" s="19" t="str">
        <f>HYPERLINK("https://pbs.twimg.com/profile_images/1112951235047514112/Wo8ONT1p.jpg","View")</f>
        <v>View</v>
      </c>
      <c r="V176" s="14"/>
      <c r="W176" s="14"/>
      <c r="X176" s="14"/>
      <c r="Y176" s="14"/>
      <c r="Z176" s="14"/>
    </row>
    <row r="177">
      <c r="A177" s="11">
        <v>43848.41344907407</v>
      </c>
      <c r="B177" s="12" t="str">
        <f>HYPERLINK("https://twitter.com/ScentFill","@ScentFill")</f>
        <v>@ScentFill</v>
      </c>
      <c r="C177" s="1" t="s">
        <v>960</v>
      </c>
      <c r="D177" s="1" t="s">
        <v>961</v>
      </c>
      <c r="E177" s="12" t="str">
        <f>HYPERLINK("https://twitter.com/ScentFill/status/1218547434231599104","1218547434231599104")</f>
        <v>1218547434231599104</v>
      </c>
      <c r="F177" s="13" t="s">
        <v>962</v>
      </c>
      <c r="G177" s="13" t="s">
        <v>963</v>
      </c>
      <c r="H177" s="14"/>
      <c r="I177" s="15">
        <v>0.0</v>
      </c>
      <c r="J177" s="15">
        <v>0.0</v>
      </c>
      <c r="K177" s="12" t="str">
        <f>HYPERLINK("https://www.socialoomph.com","SocialOomph")</f>
        <v>SocialOomph</v>
      </c>
      <c r="L177" s="16">
        <v>1863.0</v>
      </c>
      <c r="M177" s="16">
        <v>2105.0</v>
      </c>
      <c r="N177" s="16">
        <v>25.0</v>
      </c>
      <c r="O177" s="17"/>
      <c r="P177" s="18">
        <v>42692.65809027778</v>
      </c>
      <c r="Q177" s="14"/>
      <c r="R177" s="1" t="s">
        <v>964</v>
      </c>
      <c r="S177" s="13" t="s">
        <v>965</v>
      </c>
      <c r="T177" s="14"/>
      <c r="U177" s="19" t="str">
        <f>HYPERLINK("https://pbs.twimg.com/profile_images/799717698556956672/mdITl9zd.jpg","View")</f>
        <v>View</v>
      </c>
      <c r="V177" s="14"/>
      <c r="W177" s="14"/>
      <c r="X177" s="14"/>
      <c r="Y177" s="14"/>
      <c r="Z177" s="14"/>
    </row>
    <row r="178">
      <c r="A178" s="11">
        <v>43848.41333333333</v>
      </c>
      <c r="B178" s="12" t="str">
        <f>HYPERLINK("https://twitter.com/CigarSPHR","@CigarSPHR")</f>
        <v>@CigarSPHR</v>
      </c>
      <c r="C178" s="1" t="s">
        <v>966</v>
      </c>
      <c r="D178" s="1" t="s">
        <v>967</v>
      </c>
      <c r="E178" s="12" t="str">
        <f>HYPERLINK("https://twitter.com/CigarSPHR/status/1218547390388625408","1218547390388625408")</f>
        <v>1218547390388625408</v>
      </c>
      <c r="F178" s="13" t="s">
        <v>968</v>
      </c>
      <c r="G178" s="14"/>
      <c r="H178" s="12" t="str">
        <f>HYPERLINK("https://ctrlq.org/maps/address/#51.5033,0.1195","Map")</f>
        <v>Map</v>
      </c>
      <c r="I178" s="15">
        <v>0.0</v>
      </c>
      <c r="J178" s="15">
        <v>0.0</v>
      </c>
      <c r="K178" s="12" t="str">
        <f t="shared" ref="K178:K179" si="16">HYPERLINK("https://www.hootsuite.com","Hootsuite Inc.")</f>
        <v>Hootsuite Inc.</v>
      </c>
      <c r="L178" s="16">
        <v>6985.0</v>
      </c>
      <c r="M178" s="16">
        <v>6168.0</v>
      </c>
      <c r="N178" s="16">
        <v>358.0</v>
      </c>
      <c r="O178" s="17"/>
      <c r="P178" s="18">
        <v>39860.013819444444</v>
      </c>
      <c r="Q178" s="1" t="s">
        <v>969</v>
      </c>
      <c r="R178" s="1" t="s">
        <v>970</v>
      </c>
      <c r="S178" s="13" t="s">
        <v>971</v>
      </c>
      <c r="T178" s="14"/>
      <c r="U178" s="19" t="str">
        <f>HYPERLINK("https://pbs.twimg.com/profile_images/727484272441970688/f5kFdBza.jpg","View")</f>
        <v>View</v>
      </c>
      <c r="V178" s="14"/>
      <c r="W178" s="14"/>
      <c r="X178" s="14"/>
      <c r="Y178" s="14"/>
      <c r="Z178" s="14"/>
    </row>
    <row r="179">
      <c r="A179" s="11">
        <v>43848.40976851852</v>
      </c>
      <c r="B179" s="12" t="str">
        <f>HYPERLINK("https://twitter.com/BethSmyls","@BethSmyls")</f>
        <v>@BethSmyls</v>
      </c>
      <c r="C179" s="1" t="s">
        <v>972</v>
      </c>
      <c r="D179" s="1" t="s">
        <v>973</v>
      </c>
      <c r="E179" s="12" t="str">
        <f>HYPERLINK("https://twitter.com/BethSmyls/status/1218546101080526853","1218546101080526853")</f>
        <v>1218546101080526853</v>
      </c>
      <c r="F179" s="13" t="s">
        <v>974</v>
      </c>
      <c r="G179" s="14"/>
      <c r="H179" s="14"/>
      <c r="I179" s="15">
        <v>1.0</v>
      </c>
      <c r="J179" s="15">
        <v>1.0</v>
      </c>
      <c r="K179" s="12" t="str">
        <f t="shared" si="16"/>
        <v>Hootsuite Inc.</v>
      </c>
      <c r="L179" s="16">
        <v>3079.0</v>
      </c>
      <c r="M179" s="16">
        <v>1651.0</v>
      </c>
      <c r="N179" s="16">
        <v>110.0</v>
      </c>
      <c r="O179" s="17"/>
      <c r="P179" s="18">
        <v>40773.5291087963</v>
      </c>
      <c r="Q179" s="1" t="s">
        <v>975</v>
      </c>
      <c r="R179" s="1" t="s">
        <v>976</v>
      </c>
      <c r="S179" s="13" t="s">
        <v>977</v>
      </c>
      <c r="T179" s="14"/>
      <c r="U179" s="19" t="str">
        <f>HYPERLINK("https://pbs.twimg.com/profile_images/464317387215364096/libJTJLH.jpeg","View")</f>
        <v>View</v>
      </c>
      <c r="V179" s="14"/>
      <c r="W179" s="14"/>
      <c r="X179" s="14"/>
      <c r="Y179" s="14"/>
      <c r="Z179" s="14"/>
    </row>
    <row r="180">
      <c r="A180" s="11">
        <v>43848.409155092595</v>
      </c>
      <c r="B180" s="12" t="str">
        <f>HYPERLINK("https://twitter.com/flannelrainbows","@flannelrainbows")</f>
        <v>@flannelrainbows</v>
      </c>
      <c r="C180" s="1" t="s">
        <v>978</v>
      </c>
      <c r="D180" s="1" t="s">
        <v>979</v>
      </c>
      <c r="E180" s="12" t="str">
        <f>HYPERLINK("https://twitter.com/flannelrainbows/status/1218545878614577152","1218545878614577152")</f>
        <v>1218545878614577152</v>
      </c>
      <c r="F180" s="13" t="s">
        <v>980</v>
      </c>
      <c r="G180" s="13" t="s">
        <v>981</v>
      </c>
      <c r="H180" s="14"/>
      <c r="I180" s="15">
        <v>1.0</v>
      </c>
      <c r="J180" s="15">
        <v>7.0</v>
      </c>
      <c r="K180" s="12" t="str">
        <f>HYPERLINK("https://mobile.twitter.com","Twitter Web App")</f>
        <v>Twitter Web App</v>
      </c>
      <c r="L180" s="16">
        <v>7558.0</v>
      </c>
      <c r="M180" s="16">
        <v>6892.0</v>
      </c>
      <c r="N180" s="16">
        <v>7.0</v>
      </c>
      <c r="O180" s="17"/>
      <c r="P180" s="18">
        <v>43485.49912037037</v>
      </c>
      <c r="Q180" s="1" t="s">
        <v>982</v>
      </c>
      <c r="R180" s="1" t="s">
        <v>983</v>
      </c>
      <c r="S180" s="14"/>
      <c r="T180" s="14"/>
      <c r="U180" s="19" t="str">
        <f>HYPERLINK("https://pbs.twimg.com/profile_images/1216161835071574017/JD66ww9Y.jpg","View")</f>
        <v>View</v>
      </c>
      <c r="V180" s="14"/>
      <c r="W180" s="14"/>
      <c r="X180" s="14"/>
      <c r="Y180" s="14"/>
      <c r="Z180" s="14"/>
    </row>
    <row r="181">
      <c r="A181" s="11">
        <v>43848.40828703703</v>
      </c>
      <c r="B181" s="12" t="str">
        <f>HYPERLINK("https://twitter.com/AbcoSpecialties","@AbcoSpecialties")</f>
        <v>@AbcoSpecialties</v>
      </c>
      <c r="C181" s="1" t="s">
        <v>984</v>
      </c>
      <c r="D181" s="1" t="s">
        <v>985</v>
      </c>
      <c r="E181" s="12" t="str">
        <f>HYPERLINK("https://twitter.com/AbcoSpecialties/status/1218545562506735616","1218545562506735616")</f>
        <v>1218545562506735616</v>
      </c>
      <c r="F181" s="13" t="s">
        <v>986</v>
      </c>
      <c r="G181" s="14"/>
      <c r="H181" s="14"/>
      <c r="I181" s="15">
        <v>0.0</v>
      </c>
      <c r="J181" s="15">
        <v>0.0</v>
      </c>
      <c r="K181" s="12" t="str">
        <f>HYPERLINK("http://twitter.com/download/android","Twitter for Android")</f>
        <v>Twitter for Android</v>
      </c>
      <c r="L181" s="16">
        <v>845.0</v>
      </c>
      <c r="M181" s="16">
        <v>670.0</v>
      </c>
      <c r="N181" s="16">
        <v>560.0</v>
      </c>
      <c r="O181" s="17"/>
      <c r="P181" s="18">
        <v>41203.45738425926</v>
      </c>
      <c r="Q181" s="1" t="s">
        <v>987</v>
      </c>
      <c r="R181" s="1" t="s">
        <v>988</v>
      </c>
      <c r="S181" s="13" t="s">
        <v>989</v>
      </c>
      <c r="T181" s="14"/>
      <c r="U181" s="19" t="str">
        <f>HYPERLINK("https://pbs.twimg.com/profile_images/3595248444/98063da3177a7d2474931d8d3d195b5c.png","View")</f>
        <v>View</v>
      </c>
      <c r="V181" s="14"/>
      <c r="W181" s="14"/>
      <c r="X181" s="14"/>
      <c r="Y181" s="14"/>
      <c r="Z181" s="14"/>
    </row>
    <row r="182">
      <c r="A182" s="11">
        <v>43848.407534722224</v>
      </c>
      <c r="B182" s="12" t="str">
        <f>HYPERLINK("https://twitter.com/AnnaWootton","@AnnaWootton")</f>
        <v>@AnnaWootton</v>
      </c>
      <c r="C182" s="1" t="s">
        <v>990</v>
      </c>
      <c r="D182" s="1" t="s">
        <v>991</v>
      </c>
      <c r="E182" s="12" t="str">
        <f>HYPERLINK("https://twitter.com/AnnaWootton/status/1218545288933249027","1218545288933249027")</f>
        <v>1218545288933249027</v>
      </c>
      <c r="F182" s="13" t="s">
        <v>992</v>
      </c>
      <c r="G182" s="14"/>
      <c r="H182" s="14"/>
      <c r="I182" s="15">
        <v>0.0</v>
      </c>
      <c r="J182" s="15">
        <v>0.0</v>
      </c>
      <c r="K182" s="12" t="str">
        <f>HYPERLINK("http://twitter.com/download/iphone","Twitter for iPhone")</f>
        <v>Twitter for iPhone</v>
      </c>
      <c r="L182" s="16">
        <v>845.0</v>
      </c>
      <c r="M182" s="16">
        <v>818.0</v>
      </c>
      <c r="N182" s="16">
        <v>47.0</v>
      </c>
      <c r="O182" s="17"/>
      <c r="P182" s="18">
        <v>40016.83976851852</v>
      </c>
      <c r="Q182" s="1" t="s">
        <v>993</v>
      </c>
      <c r="R182" s="1" t="s">
        <v>994</v>
      </c>
      <c r="S182" s="13" t="s">
        <v>995</v>
      </c>
      <c r="T182" s="14"/>
      <c r="U182" s="19" t="str">
        <f>HYPERLINK("https://pbs.twimg.com/profile_images/1218552965231005696/HHtZCqTI.jpg","View")</f>
        <v>View</v>
      </c>
      <c r="V182" s="14"/>
      <c r="W182" s="14"/>
      <c r="X182" s="14"/>
      <c r="Y182" s="14"/>
      <c r="Z182" s="14"/>
    </row>
    <row r="183">
      <c r="A183" s="11">
        <v>43848.40628472222</v>
      </c>
      <c r="B183" s="12" t="str">
        <f>HYPERLINK("https://twitter.com/TMNinja","@TMNinja")</f>
        <v>@TMNinja</v>
      </c>
      <c r="C183" s="1" t="s">
        <v>558</v>
      </c>
      <c r="D183" s="1" t="s">
        <v>559</v>
      </c>
      <c r="E183" s="12" t="str">
        <f>HYPERLINK("https://twitter.com/TMNinja/status/1218544840000069635","1218544840000069635")</f>
        <v>1218544840000069635</v>
      </c>
      <c r="F183" s="13" t="s">
        <v>560</v>
      </c>
      <c r="G183" s="13" t="s">
        <v>996</v>
      </c>
      <c r="H183" s="14"/>
      <c r="I183" s="15">
        <v>1.0</v>
      </c>
      <c r="J183" s="15">
        <v>0.0</v>
      </c>
      <c r="K183" s="12" t="str">
        <f>HYPERLINK("https://buffer.com","Buffer")</f>
        <v>Buffer</v>
      </c>
      <c r="L183" s="16">
        <v>34405.0</v>
      </c>
      <c r="M183" s="16">
        <v>15405.0</v>
      </c>
      <c r="N183" s="16">
        <v>1884.0</v>
      </c>
      <c r="O183" s="20" t="s">
        <v>38</v>
      </c>
      <c r="P183" s="18">
        <v>39982.609548611115</v>
      </c>
      <c r="Q183" s="1" t="s">
        <v>550</v>
      </c>
      <c r="R183" s="1" t="s">
        <v>562</v>
      </c>
      <c r="S183" s="13" t="s">
        <v>563</v>
      </c>
      <c r="T183" s="14"/>
      <c r="U183" s="19" t="str">
        <f>HYPERLINK("https://pbs.twimg.com/profile_images/1734246631/Craig_BW_Headshot_small.jpg.jpg","View")</f>
        <v>View</v>
      </c>
      <c r="V183" s="14"/>
      <c r="W183" s="14"/>
      <c r="X183" s="14"/>
      <c r="Y183" s="14"/>
      <c r="Z183" s="14"/>
    </row>
    <row r="184">
      <c r="A184" s="11">
        <v>43848.404062500005</v>
      </c>
      <c r="B184" s="12" t="str">
        <f>HYPERLINK("https://twitter.com/pkcperdana","@pkcperdana")</f>
        <v>@pkcperdana</v>
      </c>
      <c r="C184" s="1" t="s">
        <v>997</v>
      </c>
      <c r="D184" s="1" t="s">
        <v>998</v>
      </c>
      <c r="E184" s="12" t="str">
        <f>HYPERLINK("https://twitter.com/pkcperdana/status/1218544032978096128","1218544032978096128")</f>
        <v>1218544032978096128</v>
      </c>
      <c r="F184" s="14"/>
      <c r="G184" s="13" t="s">
        <v>999</v>
      </c>
      <c r="H184" s="14"/>
      <c r="I184" s="15">
        <v>0.0</v>
      </c>
      <c r="J184" s="15">
        <v>0.0</v>
      </c>
      <c r="K184" s="12" t="str">
        <f>HYPERLINK("http://twitter.com/download/android","Twitter for Android")</f>
        <v>Twitter for Android</v>
      </c>
      <c r="L184" s="16">
        <v>12.0</v>
      </c>
      <c r="M184" s="16">
        <v>16.0</v>
      </c>
      <c r="N184" s="16">
        <v>0.0</v>
      </c>
      <c r="O184" s="17"/>
      <c r="P184" s="18">
        <v>43691.01189814815</v>
      </c>
      <c r="Q184" s="1" t="s">
        <v>1000</v>
      </c>
      <c r="R184" s="1" t="s">
        <v>1001</v>
      </c>
      <c r="S184" s="14"/>
      <c r="T184" s="14"/>
      <c r="U184" s="19" t="str">
        <f>HYPERLINK("https://pbs.twimg.com/profile_images/1161492277241556992/-as-GHUt.jpg","View")</f>
        <v>View</v>
      </c>
      <c r="V184" s="14"/>
      <c r="W184" s="14"/>
      <c r="X184" s="14"/>
      <c r="Y184" s="14"/>
      <c r="Z184" s="14"/>
    </row>
    <row r="185">
      <c r="A185" s="11">
        <v>43848.395891203705</v>
      </c>
      <c r="B185" s="12" t="str">
        <f>HYPERLINK("https://twitter.com/EastWingRufford","@EastWingRufford")</f>
        <v>@EastWingRufford</v>
      </c>
      <c r="C185" s="1" t="s">
        <v>1002</v>
      </c>
      <c r="D185" s="1" t="s">
        <v>1003</v>
      </c>
      <c r="E185" s="12" t="str">
        <f>HYPERLINK("https://twitter.com/EastWingRufford/status/1218541073154310144","1218541073154310144")</f>
        <v>1218541073154310144</v>
      </c>
      <c r="F185" s="13" t="s">
        <v>1004</v>
      </c>
      <c r="G185" s="13" t="s">
        <v>1005</v>
      </c>
      <c r="H185" s="14"/>
      <c r="I185" s="15">
        <v>0.0</v>
      </c>
      <c r="J185" s="15">
        <v>0.0</v>
      </c>
      <c r="K185" s="12" t="str">
        <f>HYPERLINK("https://socialposterfire.com","Social Poster Fire")</f>
        <v>Social Poster Fire</v>
      </c>
      <c r="L185" s="16">
        <v>342.0</v>
      </c>
      <c r="M185" s="16">
        <v>524.0</v>
      </c>
      <c r="N185" s="16">
        <v>4.0</v>
      </c>
      <c r="O185" s="17"/>
      <c r="P185" s="18">
        <v>43141.54956018519</v>
      </c>
      <c r="Q185" s="1" t="s">
        <v>1006</v>
      </c>
      <c r="R185" s="1" t="s">
        <v>1007</v>
      </c>
      <c r="S185" s="13" t="s">
        <v>1008</v>
      </c>
      <c r="T185" s="14"/>
      <c r="U185" s="19" t="str">
        <f>HYPERLINK("https://pbs.twimg.com/profile_images/962404982984241158/u2bomX09.jpg","View")</f>
        <v>View</v>
      </c>
      <c r="V185" s="14"/>
      <c r="W185" s="14"/>
      <c r="X185" s="14"/>
      <c r="Y185" s="14"/>
      <c r="Z185" s="14"/>
    </row>
    <row r="186">
      <c r="A186" s="11">
        <v>43848.392418981486</v>
      </c>
      <c r="B186" s="12" t="str">
        <f>HYPERLINK("https://twitter.com/HenryFordNews","@HenryFordNews")</f>
        <v>@HenryFordNews</v>
      </c>
      <c r="C186" s="1" t="s">
        <v>1009</v>
      </c>
      <c r="D186" s="1" t="s">
        <v>1010</v>
      </c>
      <c r="E186" s="12" t="str">
        <f>HYPERLINK("https://twitter.com/HenryFordNews/status/1218539814133403648","1218539814133403648")</f>
        <v>1218539814133403648</v>
      </c>
      <c r="F186" s="13" t="s">
        <v>1011</v>
      </c>
      <c r="G186" s="14"/>
      <c r="H186" s="14"/>
      <c r="I186" s="15">
        <v>0.0</v>
      </c>
      <c r="J186" s="15">
        <v>1.0</v>
      </c>
      <c r="K186" s="12" t="str">
        <f>HYPERLINK("https://www.hootsuite.com","Hootsuite Inc.")</f>
        <v>Hootsuite Inc.</v>
      </c>
      <c r="L186" s="16">
        <v>13538.0</v>
      </c>
      <c r="M186" s="16">
        <v>2293.0</v>
      </c>
      <c r="N186" s="16">
        <v>428.0</v>
      </c>
      <c r="O186" s="20" t="s">
        <v>38</v>
      </c>
      <c r="P186" s="18">
        <v>39393.38006944444</v>
      </c>
      <c r="Q186" s="1" t="s">
        <v>1012</v>
      </c>
      <c r="R186" s="1" t="s">
        <v>1013</v>
      </c>
      <c r="S186" s="13" t="s">
        <v>1014</v>
      </c>
      <c r="T186" s="14"/>
      <c r="U186" s="19" t="str">
        <f>HYPERLINK("https://pbs.twimg.com/profile_images/1149736656/icon_final_200.png","View")</f>
        <v>View</v>
      </c>
      <c r="V186" s="14"/>
      <c r="W186" s="14"/>
      <c r="X186" s="14"/>
      <c r="Y186" s="14"/>
      <c r="Z186" s="14"/>
    </row>
    <row r="187">
      <c r="A187" s="11">
        <v>43848.38695601852</v>
      </c>
      <c r="B187" s="12" t="str">
        <f>HYPERLINK("https://twitter.com/BalticNewsinUK","@BalticNewsinUK")</f>
        <v>@BalticNewsinUK</v>
      </c>
      <c r="C187" s="1" t="s">
        <v>1015</v>
      </c>
      <c r="D187" s="1" t="s">
        <v>1016</v>
      </c>
      <c r="E187" s="12" t="str">
        <f>HYPERLINK("https://twitter.com/BalticNewsinUK/status/1218537835055153152","1218537835055153152")</f>
        <v>1218537835055153152</v>
      </c>
      <c r="F187" s="14"/>
      <c r="G187" s="13" t="s">
        <v>1017</v>
      </c>
      <c r="H187" s="14"/>
      <c r="I187" s="15">
        <v>0.0</v>
      </c>
      <c r="J187" s="15">
        <v>0.0</v>
      </c>
      <c r="K187" s="12" t="str">
        <f>HYPERLINK("https://www.socialoomph.com","SocialOomph")</f>
        <v>SocialOomph</v>
      </c>
      <c r="L187" s="16">
        <v>926.0</v>
      </c>
      <c r="M187" s="16">
        <v>385.0</v>
      </c>
      <c r="N187" s="16">
        <v>52.0</v>
      </c>
      <c r="O187" s="17"/>
      <c r="P187" s="18">
        <v>40332.26525462963</v>
      </c>
      <c r="Q187" s="1" t="s">
        <v>624</v>
      </c>
      <c r="R187" s="1" t="s">
        <v>1018</v>
      </c>
      <c r="S187" s="13" t="s">
        <v>1019</v>
      </c>
      <c r="T187" s="14"/>
      <c r="U187" s="19" t="str">
        <f>HYPERLINK("https://pbs.twimg.com/profile_images/966412232090378240/VdWVnh4-.jpg","View")</f>
        <v>View</v>
      </c>
      <c r="V187" s="14"/>
      <c r="W187" s="14"/>
      <c r="X187" s="14"/>
      <c r="Y187" s="14"/>
      <c r="Z187" s="14"/>
    </row>
    <row r="188">
      <c r="A188" s="11">
        <v>43848.37561342593</v>
      </c>
      <c r="B188" s="12" t="str">
        <f>HYPERLINK("https://twitter.com/Acacia_CW","@Acacia_CW")</f>
        <v>@Acacia_CW</v>
      </c>
      <c r="C188" s="1" t="s">
        <v>1020</v>
      </c>
      <c r="D188" s="1" t="s">
        <v>1021</v>
      </c>
      <c r="E188" s="12" t="str">
        <f>HYPERLINK("https://twitter.com/Acacia_CW/status/1218533725140635649","1218533725140635649")</f>
        <v>1218533725140635649</v>
      </c>
      <c r="F188" s="14"/>
      <c r="G188" s="13" t="s">
        <v>1022</v>
      </c>
      <c r="H188" s="14"/>
      <c r="I188" s="15">
        <v>0.0</v>
      </c>
      <c r="J188" s="15">
        <v>0.0</v>
      </c>
      <c r="K188" s="12" t="str">
        <f>HYPERLINK("https://www.hootsuite.com","Hootsuite Inc.")</f>
        <v>Hootsuite Inc.</v>
      </c>
      <c r="L188" s="16">
        <v>86.0</v>
      </c>
      <c r="M188" s="16">
        <v>210.0</v>
      </c>
      <c r="N188" s="16">
        <v>2.0</v>
      </c>
      <c r="O188" s="17"/>
      <c r="P188" s="18">
        <v>41919.79876157407</v>
      </c>
      <c r="Q188" s="1" t="s">
        <v>56</v>
      </c>
      <c r="R188" s="1" t="s">
        <v>1023</v>
      </c>
      <c r="S188" s="13" t="s">
        <v>1024</v>
      </c>
      <c r="T188" s="14"/>
      <c r="U188" s="19" t="str">
        <f>HYPERLINK("https://pbs.twimg.com/profile_images/1202677646343098369/wgUZIJ4u.jpg","View")</f>
        <v>View</v>
      </c>
      <c r="V188" s="14"/>
      <c r="W188" s="14"/>
      <c r="X188" s="14"/>
      <c r="Y188" s="14"/>
      <c r="Z188" s="14"/>
    </row>
    <row r="189">
      <c r="A189" s="11">
        <v>43848.37550925926</v>
      </c>
      <c r="B189" s="12" t="str">
        <f>HYPERLINK("https://twitter.com/empower_ga","@empower_ga")</f>
        <v>@empower_ga</v>
      </c>
      <c r="C189" s="1" t="s">
        <v>1025</v>
      </c>
      <c r="D189" s="1" t="s">
        <v>1026</v>
      </c>
      <c r="E189" s="12" t="str">
        <f>HYPERLINK("https://twitter.com/empower_ga/status/1218533687156858880","1218533687156858880")</f>
        <v>1218533687156858880</v>
      </c>
      <c r="F189" s="1" t="s">
        <v>1027</v>
      </c>
      <c r="G189" s="13" t="s">
        <v>1028</v>
      </c>
      <c r="H189" s="14"/>
      <c r="I189" s="15">
        <v>0.0</v>
      </c>
      <c r="J189" s="15">
        <v>0.0</v>
      </c>
      <c r="K189" s="12" t="str">
        <f>HYPERLINK("https://oauth.io","Social Genie by Brighter Vision")</f>
        <v>Social Genie by Brighter Vision</v>
      </c>
      <c r="L189" s="16">
        <v>3.0</v>
      </c>
      <c r="M189" s="16">
        <v>8.0</v>
      </c>
      <c r="N189" s="16">
        <v>0.0</v>
      </c>
      <c r="O189" s="17"/>
      <c r="P189" s="18">
        <v>43769.39226851852</v>
      </c>
      <c r="Q189" s="1" t="s">
        <v>1029</v>
      </c>
      <c r="R189" s="1" t="s">
        <v>1030</v>
      </c>
      <c r="S189" s="13" t="s">
        <v>1031</v>
      </c>
      <c r="T189" s="14"/>
      <c r="U189" s="19" t="str">
        <f>HYPERLINK("https://pbs.twimg.com/profile_images/1189916867986706432/21hVGmqW.png","View")</f>
        <v>View</v>
      </c>
      <c r="V189" s="14"/>
      <c r="W189" s="14"/>
      <c r="X189" s="14"/>
      <c r="Y189" s="14"/>
      <c r="Z189" s="14"/>
    </row>
    <row r="190">
      <c r="A190" s="11">
        <v>43848.375185185185</v>
      </c>
      <c r="B190" s="12" t="str">
        <f>HYPERLINK("https://twitter.com/WeightMattersUK","@WeightMattersUK")</f>
        <v>@WeightMattersUK</v>
      </c>
      <c r="C190" s="1" t="s">
        <v>1032</v>
      </c>
      <c r="D190" s="1" t="s">
        <v>1033</v>
      </c>
      <c r="E190" s="12" t="str">
        <f>HYPERLINK("https://twitter.com/WeightMattersUK/status/1218533569343172608","1218533569343172608")</f>
        <v>1218533569343172608</v>
      </c>
      <c r="F190" s="13" t="s">
        <v>1034</v>
      </c>
      <c r="G190" s="14"/>
      <c r="H190" s="14"/>
      <c r="I190" s="15">
        <v>1.0</v>
      </c>
      <c r="J190" s="15">
        <v>0.0</v>
      </c>
      <c r="K190" s="12" t="str">
        <f t="shared" ref="K190:K191" si="17">HYPERLINK("https://www.hootsuite.com","Hootsuite Inc.")</f>
        <v>Hootsuite Inc.</v>
      </c>
      <c r="L190" s="16">
        <v>1559.0</v>
      </c>
      <c r="M190" s="16">
        <v>1997.0</v>
      </c>
      <c r="N190" s="16">
        <v>213.0</v>
      </c>
      <c r="O190" s="17"/>
      <c r="P190" s="18">
        <v>40911.58467592593</v>
      </c>
      <c r="Q190" s="1" t="s">
        <v>975</v>
      </c>
      <c r="R190" s="1" t="s">
        <v>1035</v>
      </c>
      <c r="S190" s="13" t="s">
        <v>1036</v>
      </c>
      <c r="T190" s="14"/>
      <c r="U190" s="19" t="str">
        <f>HYPERLINK("https://pbs.twimg.com/profile_images/3272698047/3039e79bf74d814cd0665c3296a8f84c.png","View")</f>
        <v>View</v>
      </c>
      <c r="V190" s="14"/>
      <c r="W190" s="14"/>
      <c r="X190" s="14"/>
      <c r="Y190" s="14"/>
      <c r="Z190" s="14"/>
    </row>
    <row r="191">
      <c r="A191" s="11">
        <v>43848.37516203704</v>
      </c>
      <c r="B191" s="12" t="str">
        <f>HYPERLINK("https://twitter.com/IAmTruthCBD","@IAmTruthCBD")</f>
        <v>@IAmTruthCBD</v>
      </c>
      <c r="C191" s="1" t="s">
        <v>1037</v>
      </c>
      <c r="D191" s="1" t="s">
        <v>1038</v>
      </c>
      <c r="E191" s="12" t="str">
        <f>HYPERLINK("https://twitter.com/IAmTruthCBD/status/1218533561009102848","1218533561009102848")</f>
        <v>1218533561009102848</v>
      </c>
      <c r="F191" s="13" t="s">
        <v>1039</v>
      </c>
      <c r="G191" s="13" t="s">
        <v>1040</v>
      </c>
      <c r="H191" s="14"/>
      <c r="I191" s="15">
        <v>0.0</v>
      </c>
      <c r="J191" s="15">
        <v>0.0</v>
      </c>
      <c r="K191" s="12" t="str">
        <f t="shared" si="17"/>
        <v>Hootsuite Inc.</v>
      </c>
      <c r="L191" s="16">
        <v>1.0</v>
      </c>
      <c r="M191" s="16">
        <v>3.0</v>
      </c>
      <c r="N191" s="16">
        <v>0.0</v>
      </c>
      <c r="O191" s="17"/>
      <c r="P191" s="18">
        <v>43812.40241898148</v>
      </c>
      <c r="Q191" s="14"/>
      <c r="R191" s="1" t="s">
        <v>1041</v>
      </c>
      <c r="S191" s="13" t="s">
        <v>1039</v>
      </c>
      <c r="T191" s="14"/>
      <c r="U191" s="19" t="str">
        <f>HYPERLINK("https://pbs.twimg.com/profile_images/1205500548474118145/9dgPeD33.png","View")</f>
        <v>View</v>
      </c>
      <c r="V191" s="14"/>
      <c r="W191" s="14"/>
      <c r="X191" s="14"/>
      <c r="Y191" s="14"/>
      <c r="Z191" s="14"/>
    </row>
    <row r="192">
      <c r="A192" s="11">
        <v>43848.372199074074</v>
      </c>
      <c r="B192" s="12" t="str">
        <f>HYPERLINK("https://twitter.com/sostostress","@sostostress")</f>
        <v>@sostostress</v>
      </c>
      <c r="C192" s="1" t="s">
        <v>1042</v>
      </c>
      <c r="D192" s="1" t="s">
        <v>1043</v>
      </c>
      <c r="E192" s="12" t="str">
        <f>HYPERLINK("https://twitter.com/sostostress/status/1218532485430042625","1218532485430042625")</f>
        <v>1218532485430042625</v>
      </c>
      <c r="F192" s="13" t="s">
        <v>1044</v>
      </c>
      <c r="G192" s="13" t="s">
        <v>1045</v>
      </c>
      <c r="H192" s="14"/>
      <c r="I192" s="15">
        <v>0.0</v>
      </c>
      <c r="J192" s="15">
        <v>0.0</v>
      </c>
      <c r="K192" s="12" t="str">
        <f>HYPERLINK("https://mobile.twitter.com","Twitter Web App")</f>
        <v>Twitter Web App</v>
      </c>
      <c r="L192" s="16">
        <v>333.0</v>
      </c>
      <c r="M192" s="16">
        <v>171.0</v>
      </c>
      <c r="N192" s="16">
        <v>46.0</v>
      </c>
      <c r="O192" s="17"/>
      <c r="P192" s="18">
        <v>40529.642071759255</v>
      </c>
      <c r="Q192" s="1" t="s">
        <v>143</v>
      </c>
      <c r="R192" s="1" t="s">
        <v>1046</v>
      </c>
      <c r="S192" s="13" t="s">
        <v>1047</v>
      </c>
      <c r="T192" s="14"/>
      <c r="U192" s="19" t="str">
        <f>HYPERLINK("https://pbs.twimg.com/profile_images/1192953737/image006_pp_-_2__2_.jpg","View")</f>
        <v>View</v>
      </c>
      <c r="V192" s="14"/>
      <c r="W192" s="14"/>
      <c r="X192" s="14"/>
      <c r="Y192" s="14"/>
      <c r="Z192" s="14"/>
    </row>
    <row r="193">
      <c r="A193" s="11">
        <v>43848.368055555555</v>
      </c>
      <c r="B193" s="12" t="str">
        <f>HYPERLINK("https://twitter.com/TrainingMindful","@TrainingMindful")</f>
        <v>@TrainingMindful</v>
      </c>
      <c r="C193" s="1" t="s">
        <v>94</v>
      </c>
      <c r="D193" s="1" t="s">
        <v>1048</v>
      </c>
      <c r="E193" s="12" t="str">
        <f>HYPERLINK("https://twitter.com/TrainingMindful/status/1218530983298859010","1218530983298859010")</f>
        <v>1218530983298859010</v>
      </c>
      <c r="F193" s="13" t="s">
        <v>1049</v>
      </c>
      <c r="G193" s="14"/>
      <c r="H193" s="14"/>
      <c r="I193" s="15">
        <v>3.0</v>
      </c>
      <c r="J193" s="15">
        <v>7.0</v>
      </c>
      <c r="K193" s="12" t="str">
        <f>HYPERLINK("https://www.socialoomph.com","SocialOomph")</f>
        <v>SocialOomph</v>
      </c>
      <c r="L193" s="16">
        <v>185303.0</v>
      </c>
      <c r="M193" s="16">
        <v>43980.0</v>
      </c>
      <c r="N193" s="16">
        <v>2800.0</v>
      </c>
      <c r="O193" s="17"/>
      <c r="P193" s="18">
        <v>41286.039305555554</v>
      </c>
      <c r="Q193" s="1" t="s">
        <v>97</v>
      </c>
      <c r="R193" s="1" t="s">
        <v>98</v>
      </c>
      <c r="S193" s="13" t="s">
        <v>99</v>
      </c>
      <c r="T193" s="14"/>
      <c r="U193" s="19" t="str">
        <f>HYPERLINK("https://pbs.twimg.com/profile_images/566526924059459584/gdMxDA9x.jpeg","View")</f>
        <v>View</v>
      </c>
      <c r="V193" s="14"/>
      <c r="W193" s="14"/>
      <c r="X193" s="14"/>
      <c r="Y193" s="14"/>
      <c r="Z193" s="14"/>
    </row>
    <row r="194">
      <c r="A194" s="11">
        <v>43848.366747685184</v>
      </c>
      <c r="B194" s="12" t="str">
        <f>HYPERLINK("https://twitter.com/Cat_poz","@Cat_poz")</f>
        <v>@Cat_poz</v>
      </c>
      <c r="C194" s="1" t="s">
        <v>1050</v>
      </c>
      <c r="D194" s="1" t="s">
        <v>1051</v>
      </c>
      <c r="E194" s="12" t="str">
        <f>HYPERLINK("https://twitter.com/Cat_poz/status/1218530509967355905","1218530509967355905")</f>
        <v>1218530509967355905</v>
      </c>
      <c r="F194" s="13" t="s">
        <v>1052</v>
      </c>
      <c r="G194" s="13" t="s">
        <v>1053</v>
      </c>
      <c r="H194" s="14"/>
      <c r="I194" s="15">
        <v>1.0</v>
      </c>
      <c r="J194" s="15">
        <v>2.0</v>
      </c>
      <c r="K194" s="12" t="str">
        <f>HYPERLINK("https://mobile.twitter.com","Twitter Web App")</f>
        <v>Twitter Web App</v>
      </c>
      <c r="L194" s="16">
        <v>289.0</v>
      </c>
      <c r="M194" s="16">
        <v>681.0</v>
      </c>
      <c r="N194" s="16">
        <v>0.0</v>
      </c>
      <c r="O194" s="17"/>
      <c r="P194" s="18">
        <v>43837.48862268518</v>
      </c>
      <c r="Q194" s="14"/>
      <c r="R194" s="1" t="s">
        <v>1054</v>
      </c>
      <c r="S194" s="13" t="s">
        <v>1055</v>
      </c>
      <c r="T194" s="14"/>
      <c r="U194" s="19" t="str">
        <f>HYPERLINK("https://pbs.twimg.com/profile_images/1214938616788475905/icWCqr7N.jpg","View")</f>
        <v>View</v>
      </c>
      <c r="V194" s="14"/>
      <c r="W194" s="14"/>
      <c r="X194" s="14"/>
      <c r="Y194" s="14"/>
      <c r="Z194" s="14"/>
    </row>
    <row r="195">
      <c r="A195" s="11">
        <v>43848.36421296296</v>
      </c>
      <c r="B195" s="12" t="str">
        <f>HYPERLINK("https://twitter.com/shine_sondor","@shine_sondor")</f>
        <v>@shine_sondor</v>
      </c>
      <c r="C195" s="1" t="s">
        <v>1056</v>
      </c>
      <c r="D195" s="1" t="s">
        <v>1057</v>
      </c>
      <c r="E195" s="12" t="str">
        <f>HYPERLINK("https://twitter.com/shine_sondor/status/1218529591985201152","1218529591985201152")</f>
        <v>1218529591985201152</v>
      </c>
      <c r="F195" s="14"/>
      <c r="G195" s="13" t="s">
        <v>1058</v>
      </c>
      <c r="H195" s="14"/>
      <c r="I195" s="15">
        <v>0.0</v>
      </c>
      <c r="J195" s="15">
        <v>1.0</v>
      </c>
      <c r="K195" s="12" t="str">
        <f>HYPERLINK("http://twitter.com/download/android","Twitter for Android")</f>
        <v>Twitter for Android</v>
      </c>
      <c r="L195" s="16">
        <v>6763.0</v>
      </c>
      <c r="M195" s="16">
        <v>386.0</v>
      </c>
      <c r="N195" s="16">
        <v>15.0</v>
      </c>
      <c r="O195" s="17"/>
      <c r="P195" s="18">
        <v>40867.51699074074</v>
      </c>
      <c r="Q195" s="1" t="s">
        <v>1059</v>
      </c>
      <c r="R195" s="1" t="s">
        <v>1060</v>
      </c>
      <c r="S195" s="14"/>
      <c r="T195" s="14"/>
      <c r="U195" s="19" t="str">
        <f>HYPERLINK("https://pbs.twimg.com/profile_images/1218519734984929280/o48ZHG52.jpg","View")</f>
        <v>View</v>
      </c>
      <c r="V195" s="14"/>
      <c r="W195" s="14"/>
      <c r="X195" s="14"/>
      <c r="Y195" s="14"/>
      <c r="Z195" s="14"/>
    </row>
    <row r="196">
      <c r="A196" s="11">
        <v>43848.362708333334</v>
      </c>
      <c r="B196" s="12" t="str">
        <f>HYPERLINK("https://twitter.com/soulflowart","@soulflowart")</f>
        <v>@soulflowart</v>
      </c>
      <c r="C196" s="1" t="s">
        <v>1061</v>
      </c>
      <c r="D196" s="21" t="s">
        <v>1062</v>
      </c>
      <c r="E196" s="12" t="str">
        <f>HYPERLINK("https://twitter.com/soulflowart/status/1218529048130805760","1218529048130805760")</f>
        <v>1218529048130805760</v>
      </c>
      <c r="F196" s="14"/>
      <c r="G196" s="14"/>
      <c r="H196" s="14"/>
      <c r="I196" s="15">
        <v>0.0</v>
      </c>
      <c r="J196" s="15">
        <v>0.0</v>
      </c>
      <c r="K196" s="12" t="str">
        <f t="shared" ref="K196:K197" si="18">HYPERLINK("https://mobile.twitter.com","Twitter Web App")</f>
        <v>Twitter Web App</v>
      </c>
      <c r="L196" s="16">
        <v>6.0</v>
      </c>
      <c r="M196" s="16">
        <v>31.0</v>
      </c>
      <c r="N196" s="16">
        <v>0.0</v>
      </c>
      <c r="O196" s="17"/>
      <c r="P196" s="18">
        <v>43624.136087962965</v>
      </c>
      <c r="Q196" s="1" t="s">
        <v>1063</v>
      </c>
      <c r="R196" s="1" t="s">
        <v>1064</v>
      </c>
      <c r="S196" s="13" t="s">
        <v>1065</v>
      </c>
      <c r="T196" s="14"/>
      <c r="U196" s="19" t="str">
        <f>HYPERLINK("https://pbs.twimg.com/profile_images/1137376340116533251/deK8GRnY.jpg","View")</f>
        <v>View</v>
      </c>
      <c r="V196" s="14"/>
      <c r="W196" s="14"/>
      <c r="X196" s="14"/>
      <c r="Y196" s="14"/>
      <c r="Z196" s="14"/>
    </row>
    <row r="197">
      <c r="A197" s="11">
        <v>43848.35891203704</v>
      </c>
      <c r="B197" s="12" t="str">
        <f>HYPERLINK("https://twitter.com/TraumaInformed5","@TraumaInformed5")</f>
        <v>@TraumaInformed5</v>
      </c>
      <c r="C197" s="1" t="s">
        <v>1066</v>
      </c>
      <c r="D197" s="1" t="s">
        <v>1067</v>
      </c>
      <c r="E197" s="12" t="str">
        <f>HYPERLINK("https://twitter.com/TraumaInformed5/status/1218527672231514112","1218527672231514112")</f>
        <v>1218527672231514112</v>
      </c>
      <c r="F197" s="14"/>
      <c r="G197" s="13" t="s">
        <v>1068</v>
      </c>
      <c r="H197" s="14"/>
      <c r="I197" s="15">
        <v>5.0</v>
      </c>
      <c r="J197" s="15">
        <v>9.0</v>
      </c>
      <c r="K197" s="12" t="str">
        <f t="shared" si="18"/>
        <v>Twitter Web App</v>
      </c>
      <c r="L197" s="16">
        <v>459.0</v>
      </c>
      <c r="M197" s="16">
        <v>980.0</v>
      </c>
      <c r="N197" s="16">
        <v>0.0</v>
      </c>
      <c r="O197" s="17"/>
      <c r="P197" s="18">
        <v>43803.182118055556</v>
      </c>
      <c r="Q197" s="14"/>
      <c r="R197" s="1" t="s">
        <v>1069</v>
      </c>
      <c r="S197" s="13" t="s">
        <v>1070</v>
      </c>
      <c r="T197" s="14"/>
      <c r="U197" s="19" t="str">
        <f>HYPERLINK("https://pbs.twimg.com/profile_images/1202461950216691713/BttFp9y4.jpg","View")</f>
        <v>View</v>
      </c>
      <c r="V197" s="14"/>
      <c r="W197" s="14"/>
      <c r="X197" s="14"/>
      <c r="Y197" s="14"/>
      <c r="Z197" s="14"/>
    </row>
    <row r="198">
      <c r="A198" s="11">
        <v>43848.354363425926</v>
      </c>
      <c r="B198" s="12" t="str">
        <f>HYPERLINK("https://twitter.com/SkinOnlineBlog","@SkinOnlineBlog")</f>
        <v>@SkinOnlineBlog</v>
      </c>
      <c r="C198" s="1" t="s">
        <v>1071</v>
      </c>
      <c r="D198" s="1" t="s">
        <v>1072</v>
      </c>
      <c r="E198" s="12" t="str">
        <f>HYPERLINK("https://twitter.com/SkinOnlineBlog/status/1218526021957357568","1218526021957357568")</f>
        <v>1218526021957357568</v>
      </c>
      <c r="F198" s="13" t="s">
        <v>1073</v>
      </c>
      <c r="G198" s="13" t="s">
        <v>1074</v>
      </c>
      <c r="H198" s="14"/>
      <c r="I198" s="15">
        <v>0.0</v>
      </c>
      <c r="J198" s="15">
        <v>0.0</v>
      </c>
      <c r="K198" s="12" t="str">
        <f>HYPERLINK("https://www.hootsuite.com","Hootsuite Inc.")</f>
        <v>Hootsuite Inc.</v>
      </c>
      <c r="L198" s="16">
        <v>642.0</v>
      </c>
      <c r="M198" s="16">
        <v>1138.0</v>
      </c>
      <c r="N198" s="16">
        <v>44.0</v>
      </c>
      <c r="O198" s="17"/>
      <c r="P198" s="18">
        <v>42317.25525462963</v>
      </c>
      <c r="Q198" s="1" t="s">
        <v>1075</v>
      </c>
      <c r="R198" s="1" t="s">
        <v>1076</v>
      </c>
      <c r="S198" s="13" t="s">
        <v>1077</v>
      </c>
      <c r="T198" s="14"/>
      <c r="U198" s="19" t="str">
        <f>HYPERLINK("https://pbs.twimg.com/profile_images/663675213423452160/jRtLoza-.png","View")</f>
        <v>View</v>
      </c>
      <c r="V198" s="14"/>
      <c r="W198" s="14"/>
      <c r="X198" s="14"/>
      <c r="Y198" s="14"/>
      <c r="Z198" s="14"/>
    </row>
    <row r="199">
      <c r="A199" s="11">
        <v>43848.35422453703</v>
      </c>
      <c r="B199" s="12" t="str">
        <f>HYPERLINK("https://twitter.com/7DotsMedia","@7DotsMedia")</f>
        <v>@7DotsMedia</v>
      </c>
      <c r="C199" s="1" t="s">
        <v>1078</v>
      </c>
      <c r="D199" s="1" t="s">
        <v>1079</v>
      </c>
      <c r="E199" s="12" t="str">
        <f>HYPERLINK("https://twitter.com/7DotsMedia/status/1218525971130744838","1218525971130744838")</f>
        <v>1218525971130744838</v>
      </c>
      <c r="F199" s="13" t="s">
        <v>1080</v>
      </c>
      <c r="G199" s="14"/>
      <c r="H199" s="14"/>
      <c r="I199" s="15">
        <v>0.0</v>
      </c>
      <c r="J199" s="15">
        <v>0.0</v>
      </c>
      <c r="K199" s="12" t="str">
        <f t="shared" ref="K199:K200" si="19">HYPERLINK("https://sproutsocial.com","Sprout Social")</f>
        <v>Sprout Social</v>
      </c>
      <c r="L199" s="16">
        <v>88.0</v>
      </c>
      <c r="M199" s="16">
        <v>160.0</v>
      </c>
      <c r="N199" s="16">
        <v>0.0</v>
      </c>
      <c r="O199" s="17"/>
      <c r="P199" s="18">
        <v>40487.62664351852</v>
      </c>
      <c r="Q199" s="1" t="s">
        <v>1081</v>
      </c>
      <c r="R199" s="1" t="s">
        <v>1082</v>
      </c>
      <c r="S199" s="13" t="s">
        <v>1083</v>
      </c>
      <c r="T199" s="14"/>
      <c r="U199" s="19" t="str">
        <f>HYPERLINK("https://pbs.twimg.com/profile_images/1160442062/7dots_logo.png","View")</f>
        <v>View</v>
      </c>
      <c r="V199" s="14"/>
      <c r="W199" s="14"/>
      <c r="X199" s="14"/>
      <c r="Y199" s="14"/>
      <c r="Z199" s="14"/>
    </row>
    <row r="200">
      <c r="A200" s="11">
        <v>43848.35420138889</v>
      </c>
      <c r="B200" s="12" t="str">
        <f>HYPERLINK("https://twitter.com/MasisStaffing","@MasisStaffing")</f>
        <v>@MasisStaffing</v>
      </c>
      <c r="C200" s="1" t="s">
        <v>1084</v>
      </c>
      <c r="D200" s="1" t="s">
        <v>1085</v>
      </c>
      <c r="E200" s="12" t="str">
        <f>HYPERLINK("https://twitter.com/MasisStaffing/status/1218525965212626945","1218525965212626945")</f>
        <v>1218525965212626945</v>
      </c>
      <c r="F200" s="13" t="s">
        <v>1086</v>
      </c>
      <c r="G200" s="13" t="s">
        <v>1087</v>
      </c>
      <c r="H200" s="14"/>
      <c r="I200" s="15">
        <v>0.0</v>
      </c>
      <c r="J200" s="15">
        <v>2.0</v>
      </c>
      <c r="K200" s="12" t="str">
        <f t="shared" si="19"/>
        <v>Sprout Social</v>
      </c>
      <c r="L200" s="16">
        <v>1490.0</v>
      </c>
      <c r="M200" s="16">
        <v>765.0</v>
      </c>
      <c r="N200" s="16">
        <v>238.0</v>
      </c>
      <c r="O200" s="17"/>
      <c r="P200" s="18">
        <v>41392.447129629625</v>
      </c>
      <c r="Q200" s="1" t="s">
        <v>56</v>
      </c>
      <c r="R200" s="1" t="s">
        <v>1088</v>
      </c>
      <c r="S200" s="13" t="s">
        <v>1089</v>
      </c>
      <c r="T200" s="14"/>
      <c r="U200" s="19" t="str">
        <f>HYPERLINK("https://pbs.twimg.com/profile_images/921080088879403009/itKBxF8G.jpg","View")</f>
        <v>View</v>
      </c>
      <c r="V200" s="14"/>
      <c r="W200" s="14"/>
      <c r="X200" s="14"/>
      <c r="Y200" s="14"/>
      <c r="Z200" s="14"/>
    </row>
    <row r="201">
      <c r="A201" s="11">
        <v>43848.3528125</v>
      </c>
      <c r="B201" s="12" t="str">
        <f>HYPERLINK("https://twitter.com/sostostress","@sostostress")</f>
        <v>@sostostress</v>
      </c>
      <c r="C201" s="1" t="s">
        <v>1042</v>
      </c>
      <c r="D201" s="1" t="s">
        <v>1090</v>
      </c>
      <c r="E201" s="12" t="str">
        <f>HYPERLINK("https://twitter.com/sostostress/status/1218525461371711488","1218525461371711488")</f>
        <v>1218525461371711488</v>
      </c>
      <c r="F201" s="13" t="s">
        <v>1091</v>
      </c>
      <c r="G201" s="14"/>
      <c r="H201" s="14"/>
      <c r="I201" s="15">
        <v>0.0</v>
      </c>
      <c r="J201" s="15">
        <v>0.0</v>
      </c>
      <c r="K201" s="12" t="str">
        <f>HYPERLINK("http://twitter.com","Twitter Web Client")</f>
        <v>Twitter Web Client</v>
      </c>
      <c r="L201" s="16">
        <v>333.0</v>
      </c>
      <c r="M201" s="16">
        <v>171.0</v>
      </c>
      <c r="N201" s="16">
        <v>46.0</v>
      </c>
      <c r="O201" s="17"/>
      <c r="P201" s="18">
        <v>40529.642071759255</v>
      </c>
      <c r="Q201" s="1" t="s">
        <v>143</v>
      </c>
      <c r="R201" s="1" t="s">
        <v>1046</v>
      </c>
      <c r="S201" s="13" t="s">
        <v>1047</v>
      </c>
      <c r="T201" s="14"/>
      <c r="U201" s="19" t="str">
        <f>HYPERLINK("https://pbs.twimg.com/profile_images/1192953737/image006_pp_-_2__2_.jpg","View")</f>
        <v>View</v>
      </c>
      <c r="V201" s="14"/>
      <c r="W201" s="14"/>
      <c r="X201" s="14"/>
      <c r="Y201" s="14"/>
      <c r="Z201" s="14"/>
    </row>
    <row r="202">
      <c r="A202" s="11">
        <v>43848.34799768518</v>
      </c>
      <c r="B202" s="12" t="str">
        <f>HYPERLINK("https://twitter.com/VIPpuppies","@VIPpuppies")</f>
        <v>@VIPpuppies</v>
      </c>
      <c r="C202" s="1" t="s">
        <v>1092</v>
      </c>
      <c r="D202" s="1" t="s">
        <v>1093</v>
      </c>
      <c r="E202" s="12" t="str">
        <f>HYPERLINK("https://twitter.com/VIPpuppies/status/1218523714435911681","1218523714435911681")</f>
        <v>1218523714435911681</v>
      </c>
      <c r="F202" s="13" t="s">
        <v>1094</v>
      </c>
      <c r="G202" s="13" t="s">
        <v>1095</v>
      </c>
      <c r="H202" s="14"/>
      <c r="I202" s="15">
        <v>0.0</v>
      </c>
      <c r="J202" s="15">
        <v>0.0</v>
      </c>
      <c r="K202" s="12" t="str">
        <f>HYPERLINK("https://missinglettr.com","Missinglettr")</f>
        <v>Missinglettr</v>
      </c>
      <c r="L202" s="16">
        <v>41.0</v>
      </c>
      <c r="M202" s="16">
        <v>97.0</v>
      </c>
      <c r="N202" s="16">
        <v>2.0</v>
      </c>
      <c r="O202" s="17"/>
      <c r="P202" s="18">
        <v>42458.31277777778</v>
      </c>
      <c r="Q202" s="1" t="s">
        <v>1096</v>
      </c>
      <c r="R202" s="1" t="s">
        <v>1097</v>
      </c>
      <c r="S202" s="13" t="s">
        <v>1098</v>
      </c>
      <c r="T202" s="14"/>
      <c r="U202" s="19" t="str">
        <f>HYPERLINK("https://pbs.twimg.com/profile_images/869168535813193728/2taiQtUP.jpg","View")</f>
        <v>View</v>
      </c>
      <c r="V202" s="14"/>
      <c r="W202" s="14"/>
      <c r="X202" s="14"/>
      <c r="Y202" s="14"/>
      <c r="Z202" s="14"/>
    </row>
    <row r="203">
      <c r="A203" s="11">
        <v>43848.34159722222</v>
      </c>
      <c r="B203" s="12" t="str">
        <f>HYPERLINK("https://twitter.com/Serenity_Lisa","@Serenity_Lisa")</f>
        <v>@Serenity_Lisa</v>
      </c>
      <c r="C203" s="1" t="s">
        <v>1099</v>
      </c>
      <c r="D203" s="1" t="s">
        <v>1100</v>
      </c>
      <c r="E203" s="12" t="str">
        <f>HYPERLINK("https://twitter.com/Serenity_Lisa/status/1218521394507669507","1218521394507669507")</f>
        <v>1218521394507669507</v>
      </c>
      <c r="F203" s="14"/>
      <c r="G203" s="13" t="s">
        <v>1101</v>
      </c>
      <c r="H203" s="14"/>
      <c r="I203" s="15">
        <v>0.0</v>
      </c>
      <c r="J203" s="15">
        <v>1.0</v>
      </c>
      <c r="K203" s="12" t="str">
        <f>HYPERLINK("http://twitter.com/download/iphone","Twitter for iPhone")</f>
        <v>Twitter for iPhone</v>
      </c>
      <c r="L203" s="16">
        <v>1292.0</v>
      </c>
      <c r="M203" s="16">
        <v>799.0</v>
      </c>
      <c r="N203" s="16">
        <v>13.0</v>
      </c>
      <c r="O203" s="17"/>
      <c r="P203" s="18">
        <v>42953.40521990741</v>
      </c>
      <c r="Q203" s="1" t="s">
        <v>1102</v>
      </c>
      <c r="R203" s="1" t="s">
        <v>1103</v>
      </c>
      <c r="S203" s="13" t="s">
        <v>1104</v>
      </c>
      <c r="T203" s="14"/>
      <c r="U203" s="19" t="str">
        <f>HYPERLINK("https://pbs.twimg.com/profile_images/1070661395744780288/VmPbxahz.jpg","View")</f>
        <v>View</v>
      </c>
      <c r="V203" s="14"/>
      <c r="W203" s="14"/>
      <c r="X203" s="14"/>
      <c r="Y203" s="14"/>
      <c r="Z203" s="14"/>
    </row>
    <row r="204">
      <c r="A204" s="11">
        <v>43848.34125</v>
      </c>
      <c r="B204" s="12" t="str">
        <f>HYPERLINK("https://twitter.com/PennieHunt","@PennieHunt")</f>
        <v>@PennieHunt</v>
      </c>
      <c r="C204" s="1" t="s">
        <v>1105</v>
      </c>
      <c r="D204" s="1" t="s">
        <v>1106</v>
      </c>
      <c r="E204" s="12" t="str">
        <f>HYPERLINK("https://twitter.com/PennieHunt/status/1218521271882801152","1218521271882801152")</f>
        <v>1218521271882801152</v>
      </c>
      <c r="F204" s="13" t="s">
        <v>1107</v>
      </c>
      <c r="G204" s="13" t="s">
        <v>1108</v>
      </c>
      <c r="H204" s="14"/>
      <c r="I204" s="15">
        <v>0.0</v>
      </c>
      <c r="J204" s="15">
        <v>0.0</v>
      </c>
      <c r="K204" s="12" t="str">
        <f>HYPERLINK("https://mobile.twitter.com","Twitter Web App")</f>
        <v>Twitter Web App</v>
      </c>
      <c r="L204" s="16">
        <v>1442.0</v>
      </c>
      <c r="M204" s="16">
        <v>1453.0</v>
      </c>
      <c r="N204" s="16">
        <v>195.0</v>
      </c>
      <c r="O204" s="17"/>
      <c r="P204" s="18">
        <v>40975.721979166665</v>
      </c>
      <c r="Q204" s="1" t="s">
        <v>1109</v>
      </c>
      <c r="R204" s="1" t="s">
        <v>1110</v>
      </c>
      <c r="S204" s="13" t="s">
        <v>1111</v>
      </c>
      <c r="T204" s="14"/>
      <c r="U204" s="19" t="str">
        <f>HYPERLINK("https://pbs.twimg.com/profile_images/3070516572/9b2559a280955a6ef18d10161a82544f.jpeg","View")</f>
        <v>View</v>
      </c>
      <c r="V204" s="14"/>
      <c r="W204" s="14"/>
      <c r="X204" s="14"/>
      <c r="Y204" s="14"/>
      <c r="Z204" s="14"/>
    </row>
    <row r="205">
      <c r="A205" s="11">
        <v>43848.33395833333</v>
      </c>
      <c r="B205" s="12" t="str">
        <f>HYPERLINK("https://twitter.com/edynathan1","@edynathan1")</f>
        <v>@edynathan1</v>
      </c>
      <c r="C205" s="1" t="s">
        <v>1112</v>
      </c>
      <c r="D205" s="1" t="s">
        <v>1113</v>
      </c>
      <c r="E205" s="12" t="str">
        <f>HYPERLINK("https://twitter.com/edynathan1/status/1218518626149552128","1218518626149552128")</f>
        <v>1218518626149552128</v>
      </c>
      <c r="F205" s="13" t="s">
        <v>1114</v>
      </c>
      <c r="G205" s="13" t="s">
        <v>1115</v>
      </c>
      <c r="H205" s="14"/>
      <c r="I205" s="15">
        <v>0.0</v>
      </c>
      <c r="J205" s="15">
        <v>0.0</v>
      </c>
      <c r="K205" s="12" t="str">
        <f>HYPERLINK("https://www.hootsuite.com","Hootsuite Inc.")</f>
        <v>Hootsuite Inc.</v>
      </c>
      <c r="L205" s="16">
        <v>1719.0</v>
      </c>
      <c r="M205" s="16">
        <v>984.0</v>
      </c>
      <c r="N205" s="16">
        <v>63.0</v>
      </c>
      <c r="O205" s="17"/>
      <c r="P205" s="18">
        <v>40184.54211805556</v>
      </c>
      <c r="Q205" s="1" t="s">
        <v>1116</v>
      </c>
      <c r="R205" s="1" t="s">
        <v>1117</v>
      </c>
      <c r="S205" s="13" t="s">
        <v>1118</v>
      </c>
      <c r="T205" s="14"/>
      <c r="U205" s="19" t="str">
        <f>HYPERLINK("https://pbs.twimg.com/profile_images/997883145214218241/aJxC-fhT.jpg","View")</f>
        <v>View</v>
      </c>
      <c r="V205" s="14"/>
      <c r="W205" s="14"/>
      <c r="X205" s="14"/>
      <c r="Y205" s="14"/>
      <c r="Z205" s="14"/>
    </row>
    <row r="206">
      <c r="A206" s="11">
        <v>43848.3337962963</v>
      </c>
      <c r="B206" s="12" t="str">
        <f>HYPERLINK("https://twitter.com/BulgariaNewsUK","@BulgariaNewsUK")</f>
        <v>@BulgariaNewsUK</v>
      </c>
      <c r="C206" s="1" t="s">
        <v>1119</v>
      </c>
      <c r="D206" s="1" t="s">
        <v>1120</v>
      </c>
      <c r="E206" s="12" t="str">
        <f>HYPERLINK("https://twitter.com/BulgariaNewsUK/status/1218518567697645568","1218518567697645568")</f>
        <v>1218518567697645568</v>
      </c>
      <c r="F206" s="14"/>
      <c r="G206" s="13" t="s">
        <v>1121</v>
      </c>
      <c r="H206" s="14"/>
      <c r="I206" s="15">
        <v>0.0</v>
      </c>
      <c r="J206" s="15">
        <v>0.0</v>
      </c>
      <c r="K206" s="12" t="str">
        <f>HYPERLINK("https://www.socialoomph.com","SocialOomph")</f>
        <v>SocialOomph</v>
      </c>
      <c r="L206" s="16">
        <v>231.0</v>
      </c>
      <c r="M206" s="16">
        <v>55.0</v>
      </c>
      <c r="N206" s="16">
        <v>12.0</v>
      </c>
      <c r="O206" s="17"/>
      <c r="P206" s="18">
        <v>40415.63952546296</v>
      </c>
      <c r="Q206" s="1" t="s">
        <v>624</v>
      </c>
      <c r="R206" s="1" t="s">
        <v>1122</v>
      </c>
      <c r="S206" s="14"/>
      <c r="T206" s="14"/>
      <c r="U206" s="19" t="str">
        <f>HYPERLINK("https://pbs.twimg.com/profile_images/966421977400532994/JAy9RiuJ.jpg","View")</f>
        <v>View</v>
      </c>
      <c r="V206" s="14"/>
      <c r="W206" s="14"/>
      <c r="X206" s="14"/>
      <c r="Y206" s="14"/>
      <c r="Z206" s="14"/>
    </row>
    <row r="207">
      <c r="A207" s="11">
        <v>43848.33373842592</v>
      </c>
      <c r="B207" s="12" t="str">
        <f>HYPERLINK("https://twitter.com/Drshillingford","@Drshillingford")</f>
        <v>@Drshillingford</v>
      </c>
      <c r="C207" s="1" t="s">
        <v>1123</v>
      </c>
      <c r="D207" s="1" t="s">
        <v>1124</v>
      </c>
      <c r="E207" s="12" t="str">
        <f>HYPERLINK("https://twitter.com/Drshillingford/status/1218518549418868737","1218518549418868737")</f>
        <v>1218518549418868737</v>
      </c>
      <c r="F207" s="13" t="s">
        <v>1125</v>
      </c>
      <c r="G207" s="13" t="s">
        <v>1126</v>
      </c>
      <c r="H207" s="14"/>
      <c r="I207" s="15">
        <v>0.0</v>
      </c>
      <c r="J207" s="15">
        <v>1.0</v>
      </c>
      <c r="K207" s="12" t="str">
        <f>HYPERLINK("https://www.hootsuite.com","Hootsuite Inc.")</f>
        <v>Hootsuite Inc.</v>
      </c>
      <c r="L207" s="16">
        <v>160.0</v>
      </c>
      <c r="M207" s="16">
        <v>154.0</v>
      </c>
      <c r="N207" s="16">
        <v>33.0</v>
      </c>
      <c r="O207" s="17"/>
      <c r="P207" s="18">
        <v>40984.71876157408</v>
      </c>
      <c r="Q207" s="1" t="s">
        <v>1127</v>
      </c>
      <c r="R207" s="1" t="s">
        <v>1128</v>
      </c>
      <c r="S207" s="13" t="s">
        <v>1129</v>
      </c>
      <c r="T207" s="14"/>
      <c r="U207" s="19" t="str">
        <f>HYPERLINK("https://pbs.twimg.com/profile_images/2903245557/f37e4ec0299c8623b308182f992ff77b.png","View")</f>
        <v>View</v>
      </c>
      <c r="V207" s="14"/>
      <c r="W207" s="14"/>
      <c r="X207" s="14"/>
      <c r="Y207" s="14"/>
      <c r="Z207" s="14"/>
    </row>
    <row r="208">
      <c r="A208" s="11">
        <v>43848.33363425926</v>
      </c>
      <c r="B208" s="12" t="str">
        <f>HYPERLINK("https://twitter.com/ReyuSports","@ReyuSports")</f>
        <v>@ReyuSports</v>
      </c>
      <c r="C208" s="1" t="s">
        <v>1130</v>
      </c>
      <c r="D208" s="1" t="s">
        <v>1131</v>
      </c>
      <c r="E208" s="12" t="str">
        <f>HYPERLINK("https://twitter.com/ReyuSports/status/1218518511947042817","1218518511947042817")</f>
        <v>1218518511947042817</v>
      </c>
      <c r="F208" s="14"/>
      <c r="G208" s="13" t="s">
        <v>1132</v>
      </c>
      <c r="H208" s="14"/>
      <c r="I208" s="15">
        <v>0.0</v>
      </c>
      <c r="J208" s="15">
        <v>0.0</v>
      </c>
      <c r="K208" s="12" t="str">
        <f>HYPERLINK("https://buffer.com","Buffer")</f>
        <v>Buffer</v>
      </c>
      <c r="L208" s="16">
        <v>0.0</v>
      </c>
      <c r="M208" s="16">
        <v>1.0</v>
      </c>
      <c r="N208" s="16">
        <v>0.0</v>
      </c>
      <c r="O208" s="17"/>
      <c r="P208" s="18">
        <v>43841.14015046296</v>
      </c>
      <c r="Q208" s="14"/>
      <c r="R208" s="1" t="s">
        <v>1133</v>
      </c>
      <c r="S208" s="14"/>
      <c r="T208" s="14"/>
      <c r="U208" s="19" t="str">
        <f>HYPERLINK("https://pbs.twimg.com/profile_images/1215913289227567104/m4Pe0GSD.jpg","View")</f>
        <v>View</v>
      </c>
      <c r="V208" s="14"/>
      <c r="W208" s="14"/>
      <c r="X208" s="14"/>
      <c r="Y208" s="14"/>
      <c r="Z208" s="14"/>
    </row>
    <row r="209">
      <c r="A209" s="11">
        <v>43848.33152777777</v>
      </c>
      <c r="B209" s="12" t="str">
        <f>HYPERLINK("https://twitter.com/atommindproject","@atommindproject")</f>
        <v>@atommindproject</v>
      </c>
      <c r="C209" s="1" t="s">
        <v>1134</v>
      </c>
      <c r="D209" s="1" t="s">
        <v>1135</v>
      </c>
      <c r="E209" s="12" t="str">
        <f>HYPERLINK("https://twitter.com/atommindproject/status/1218517746318823434","1218517746318823434")</f>
        <v>1218517746318823434</v>
      </c>
      <c r="F209" s="14"/>
      <c r="G209" s="14"/>
      <c r="H209" s="14"/>
      <c r="I209" s="15">
        <v>0.0</v>
      </c>
      <c r="J209" s="15">
        <v>1.0</v>
      </c>
      <c r="K209" s="12" t="str">
        <f>HYPERLINK("https://mobile.twitter.com","Twitter Web App")</f>
        <v>Twitter Web App</v>
      </c>
      <c r="L209" s="16">
        <v>28.0</v>
      </c>
      <c r="M209" s="16">
        <v>58.0</v>
      </c>
      <c r="N209" s="16">
        <v>1.0</v>
      </c>
      <c r="O209" s="17"/>
      <c r="P209" s="18">
        <v>42935.76311342593</v>
      </c>
      <c r="Q209" s="1" t="s">
        <v>1136</v>
      </c>
      <c r="R209" s="1" t="s">
        <v>1137</v>
      </c>
      <c r="S209" s="13" t="s">
        <v>1138</v>
      </c>
      <c r="T209" s="14"/>
      <c r="U209" s="19" t="str">
        <f>HYPERLINK("https://pbs.twimg.com/profile_images/887806367175716866/v84m82u9.jpg","View")</f>
        <v>View</v>
      </c>
      <c r="V209" s="14"/>
      <c r="W209" s="14"/>
      <c r="X209" s="14"/>
      <c r="Y209" s="14"/>
      <c r="Z209" s="14"/>
    </row>
    <row r="210">
      <c r="A210" s="11">
        <v>43848.330092592594</v>
      </c>
      <c r="B210" s="12" t="str">
        <f>HYPERLINK("https://twitter.com/Yukon164","@Yukon164")</f>
        <v>@Yukon164</v>
      </c>
      <c r="C210" s="1" t="s">
        <v>1139</v>
      </c>
      <c r="D210" s="1" t="s">
        <v>1140</v>
      </c>
      <c r="E210" s="12" t="str">
        <f>HYPERLINK("https://twitter.com/Yukon164/status/1218517226753388545","1218517226753388545")</f>
        <v>1218517226753388545</v>
      </c>
      <c r="F210" s="13" t="s">
        <v>1141</v>
      </c>
      <c r="G210" s="14"/>
      <c r="H210" s="14"/>
      <c r="I210" s="15">
        <v>0.0</v>
      </c>
      <c r="J210" s="15">
        <v>0.0</v>
      </c>
      <c r="K210" s="12" t="str">
        <f>HYPERLINK("http://instagram.com","Instagram")</f>
        <v>Instagram</v>
      </c>
      <c r="L210" s="16">
        <v>190.0</v>
      </c>
      <c r="M210" s="16">
        <v>536.0</v>
      </c>
      <c r="N210" s="16">
        <v>37.0</v>
      </c>
      <c r="O210" s="17"/>
      <c r="P210" s="18">
        <v>39889.654502314814</v>
      </c>
      <c r="Q210" s="1" t="s">
        <v>1142</v>
      </c>
      <c r="R210" s="1" t="s">
        <v>1143</v>
      </c>
      <c r="S210" s="14"/>
      <c r="T210" s="14"/>
      <c r="U210" s="19" t="str">
        <f>HYPERLINK("https://pbs.twimg.com/profile_images/1162732479/3692179645_2b729e8587.jpg","View")</f>
        <v>View</v>
      </c>
      <c r="V210" s="14"/>
      <c r="W210" s="14"/>
      <c r="X210" s="14"/>
      <c r="Y210" s="14"/>
      <c r="Z210" s="14"/>
    </row>
    <row r="211">
      <c r="A211" s="11">
        <v>43848.329930555556</v>
      </c>
      <c r="B211" s="12" t="str">
        <f>HYPERLINK("https://twitter.com/margaritamadrid","@margaritamadrid")</f>
        <v>@margaritamadrid</v>
      </c>
      <c r="C211" s="1" t="s">
        <v>1144</v>
      </c>
      <c r="D211" s="1" t="s">
        <v>1145</v>
      </c>
      <c r="E211" s="12" t="str">
        <f>HYPERLINK("https://twitter.com/margaritamadrid/status/1218517166980501504","1218517166980501504")</f>
        <v>1218517166980501504</v>
      </c>
      <c r="F211" s="13" t="s">
        <v>1146</v>
      </c>
      <c r="G211" s="14"/>
      <c r="H211" s="14"/>
      <c r="I211" s="15">
        <v>0.0</v>
      </c>
      <c r="J211" s="15">
        <v>0.0</v>
      </c>
      <c r="K211" s="12" t="str">
        <f>HYPERLINK("https://www.socialoomph.com","SocialOomph")</f>
        <v>SocialOomph</v>
      </c>
      <c r="L211" s="16">
        <v>254.0</v>
      </c>
      <c r="M211" s="16">
        <v>643.0</v>
      </c>
      <c r="N211" s="16">
        <v>4.0</v>
      </c>
      <c r="O211" s="17"/>
      <c r="P211" s="18">
        <v>40112.46216435185</v>
      </c>
      <c r="Q211" s="1" t="s">
        <v>1147</v>
      </c>
      <c r="R211" s="1" t="s">
        <v>1148</v>
      </c>
      <c r="S211" s="13" t="s">
        <v>1149</v>
      </c>
      <c r="T211" s="14"/>
      <c r="U211" s="19" t="str">
        <f>HYPERLINK("https://pbs.twimg.com/profile_images/622001850796146689/O3Arqw9X.jpg","View")</f>
        <v>View</v>
      </c>
      <c r="V211" s="14"/>
      <c r="W211" s="14"/>
      <c r="X211" s="14"/>
      <c r="Y211" s="14"/>
      <c r="Z211" s="14"/>
    </row>
    <row r="212">
      <c r="A212" s="11">
        <v>43848.32539351852</v>
      </c>
      <c r="B212" s="12" t="str">
        <f>HYPERLINK("https://twitter.com/Stonelink_Intl","@Stonelink_Intl")</f>
        <v>@Stonelink_Intl</v>
      </c>
      <c r="C212" s="1" t="s">
        <v>1150</v>
      </c>
      <c r="D212" s="1" t="s">
        <v>1151</v>
      </c>
      <c r="E212" s="12" t="str">
        <f>HYPERLINK("https://twitter.com/Stonelink_Intl/status/1218515523819970561","1218515523819970561")</f>
        <v>1218515523819970561</v>
      </c>
      <c r="F212" s="13" t="s">
        <v>1152</v>
      </c>
      <c r="G212" s="13" t="s">
        <v>1153</v>
      </c>
      <c r="H212" s="14"/>
      <c r="I212" s="15">
        <v>0.0</v>
      </c>
      <c r="J212" s="15">
        <v>1.0</v>
      </c>
      <c r="K212" s="12" t="str">
        <f>HYPERLINK("https://app.planable.io","Planable")</f>
        <v>Planable</v>
      </c>
      <c r="L212" s="16">
        <v>370.0</v>
      </c>
      <c r="M212" s="16">
        <v>177.0</v>
      </c>
      <c r="N212" s="16">
        <v>12.0</v>
      </c>
      <c r="O212" s="17"/>
      <c r="P212" s="18">
        <v>41325.3065162037</v>
      </c>
      <c r="Q212" s="1" t="s">
        <v>1154</v>
      </c>
      <c r="R212" s="1" t="s">
        <v>1155</v>
      </c>
      <c r="S212" s="13" t="s">
        <v>1156</v>
      </c>
      <c r="T212" s="14"/>
      <c r="U212" s="19" t="str">
        <f>HYPERLINK("https://pbs.twimg.com/profile_images/930130292505038848/kgaE9jO9.jpg","View")</f>
        <v>View</v>
      </c>
      <c r="V212" s="14"/>
      <c r="W212" s="14"/>
      <c r="X212" s="14"/>
      <c r="Y212" s="14"/>
      <c r="Z212" s="14"/>
    </row>
    <row r="213">
      <c r="A213" s="11">
        <v>43848.32423611111</v>
      </c>
      <c r="B213" s="12" t="str">
        <f>HYPERLINK("https://twitter.com/pinkvilla","@pinkvilla")</f>
        <v>@pinkvilla</v>
      </c>
      <c r="C213" s="1" t="s">
        <v>1157</v>
      </c>
      <c r="D213" s="1" t="s">
        <v>1158</v>
      </c>
      <c r="E213" s="12" t="str">
        <f>HYPERLINK("https://twitter.com/pinkvilla/status/1218515103181611008","1218515103181611008")</f>
        <v>1218515103181611008</v>
      </c>
      <c r="F213" s="13" t="s">
        <v>1159</v>
      </c>
      <c r="G213" s="14"/>
      <c r="H213" s="14"/>
      <c r="I213" s="15">
        <v>1.0</v>
      </c>
      <c r="J213" s="15">
        <v>5.0</v>
      </c>
      <c r="K213" s="12" t="str">
        <f>HYPERLINK("http://www.pinkvilla.com","PinkVilla")</f>
        <v>PinkVilla</v>
      </c>
      <c r="L213" s="16">
        <v>883623.0</v>
      </c>
      <c r="M213" s="16">
        <v>751.0</v>
      </c>
      <c r="N213" s="16">
        <v>622.0</v>
      </c>
      <c r="O213" s="20" t="s">
        <v>38</v>
      </c>
      <c r="P213" s="18">
        <v>39526.98996527778</v>
      </c>
      <c r="Q213" s="1" t="s">
        <v>1160</v>
      </c>
      <c r="R213" s="1" t="s">
        <v>1161</v>
      </c>
      <c r="S213" s="13" t="s">
        <v>1162</v>
      </c>
      <c r="T213" s="14"/>
      <c r="U213" s="19" t="str">
        <f>HYPERLINK("https://pbs.twimg.com/profile_images/418848443881119744/uV7dEImQ.png","View")</f>
        <v>View</v>
      </c>
      <c r="V213" s="14"/>
      <c r="W213" s="14"/>
      <c r="X213" s="14"/>
      <c r="Y213" s="14"/>
      <c r="Z213" s="14"/>
    </row>
    <row r="214">
      <c r="A214" s="11">
        <v>43848.32319444444</v>
      </c>
      <c r="B214" s="12" t="str">
        <f>HYPERLINK("https://twitter.com/manojpandey66","@manojpandey66")</f>
        <v>@manojpandey66</v>
      </c>
      <c r="C214" s="1" t="s">
        <v>1163</v>
      </c>
      <c r="D214" s="1" t="s">
        <v>1164</v>
      </c>
      <c r="E214" s="12" t="str">
        <f>HYPERLINK("https://twitter.com/manojpandey66/status/1218514726990139393","1218514726990139393")</f>
        <v>1218514726990139393</v>
      </c>
      <c r="F214" s="14"/>
      <c r="G214" s="13" t="s">
        <v>1165</v>
      </c>
      <c r="H214" s="14"/>
      <c r="I214" s="15">
        <v>0.0</v>
      </c>
      <c r="J214" s="15">
        <v>1.0</v>
      </c>
      <c r="K214" s="12" t="str">
        <f>HYPERLINK("https://mobile.twitter.com","Twitter Web App")</f>
        <v>Twitter Web App</v>
      </c>
      <c r="L214" s="16">
        <v>1372.0</v>
      </c>
      <c r="M214" s="16">
        <v>555.0</v>
      </c>
      <c r="N214" s="16">
        <v>7.0</v>
      </c>
      <c r="O214" s="17"/>
      <c r="P214" s="18">
        <v>40746.0390625</v>
      </c>
      <c r="Q214" s="1" t="s">
        <v>1166</v>
      </c>
      <c r="R214" s="1" t="s">
        <v>1167</v>
      </c>
      <c r="S214" s="13" t="s">
        <v>1168</v>
      </c>
      <c r="T214" s="14"/>
      <c r="U214" s="19" t="str">
        <f>HYPERLINK("https://pbs.twimg.com/profile_images/1134750107302125569/VwLz3fkd.png","View")</f>
        <v>View</v>
      </c>
      <c r="V214" s="14"/>
      <c r="W214" s="14"/>
      <c r="X214" s="14"/>
      <c r="Y214" s="14"/>
      <c r="Z214" s="14"/>
    </row>
    <row r="215">
      <c r="A215" s="11">
        <v>43848.32319444444</v>
      </c>
      <c r="B215" s="12" t="str">
        <f>HYPERLINK("https://twitter.com/itsgardningtime","@itsgardningtime")</f>
        <v>@itsgardningtime</v>
      </c>
      <c r="C215" s="1" t="s">
        <v>1169</v>
      </c>
      <c r="D215" s="1" t="s">
        <v>1170</v>
      </c>
      <c r="E215" s="12" t="str">
        <f>HYPERLINK("https://twitter.com/itsgardningtime/status/1218514724981051392","1218514724981051392")</f>
        <v>1218514724981051392</v>
      </c>
      <c r="F215" s="13" t="s">
        <v>1171</v>
      </c>
      <c r="G215" s="14"/>
      <c r="H215" s="14"/>
      <c r="I215" s="15">
        <v>0.0</v>
      </c>
      <c r="J215" s="15">
        <v>0.0</v>
      </c>
      <c r="K215" s="12" t="str">
        <f>HYPERLINK("http://itsgardeningtime.com","its_twitter_app")</f>
        <v>its_twitter_app</v>
      </c>
      <c r="L215" s="16">
        <v>4886.0</v>
      </c>
      <c r="M215" s="16">
        <v>1450.0</v>
      </c>
      <c r="N215" s="16">
        <v>112.0</v>
      </c>
      <c r="O215" s="17"/>
      <c r="P215" s="18">
        <v>41797.48112268519</v>
      </c>
      <c r="Q215" s="1" t="s">
        <v>1172</v>
      </c>
      <c r="R215" s="1" t="s">
        <v>1173</v>
      </c>
      <c r="S215" s="13" t="s">
        <v>1174</v>
      </c>
      <c r="T215" s="14"/>
      <c r="U215" s="19" t="str">
        <f>HYPERLINK("https://pbs.twimg.com/profile_images/475316354694660096/LwQ1yvEV.jpeg","View")</f>
        <v>View</v>
      </c>
      <c r="V215" s="14"/>
      <c r="W215" s="14"/>
      <c r="X215" s="14"/>
      <c r="Y215" s="14"/>
      <c r="Z215" s="14"/>
    </row>
    <row r="216">
      <c r="A216" s="11">
        <v>43848.32119212963</v>
      </c>
      <c r="B216" s="12" t="str">
        <f>HYPERLINK("https://twitter.com/PsychCentral","@PsychCentral")</f>
        <v>@PsychCentral</v>
      </c>
      <c r="C216" s="1" t="s">
        <v>1175</v>
      </c>
      <c r="D216" s="1" t="s">
        <v>1176</v>
      </c>
      <c r="E216" s="12" t="str">
        <f>HYPERLINK("https://twitter.com/PsychCentral/status/1218514002436689920","1218514002436689920")</f>
        <v>1218514002436689920</v>
      </c>
      <c r="F216" s="13" t="s">
        <v>1177</v>
      </c>
      <c r="G216" s="14"/>
      <c r="H216" s="14"/>
      <c r="I216" s="15">
        <v>3.0</v>
      </c>
      <c r="J216" s="15">
        <v>0.0</v>
      </c>
      <c r="K216" s="12" t="str">
        <f>HYPERLINK("https://dlvrit.com/","dlvr.it")</f>
        <v>dlvr.it</v>
      </c>
      <c r="L216" s="16">
        <v>170203.0</v>
      </c>
      <c r="M216" s="16">
        <v>4429.0</v>
      </c>
      <c r="N216" s="16">
        <v>4081.0</v>
      </c>
      <c r="O216" s="17"/>
      <c r="P216" s="18">
        <v>39784.531909722224</v>
      </c>
      <c r="Q216" s="1" t="s">
        <v>1178</v>
      </c>
      <c r="R216" s="1" t="s">
        <v>1179</v>
      </c>
      <c r="S216" s="13" t="s">
        <v>1180</v>
      </c>
      <c r="T216" s="14"/>
      <c r="U216" s="19" t="str">
        <f>HYPERLINK("https://pbs.twimg.com/profile_images/904100978978369536/TwvZC2wB.jpg","View")</f>
        <v>View</v>
      </c>
      <c r="V216" s="14"/>
      <c r="W216" s="14"/>
      <c r="X216" s="14"/>
      <c r="Y216" s="14"/>
      <c r="Z216" s="14"/>
    </row>
    <row r="217">
      <c r="A217" s="11">
        <v>43848.316203703704</v>
      </c>
      <c r="B217" s="12" t="str">
        <f>HYPERLINK("https://twitter.com/AYoung2814","@AYoung2814")</f>
        <v>@AYoung2814</v>
      </c>
      <c r="C217" s="1" t="s">
        <v>1181</v>
      </c>
      <c r="D217" s="1" t="s">
        <v>1182</v>
      </c>
      <c r="E217" s="12" t="str">
        <f>HYPERLINK("https://twitter.com/AYoung2814/status/1218512193697632256","1218512193697632256")</f>
        <v>1218512193697632256</v>
      </c>
      <c r="F217" s="14"/>
      <c r="G217" s="13" t="s">
        <v>1183</v>
      </c>
      <c r="H217" s="14"/>
      <c r="I217" s="15">
        <v>220.0</v>
      </c>
      <c r="J217" s="15">
        <v>283.0</v>
      </c>
      <c r="K217" s="12" t="str">
        <f>HYPERLINK("http://twitter.com/download/android","Twitter for Android")</f>
        <v>Twitter for Android</v>
      </c>
      <c r="L217" s="16">
        <v>108.0</v>
      </c>
      <c r="M217" s="16">
        <v>403.0</v>
      </c>
      <c r="N217" s="16">
        <v>8.0</v>
      </c>
      <c r="O217" s="17"/>
      <c r="P217" s="18">
        <v>39899.88659722223</v>
      </c>
      <c r="Q217" s="1" t="s">
        <v>143</v>
      </c>
      <c r="R217" s="1" t="s">
        <v>1184</v>
      </c>
      <c r="S217" s="14"/>
      <c r="T217" s="14"/>
      <c r="U217" s="19" t="str">
        <f>HYPERLINK("https://pbs.twimg.com/profile_images/1216251311739437056/1GOfodih.jpg","View")</f>
        <v>View</v>
      </c>
      <c r="V217" s="14"/>
      <c r="W217" s="14"/>
      <c r="X217" s="14"/>
      <c r="Y217" s="14"/>
      <c r="Z217" s="14"/>
    </row>
    <row r="218">
      <c r="A218" s="11">
        <v>43848.316157407404</v>
      </c>
      <c r="B218" s="12" t="str">
        <f>HYPERLINK("https://twitter.com/DrMarkNH","@DrMarkNH")</f>
        <v>@DrMarkNH</v>
      </c>
      <c r="C218" s="1" t="s">
        <v>1185</v>
      </c>
      <c r="D218" s="1" t="s">
        <v>1186</v>
      </c>
      <c r="E218" s="12" t="str">
        <f>HYPERLINK("https://twitter.com/DrMarkNH/status/1218512178803855360","1218512178803855360")</f>
        <v>1218512178803855360</v>
      </c>
      <c r="F218" s="13" t="s">
        <v>1187</v>
      </c>
      <c r="G218" s="14"/>
      <c r="H218" s="14"/>
      <c r="I218" s="15">
        <v>0.0</v>
      </c>
      <c r="J218" s="15">
        <v>1.0</v>
      </c>
      <c r="K218" s="12" t="str">
        <f t="shared" ref="K218:K219" si="20">HYPERLINK("https://mobile.twitter.com","Twitter Web App")</f>
        <v>Twitter Web App</v>
      </c>
      <c r="L218" s="16">
        <v>69.0</v>
      </c>
      <c r="M218" s="16">
        <v>116.0</v>
      </c>
      <c r="N218" s="16">
        <v>0.0</v>
      </c>
      <c r="O218" s="17"/>
      <c r="P218" s="18">
        <v>41212.71958333333</v>
      </c>
      <c r="Q218" s="1" t="s">
        <v>1188</v>
      </c>
      <c r="R218" s="1" t="s">
        <v>1189</v>
      </c>
      <c r="S218" s="13" t="s">
        <v>1190</v>
      </c>
      <c r="T218" s="14"/>
      <c r="U218" s="19" t="str">
        <f>HYPERLINK("https://pbs.twimg.com/profile_images/3635344032/3902cf99b2f5e3d8d1b79ee1e4e62e98.jpeg","View")</f>
        <v>View</v>
      </c>
      <c r="V218" s="14"/>
      <c r="W218" s="14"/>
      <c r="X218" s="14"/>
      <c r="Y218" s="14"/>
      <c r="Z218" s="14"/>
    </row>
    <row r="219">
      <c r="A219" s="11">
        <v>43848.31449074074</v>
      </c>
      <c r="B219" s="12" t="str">
        <f>HYPERLINK("https://twitter.com/OrigamibyJamie","@OrigamibyJamie")</f>
        <v>@OrigamibyJamie</v>
      </c>
      <c r="C219" s="1" t="s">
        <v>1191</v>
      </c>
      <c r="D219" s="1" t="s">
        <v>1192</v>
      </c>
      <c r="E219" s="12" t="str">
        <f>HYPERLINK("https://twitter.com/OrigamibyJamie/status/1218511572294864897","1218511572294864897")</f>
        <v>1218511572294864897</v>
      </c>
      <c r="F219" s="13" t="s">
        <v>1193</v>
      </c>
      <c r="G219" s="14"/>
      <c r="H219" s="14"/>
      <c r="I219" s="15">
        <v>0.0</v>
      </c>
      <c r="J219" s="15">
        <v>0.0</v>
      </c>
      <c r="K219" s="12" t="str">
        <f t="shared" si="20"/>
        <v>Twitter Web App</v>
      </c>
      <c r="L219" s="16">
        <v>208.0</v>
      </c>
      <c r="M219" s="16">
        <v>124.0</v>
      </c>
      <c r="N219" s="16">
        <v>18.0</v>
      </c>
      <c r="O219" s="17"/>
      <c r="P219" s="18">
        <v>42676.59024305556</v>
      </c>
      <c r="Q219" s="1" t="s">
        <v>1194</v>
      </c>
      <c r="R219" s="1" t="s">
        <v>1195</v>
      </c>
      <c r="S219" s="13" t="s">
        <v>1196</v>
      </c>
      <c r="T219" s="14"/>
      <c r="U219" s="19" t="str">
        <f>HYPERLINK("https://pbs.twimg.com/profile_images/919522443185836032/LfdfsYSb.jpg","View")</f>
        <v>View</v>
      </c>
      <c r="V219" s="14"/>
      <c r="W219" s="14"/>
      <c r="X219" s="14"/>
      <c r="Y219" s="14"/>
      <c r="Z219" s="14"/>
    </row>
    <row r="220">
      <c r="A220" s="11">
        <v>43848.312789351854</v>
      </c>
      <c r="B220" s="12" t="str">
        <f>HYPERLINK("https://twitter.com/GHConsultingLLC","@GHConsultingLLC")</f>
        <v>@GHConsultingLLC</v>
      </c>
      <c r="C220" s="1" t="s">
        <v>1197</v>
      </c>
      <c r="D220" s="1" t="s">
        <v>1198</v>
      </c>
      <c r="E220" s="12" t="str">
        <f>HYPERLINK("https://twitter.com/GHConsultingLLC/status/1218510956285911041","1218510956285911041")</f>
        <v>1218510956285911041</v>
      </c>
      <c r="F220" s="13" t="s">
        <v>1199</v>
      </c>
      <c r="G220" s="13" t="s">
        <v>1200</v>
      </c>
      <c r="H220" s="14"/>
      <c r="I220" s="15">
        <v>0.0</v>
      </c>
      <c r="J220" s="15">
        <v>0.0</v>
      </c>
      <c r="K220" s="12" t="str">
        <f>HYPERLINK("https://buffer.com","Buffer")</f>
        <v>Buffer</v>
      </c>
      <c r="L220" s="16">
        <v>125.0</v>
      </c>
      <c r="M220" s="16">
        <v>439.0</v>
      </c>
      <c r="N220" s="16">
        <v>2.0</v>
      </c>
      <c r="O220" s="17"/>
      <c r="P220" s="18">
        <v>42841.91064814814</v>
      </c>
      <c r="Q220" s="1" t="s">
        <v>1201</v>
      </c>
      <c r="R220" s="1" t="s">
        <v>1202</v>
      </c>
      <c r="S220" s="13" t="s">
        <v>1203</v>
      </c>
      <c r="T220" s="14"/>
      <c r="U220" s="19" t="str">
        <f>HYPERLINK("https://pbs.twimg.com/profile_images/1168495387667308544/LjPVrnhZ.jpg","View")</f>
        <v>View</v>
      </c>
      <c r="V220" s="14"/>
      <c r="W220" s="14"/>
      <c r="X220" s="14"/>
      <c r="Y220" s="14"/>
      <c r="Z220" s="14"/>
    </row>
    <row r="221">
      <c r="A221" s="11">
        <v>43848.30928240741</v>
      </c>
      <c r="B221" s="12" t="str">
        <f>HYPERLINK("https://twitter.com/noordiana__","@noordiana__")</f>
        <v>@noordiana__</v>
      </c>
      <c r="C221" s="1" t="s">
        <v>1204</v>
      </c>
      <c r="D221" s="1" t="s">
        <v>1205</v>
      </c>
      <c r="E221" s="12" t="str">
        <f>HYPERLINK("https://twitter.com/noordiana__/status/1218509686065922052","1218509686065922052")</f>
        <v>1218509686065922052</v>
      </c>
      <c r="F221" s="14"/>
      <c r="G221" s="14"/>
      <c r="H221" s="14"/>
      <c r="I221" s="15">
        <v>0.0</v>
      </c>
      <c r="J221" s="15">
        <v>0.0</v>
      </c>
      <c r="K221" s="12" t="str">
        <f>HYPERLINK("http://twitter.com/download/iphone","Twitter for iPhone")</f>
        <v>Twitter for iPhone</v>
      </c>
      <c r="L221" s="16">
        <v>4.0</v>
      </c>
      <c r="M221" s="16">
        <v>57.0</v>
      </c>
      <c r="N221" s="16">
        <v>0.0</v>
      </c>
      <c r="O221" s="17"/>
      <c r="P221" s="18">
        <v>43757.20006944444</v>
      </c>
      <c r="Q221" s="14"/>
      <c r="R221" s="1" t="s">
        <v>1206</v>
      </c>
      <c r="S221" s="14"/>
      <c r="T221" s="14"/>
      <c r="U221" s="19" t="str">
        <f>HYPERLINK("https://pbs.twimg.com/profile_images/1214461982700523520/3Brhg_Sv.jpg","View")</f>
        <v>View</v>
      </c>
      <c r="V221" s="14"/>
      <c r="W221" s="14"/>
      <c r="X221" s="14"/>
      <c r="Y221" s="14"/>
      <c r="Z221" s="14"/>
    </row>
    <row r="222">
      <c r="A222" s="11">
        <v>43848.305555555555</v>
      </c>
      <c r="B222" s="12" t="str">
        <f>HYPERLINK("https://twitter.com/TrainingMindful","@TrainingMindful")</f>
        <v>@TrainingMindful</v>
      </c>
      <c r="C222" s="1" t="s">
        <v>94</v>
      </c>
      <c r="D222" s="1" t="s">
        <v>1207</v>
      </c>
      <c r="E222" s="12" t="str">
        <f>HYPERLINK("https://twitter.com/TrainingMindful/status/1218508336217444353","1218508336217444353")</f>
        <v>1218508336217444353</v>
      </c>
      <c r="F222" s="13" t="s">
        <v>1208</v>
      </c>
      <c r="G222" s="14"/>
      <c r="H222" s="14"/>
      <c r="I222" s="15">
        <v>1.0</v>
      </c>
      <c r="J222" s="15">
        <v>2.0</v>
      </c>
      <c r="K222" s="12" t="str">
        <f>HYPERLINK("https://www.socialoomph.com","SocialOomph")</f>
        <v>SocialOomph</v>
      </c>
      <c r="L222" s="16">
        <v>185303.0</v>
      </c>
      <c r="M222" s="16">
        <v>43980.0</v>
      </c>
      <c r="N222" s="16">
        <v>2800.0</v>
      </c>
      <c r="O222" s="17"/>
      <c r="P222" s="18">
        <v>41286.039305555554</v>
      </c>
      <c r="Q222" s="1" t="s">
        <v>97</v>
      </c>
      <c r="R222" s="1" t="s">
        <v>98</v>
      </c>
      <c r="S222" s="13" t="s">
        <v>99</v>
      </c>
      <c r="T222" s="14"/>
      <c r="U222" s="19" t="str">
        <f>HYPERLINK("https://pbs.twimg.com/profile_images/566526924059459584/gdMxDA9x.jpeg","View")</f>
        <v>View</v>
      </c>
      <c r="V222" s="14"/>
      <c r="W222" s="14"/>
      <c r="X222" s="14"/>
      <c r="Y222" s="14"/>
      <c r="Z222" s="14"/>
    </row>
    <row r="223">
      <c r="A223" s="11">
        <v>43848.30155092593</v>
      </c>
      <c r="B223" s="12" t="str">
        <f>HYPERLINK("https://twitter.com/kreateurreality","@kreateurreality")</f>
        <v>@kreateurreality</v>
      </c>
      <c r="C223" s="1" t="s">
        <v>1209</v>
      </c>
      <c r="D223" s="1" t="s">
        <v>1210</v>
      </c>
      <c r="E223" s="12" t="str">
        <f>HYPERLINK("https://twitter.com/kreateurreality/status/1218506882085793792","1218506882085793792")</f>
        <v>1218506882085793792</v>
      </c>
      <c r="F223" s="14"/>
      <c r="G223" s="14"/>
      <c r="H223" s="14"/>
      <c r="I223" s="15">
        <v>0.0</v>
      </c>
      <c r="J223" s="15">
        <v>1.0</v>
      </c>
      <c r="K223" s="12" t="str">
        <f t="shared" ref="K223:K224" si="21">HYPERLINK("http://twitter.com/download/iphone","Twitter for iPhone")</f>
        <v>Twitter for iPhone</v>
      </c>
      <c r="L223" s="16">
        <v>45.0</v>
      </c>
      <c r="M223" s="16">
        <v>112.0</v>
      </c>
      <c r="N223" s="16">
        <v>0.0</v>
      </c>
      <c r="O223" s="17"/>
      <c r="P223" s="18">
        <v>43765.77357638889</v>
      </c>
      <c r="Q223" s="1" t="s">
        <v>268</v>
      </c>
      <c r="R223" s="1" t="s">
        <v>1211</v>
      </c>
      <c r="S223" s="14"/>
      <c r="T223" s="14"/>
      <c r="U223" s="19" t="str">
        <f>HYPERLINK("https://pbs.twimg.com/profile_images/1214845178579697670/WSQ1aYXh.jpg","View")</f>
        <v>View</v>
      </c>
      <c r="V223" s="14"/>
      <c r="W223" s="14"/>
      <c r="X223" s="14"/>
      <c r="Y223" s="14"/>
      <c r="Z223" s="14"/>
    </row>
    <row r="224">
      <c r="A224" s="11">
        <v>43848.29751157407</v>
      </c>
      <c r="B224" s="12" t="str">
        <f>HYPERLINK("https://twitter.com/mcloide","@mcloide")</f>
        <v>@mcloide</v>
      </c>
      <c r="C224" s="1" t="s">
        <v>1212</v>
      </c>
      <c r="D224" s="1" t="s">
        <v>1213</v>
      </c>
      <c r="E224" s="12" t="str">
        <f>HYPERLINK("https://twitter.com/mcloide/status/1218505421742317568","1218505421742317568")</f>
        <v>1218505421742317568</v>
      </c>
      <c r="F224" s="14"/>
      <c r="G224" s="14"/>
      <c r="H224" s="14"/>
      <c r="I224" s="15">
        <v>0.0</v>
      </c>
      <c r="J224" s="15">
        <v>4.0</v>
      </c>
      <c r="K224" s="12" t="str">
        <f t="shared" si="21"/>
        <v>Twitter for iPhone</v>
      </c>
      <c r="L224" s="16">
        <v>514.0</v>
      </c>
      <c r="M224" s="16">
        <v>952.0</v>
      </c>
      <c r="N224" s="16">
        <v>91.0</v>
      </c>
      <c r="O224" s="17"/>
      <c r="P224" s="18">
        <v>39769.56633101852</v>
      </c>
      <c r="Q224" s="1" t="s">
        <v>1214</v>
      </c>
      <c r="R224" s="1" t="s">
        <v>1215</v>
      </c>
      <c r="S224" s="14"/>
      <c r="T224" s="14"/>
      <c r="U224" s="19" t="str">
        <f>HYPERLINK("https://pbs.twimg.com/profile_images/1166061285391421440/cy7n5kWS.jpg","View")</f>
        <v>View</v>
      </c>
      <c r="V224" s="14"/>
      <c r="W224" s="14"/>
      <c r="X224" s="14"/>
      <c r="Y224" s="14"/>
      <c r="Z224" s="14"/>
    </row>
    <row r="225">
      <c r="A225" s="11">
        <v>43848.29332175926</v>
      </c>
      <c r="B225" s="12" t="str">
        <f>HYPERLINK("https://twitter.com/SuzanneFalter","@SuzanneFalter")</f>
        <v>@SuzanneFalter</v>
      </c>
      <c r="C225" s="1" t="s">
        <v>1216</v>
      </c>
      <c r="D225" s="1" t="s">
        <v>1217</v>
      </c>
      <c r="E225" s="12" t="str">
        <f>HYPERLINK("https://twitter.com/SuzanneFalter/status/1218503900929691648","1218503900929691648")</f>
        <v>1218503900929691648</v>
      </c>
      <c r="F225" s="13" t="s">
        <v>1218</v>
      </c>
      <c r="G225" s="14"/>
      <c r="H225" s="14"/>
      <c r="I225" s="15">
        <v>0.0</v>
      </c>
      <c r="J225" s="15">
        <v>0.0</v>
      </c>
      <c r="K225" s="12" t="str">
        <f t="shared" ref="K225:K226" si="22">HYPERLINK("https://www.socialoomph.com","SocialOomph")</f>
        <v>SocialOomph</v>
      </c>
      <c r="L225" s="16">
        <v>3616.0</v>
      </c>
      <c r="M225" s="16">
        <v>2776.0</v>
      </c>
      <c r="N225" s="16">
        <v>51.0</v>
      </c>
      <c r="O225" s="17"/>
      <c r="P225" s="18">
        <v>41187.551041666666</v>
      </c>
      <c r="Q225" s="1" t="s">
        <v>1219</v>
      </c>
      <c r="R225" s="1" t="s">
        <v>1220</v>
      </c>
      <c r="S225" s="13" t="s">
        <v>1221</v>
      </c>
      <c r="T225" s="14"/>
      <c r="U225" s="19" t="str">
        <f>HYPERLINK("https://pbs.twimg.com/profile_images/614523542563069952/A_NYSrPl.jpg","View")</f>
        <v>View</v>
      </c>
      <c r="V225" s="14"/>
      <c r="W225" s="14"/>
      <c r="X225" s="14"/>
      <c r="Y225" s="14"/>
      <c r="Z225" s="14"/>
    </row>
    <row r="226">
      <c r="A226" s="11">
        <v>43848.29320601852</v>
      </c>
      <c r="B226" s="12" t="str">
        <f>HYPERLINK("https://twitter.com/ThePathOfMe","@ThePathOfMe")</f>
        <v>@ThePathOfMe</v>
      </c>
      <c r="C226" s="1" t="s">
        <v>931</v>
      </c>
      <c r="D226" s="1" t="s">
        <v>1222</v>
      </c>
      <c r="E226" s="12" t="str">
        <f>HYPERLINK("https://twitter.com/ThePathOfMe/status/1218503859112464384","1218503859112464384")</f>
        <v>1218503859112464384</v>
      </c>
      <c r="F226" s="13" t="s">
        <v>933</v>
      </c>
      <c r="G226" s="14"/>
      <c r="H226" s="14"/>
      <c r="I226" s="15">
        <v>0.0</v>
      </c>
      <c r="J226" s="15">
        <v>0.0</v>
      </c>
      <c r="K226" s="12" t="str">
        <f t="shared" si="22"/>
        <v>SocialOomph</v>
      </c>
      <c r="L226" s="16">
        <v>13129.0</v>
      </c>
      <c r="M226" s="16">
        <v>11638.0</v>
      </c>
      <c r="N226" s="16">
        <v>580.0</v>
      </c>
      <c r="O226" s="17"/>
      <c r="P226" s="18">
        <v>41567.04141203704</v>
      </c>
      <c r="Q226" s="1" t="s">
        <v>934</v>
      </c>
      <c r="R226" s="1" t="s">
        <v>935</v>
      </c>
      <c r="S226" s="13" t="s">
        <v>936</v>
      </c>
      <c r="T226" s="14"/>
      <c r="U226" s="19" t="str">
        <f>HYPERLINK("https://pbs.twimg.com/profile_images/1088560942126952449/0WtZpiss.jpg","View")</f>
        <v>View</v>
      </c>
      <c r="V226" s="14"/>
      <c r="W226" s="14"/>
      <c r="X226" s="14"/>
      <c r="Y226" s="14"/>
      <c r="Z226" s="14"/>
    </row>
    <row r="227">
      <c r="A227" s="11">
        <v>43848.27755787037</v>
      </c>
      <c r="B227" s="12" t="str">
        <f>HYPERLINK("https://twitter.com/cmueller_PhD","@cmueller_PhD")</f>
        <v>@cmueller_PhD</v>
      </c>
      <c r="C227" s="1" t="s">
        <v>1223</v>
      </c>
      <c r="D227" s="1" t="s">
        <v>1224</v>
      </c>
      <c r="E227" s="12" t="str">
        <f>HYPERLINK("https://twitter.com/cmueller_PhD/status/1218498189554278400","1218498189554278400")</f>
        <v>1218498189554278400</v>
      </c>
      <c r="F227" s="13" t="s">
        <v>1225</v>
      </c>
      <c r="G227" s="13" t="s">
        <v>1226</v>
      </c>
      <c r="H227" s="14"/>
      <c r="I227" s="15">
        <v>0.0</v>
      </c>
      <c r="J227" s="15">
        <v>9.0</v>
      </c>
      <c r="K227" s="12" t="str">
        <f>HYPERLINK("https://mobile.twitter.com","Twitter Web App")</f>
        <v>Twitter Web App</v>
      </c>
      <c r="L227" s="16">
        <v>1016.0</v>
      </c>
      <c r="M227" s="16">
        <v>889.0</v>
      </c>
      <c r="N227" s="16">
        <v>12.0</v>
      </c>
      <c r="O227" s="17"/>
      <c r="P227" s="18">
        <v>39918.09133101852</v>
      </c>
      <c r="Q227" s="1" t="s">
        <v>1227</v>
      </c>
      <c r="R227" s="1" t="s">
        <v>1228</v>
      </c>
      <c r="S227" s="13" t="s">
        <v>1229</v>
      </c>
      <c r="T227" s="14"/>
      <c r="U227" s="19" t="str">
        <f>HYPERLINK("https://pbs.twimg.com/profile_images/1192348615676743680/qujKYi1x.jpg","View")</f>
        <v>View</v>
      </c>
      <c r="V227" s="14"/>
      <c r="W227" s="14"/>
      <c r="X227" s="14"/>
      <c r="Y227" s="14"/>
      <c r="Z227" s="14"/>
    </row>
    <row r="228">
      <c r="A228" s="11">
        <v>43848.27434027778</v>
      </c>
      <c r="B228" s="12" t="str">
        <f>HYPERLINK("https://twitter.com/gastrocure","@gastrocure")</f>
        <v>@gastrocure</v>
      </c>
      <c r="C228" s="1" t="s">
        <v>1230</v>
      </c>
      <c r="D228" s="1" t="s">
        <v>1231</v>
      </c>
      <c r="E228" s="12" t="str">
        <f>HYPERLINK("https://twitter.com/gastrocure/status/1218497021100855296","1218497021100855296")</f>
        <v>1218497021100855296</v>
      </c>
      <c r="F228" s="13" t="s">
        <v>1232</v>
      </c>
      <c r="G228" s="14"/>
      <c r="H228" s="14"/>
      <c r="I228" s="15">
        <v>1.0</v>
      </c>
      <c r="J228" s="15">
        <v>0.0</v>
      </c>
      <c r="K228" s="12" t="str">
        <f>HYPERLINK("https://www.hootsuite.com","Hootsuite Inc.")</f>
        <v>Hootsuite Inc.</v>
      </c>
      <c r="L228" s="16">
        <v>248.0</v>
      </c>
      <c r="M228" s="16">
        <v>160.0</v>
      </c>
      <c r="N228" s="16">
        <v>39.0</v>
      </c>
      <c r="O228" s="17"/>
      <c r="P228" s="18">
        <v>40491.807905092595</v>
      </c>
      <c r="Q228" s="1" t="s">
        <v>1233</v>
      </c>
      <c r="R228" s="1" t="s">
        <v>1234</v>
      </c>
      <c r="S228" s="13" t="s">
        <v>1235</v>
      </c>
      <c r="T228" s="14"/>
      <c r="U228" s="19" t="str">
        <f>HYPERLINK("https://pbs.twimg.com/profile_images/557254603708706816/a8G9lsZ9.jpeg","View")</f>
        <v>View</v>
      </c>
      <c r="V228" s="14"/>
      <c r="W228" s="14"/>
      <c r="X228" s="14"/>
      <c r="Y228" s="14"/>
      <c r="Z228" s="14"/>
    </row>
    <row r="229">
      <c r="A229" s="11">
        <v>43848.27222222222</v>
      </c>
      <c r="B229" s="12" t="str">
        <f>HYPERLINK("https://twitter.com/InovaHealth","@InovaHealth")</f>
        <v>@InovaHealth</v>
      </c>
      <c r="C229" s="1" t="s">
        <v>1236</v>
      </c>
      <c r="D229" s="1" t="s">
        <v>1237</v>
      </c>
      <c r="E229" s="12" t="str">
        <f>HYPERLINK("https://twitter.com/InovaHealth/status/1218496254260457478","1218496254260457478")</f>
        <v>1218496254260457478</v>
      </c>
      <c r="F229" s="13" t="s">
        <v>1238</v>
      </c>
      <c r="G229" s="14"/>
      <c r="H229" s="14"/>
      <c r="I229" s="15">
        <v>0.0</v>
      </c>
      <c r="J229" s="15">
        <v>1.0</v>
      </c>
      <c r="K229" s="12" t="str">
        <f>HYPERLINK("https://about.twitter.com/products/tweetdeck","TweetDeck")</f>
        <v>TweetDeck</v>
      </c>
      <c r="L229" s="16">
        <v>9923.0</v>
      </c>
      <c r="M229" s="16">
        <v>578.0</v>
      </c>
      <c r="N229" s="16">
        <v>409.0</v>
      </c>
      <c r="O229" s="20" t="s">
        <v>38</v>
      </c>
      <c r="P229" s="18">
        <v>39826.72420138889</v>
      </c>
      <c r="Q229" s="1" t="s">
        <v>1239</v>
      </c>
      <c r="R229" s="1" t="s">
        <v>1240</v>
      </c>
      <c r="S229" s="13" t="s">
        <v>1241</v>
      </c>
      <c r="T229" s="14"/>
      <c r="U229" s="19" t="str">
        <f>HYPERLINK("https://pbs.twimg.com/profile_images/1110925361729208321/6tmIW6Km.png","View")</f>
        <v>View</v>
      </c>
      <c r="V229" s="14"/>
      <c r="W229" s="14"/>
      <c r="X229" s="14"/>
      <c r="Y229" s="14"/>
      <c r="Z229" s="14"/>
    </row>
    <row r="230">
      <c r="A230" s="11">
        <v>43848.26949074074</v>
      </c>
      <c r="B230" s="12" t="str">
        <f>HYPERLINK("https://twitter.com/MummyFever","@MummyFever")</f>
        <v>@MummyFever</v>
      </c>
      <c r="C230" s="1" t="s">
        <v>1242</v>
      </c>
      <c r="D230" s="1" t="s">
        <v>1243</v>
      </c>
      <c r="E230" s="12" t="str">
        <f>HYPERLINK("https://twitter.com/MummyFever/status/1218495265071681536","1218495265071681536")</f>
        <v>1218495265071681536</v>
      </c>
      <c r="F230" s="13" t="s">
        <v>1244</v>
      </c>
      <c r="G230" s="13" t="s">
        <v>1245</v>
      </c>
      <c r="H230" s="14"/>
      <c r="I230" s="15">
        <v>0.0</v>
      </c>
      <c r="J230" s="15">
        <v>0.0</v>
      </c>
      <c r="K230" s="12" t="str">
        <f>HYPERLINK("https://www.socialoomph.com","SocialOomph")</f>
        <v>SocialOomph</v>
      </c>
      <c r="L230" s="16">
        <v>14129.0</v>
      </c>
      <c r="M230" s="16">
        <v>9218.0</v>
      </c>
      <c r="N230" s="16">
        <v>891.0</v>
      </c>
      <c r="O230" s="17"/>
      <c r="P230" s="18">
        <v>40742.228854166664</v>
      </c>
      <c r="Q230" s="1" t="s">
        <v>1246</v>
      </c>
      <c r="R230" s="1" t="s">
        <v>1247</v>
      </c>
      <c r="S230" s="13" t="s">
        <v>1248</v>
      </c>
      <c r="T230" s="14"/>
      <c r="U230" s="19" t="str">
        <f>HYPERLINK("https://pbs.twimg.com/profile_images/672422566083084288/i27uCbEE.jpg","View")</f>
        <v>View</v>
      </c>
      <c r="V230" s="14"/>
      <c r="W230" s="14"/>
      <c r="X230" s="14"/>
      <c r="Y230" s="14"/>
      <c r="Z230" s="14"/>
    </row>
    <row r="231">
      <c r="A231" s="11">
        <v>43848.25714120371</v>
      </c>
      <c r="B231" s="12" t="str">
        <f>HYPERLINK("https://twitter.com/PolyConundrum","@PolyConundrum")</f>
        <v>@PolyConundrum</v>
      </c>
      <c r="C231" s="1" t="s">
        <v>826</v>
      </c>
      <c r="D231" s="1" t="s">
        <v>827</v>
      </c>
      <c r="E231" s="12" t="str">
        <f>HYPERLINK("https://twitter.com/PolyConundrum/status/1218490792228130817","1218490792228130817")</f>
        <v>1218490792228130817</v>
      </c>
      <c r="F231" s="13" t="s">
        <v>828</v>
      </c>
      <c r="G231" s="13" t="s">
        <v>1249</v>
      </c>
      <c r="H231" s="14"/>
      <c r="I231" s="15">
        <v>0.0</v>
      </c>
      <c r="J231" s="15">
        <v>0.0</v>
      </c>
      <c r="K231" s="12" t="str">
        <f>HYPERLINK("http://innerself.com/content/social.html","Jocial")</f>
        <v>Jocial</v>
      </c>
      <c r="L231" s="16">
        <v>1339.0</v>
      </c>
      <c r="M231" s="16">
        <v>1294.0</v>
      </c>
      <c r="N231" s="16">
        <v>123.0</v>
      </c>
      <c r="O231" s="17"/>
      <c r="P231" s="18">
        <v>41353.64335648148</v>
      </c>
      <c r="Q231" s="1" t="s">
        <v>830</v>
      </c>
      <c r="R231" s="1" t="s">
        <v>831</v>
      </c>
      <c r="S231" s="13" t="s">
        <v>832</v>
      </c>
      <c r="T231" s="14"/>
      <c r="U231" s="19" t="str">
        <f>HYPERLINK("https://pbs.twimg.com/profile_images/734517371222827008/kWmnbPYS.jpg","View")</f>
        <v>View</v>
      </c>
      <c r="V231" s="14"/>
      <c r="W231" s="14"/>
      <c r="X231" s="14"/>
      <c r="Y231" s="14"/>
      <c r="Z231" s="14"/>
    </row>
    <row r="232">
      <c r="A232" s="11">
        <v>43848.25714120371</v>
      </c>
      <c r="B232" s="12" t="str">
        <f>HYPERLINK("https://twitter.com/InnerSelfcom","@InnerSelfcom")</f>
        <v>@InnerSelfcom</v>
      </c>
      <c r="C232" s="13" t="s">
        <v>833</v>
      </c>
      <c r="D232" s="1" t="s">
        <v>827</v>
      </c>
      <c r="E232" s="12" t="str">
        <f>HYPERLINK("https://twitter.com/InnerSelfcom/status/1218490789870931968","1218490789870931968")</f>
        <v>1218490789870931968</v>
      </c>
      <c r="F232" s="13" t="s">
        <v>828</v>
      </c>
      <c r="G232" s="13" t="s">
        <v>1250</v>
      </c>
      <c r="H232" s="14"/>
      <c r="I232" s="15">
        <v>0.0</v>
      </c>
      <c r="J232" s="15">
        <v>0.0</v>
      </c>
      <c r="K232" s="12" t="str">
        <f>HYPERLINK("https://innerself.com/content","InnerSelfcom")</f>
        <v>InnerSelfcom</v>
      </c>
      <c r="L232" s="16">
        <v>2680.0</v>
      </c>
      <c r="M232" s="16">
        <v>2592.0</v>
      </c>
      <c r="N232" s="16">
        <v>309.0</v>
      </c>
      <c r="O232" s="17"/>
      <c r="P232" s="18">
        <v>40544.860300925924</v>
      </c>
      <c r="Q232" s="1" t="s">
        <v>830</v>
      </c>
      <c r="R232" s="1" t="s">
        <v>835</v>
      </c>
      <c r="S232" s="13" t="s">
        <v>836</v>
      </c>
      <c r="T232" s="14"/>
      <c r="U232" s="19" t="str">
        <f>HYPERLINK("https://pbs.twimg.com/profile_images/554419299712892928/Z_KvUo-W.png","View")</f>
        <v>View</v>
      </c>
      <c r="V232" s="14"/>
      <c r="W232" s="14"/>
      <c r="X232" s="14"/>
      <c r="Y232" s="14"/>
      <c r="Z232" s="14"/>
    </row>
    <row r="233">
      <c r="A233" s="11">
        <v>43848.25525462963</v>
      </c>
      <c r="B233" s="12" t="str">
        <f>HYPERLINK("https://twitter.com/trafficjam_app","@trafficjam_app")</f>
        <v>@trafficjam_app</v>
      </c>
      <c r="C233" s="1" t="s">
        <v>1251</v>
      </c>
      <c r="D233" s="1" t="s">
        <v>1252</v>
      </c>
      <c r="E233" s="12" t="str">
        <f>HYPERLINK("https://twitter.com/trafficjam_app/status/1218490104446103554","1218490104446103554")</f>
        <v>1218490104446103554</v>
      </c>
      <c r="F233" s="13" t="s">
        <v>1253</v>
      </c>
      <c r="G233" s="13" t="s">
        <v>1254</v>
      </c>
      <c r="H233" s="14"/>
      <c r="I233" s="15">
        <v>2.0</v>
      </c>
      <c r="J233" s="15">
        <v>0.0</v>
      </c>
      <c r="K233" s="12" t="str">
        <f>HYPERLINK("https://zapier.com/","Zapier.com")</f>
        <v>Zapier.com</v>
      </c>
      <c r="L233" s="16">
        <v>113.0</v>
      </c>
      <c r="M233" s="16">
        <v>50.0</v>
      </c>
      <c r="N233" s="16">
        <v>1.0</v>
      </c>
      <c r="O233" s="17"/>
      <c r="P233" s="18">
        <v>42994.542708333334</v>
      </c>
      <c r="Q233" s="1" t="s">
        <v>1255</v>
      </c>
      <c r="R233" s="1" t="s">
        <v>1256</v>
      </c>
      <c r="S233" s="13" t="s">
        <v>1257</v>
      </c>
      <c r="T233" s="14"/>
      <c r="U233" s="19" t="str">
        <f>HYPERLINK("https://pbs.twimg.com/profile_images/1020242156571766786/l1YKw5xD.jpg","View")</f>
        <v>View</v>
      </c>
      <c r="V233" s="14"/>
      <c r="W233" s="14"/>
      <c r="X233" s="14"/>
      <c r="Y233" s="14"/>
      <c r="Z233" s="14"/>
    </row>
    <row r="234">
      <c r="A234" s="11">
        <v>43848.2547337963</v>
      </c>
      <c r="B234" s="12" t="str">
        <f>HYPERLINK("https://twitter.com/22prasanna","@22prasanna")</f>
        <v>@22prasanna</v>
      </c>
      <c r="C234" s="1" t="s">
        <v>1258</v>
      </c>
      <c r="D234" s="1" t="s">
        <v>1259</v>
      </c>
      <c r="E234" s="12" t="str">
        <f>HYPERLINK("https://twitter.com/22prasanna/status/1218489919640784896","1218489919640784896")</f>
        <v>1218489919640784896</v>
      </c>
      <c r="F234" s="14"/>
      <c r="G234" s="14"/>
      <c r="H234" s="14"/>
      <c r="I234" s="15">
        <v>0.0</v>
      </c>
      <c r="J234" s="15">
        <v>0.0</v>
      </c>
      <c r="K234" s="12" t="str">
        <f>HYPERLINK("http://twitter.com/download/android","Twitter for Android")</f>
        <v>Twitter for Android</v>
      </c>
      <c r="L234" s="16">
        <v>27.0</v>
      </c>
      <c r="M234" s="16">
        <v>277.0</v>
      </c>
      <c r="N234" s="16">
        <v>0.0</v>
      </c>
      <c r="O234" s="17"/>
      <c r="P234" s="18">
        <v>40399.52380787037</v>
      </c>
      <c r="Q234" s="14"/>
      <c r="R234" s="14"/>
      <c r="S234" s="14"/>
      <c r="T234" s="14"/>
      <c r="U234" s="19" t="str">
        <f>HYPERLINK("https://pbs.twimg.com/profile_images/1060230889756487685/1N1jlBvS.jpg","View")</f>
        <v>View</v>
      </c>
      <c r="V234" s="14"/>
      <c r="W234" s="14"/>
      <c r="X234" s="14"/>
      <c r="Y234" s="14"/>
      <c r="Z234" s="14"/>
    </row>
    <row r="235">
      <c r="A235" s="11">
        <v>43848.250821759255</v>
      </c>
      <c r="B235" s="12" t="str">
        <f>HYPERLINK("https://twitter.com/GoForHealth","@GoForHealth")</f>
        <v>@GoForHealth</v>
      </c>
      <c r="C235" s="1" t="s">
        <v>1260</v>
      </c>
      <c r="D235" s="1" t="s">
        <v>1261</v>
      </c>
      <c r="E235" s="12" t="str">
        <f>HYPERLINK("https://twitter.com/GoForHealth/status/1218488500544327680","1218488500544327680")</f>
        <v>1218488500544327680</v>
      </c>
      <c r="F235" s="13" t="s">
        <v>1262</v>
      </c>
      <c r="G235" s="13" t="s">
        <v>1263</v>
      </c>
      <c r="H235" s="14"/>
      <c r="I235" s="15">
        <v>0.0</v>
      </c>
      <c r="J235" s="15">
        <v>0.0</v>
      </c>
      <c r="K235" s="12" t="str">
        <f>HYPERLINK("https://www.socialoomph.com","SocialOomph")</f>
        <v>SocialOomph</v>
      </c>
      <c r="L235" s="16">
        <v>2770.0</v>
      </c>
      <c r="M235" s="16">
        <v>656.0</v>
      </c>
      <c r="N235" s="16">
        <v>253.0</v>
      </c>
      <c r="O235" s="17"/>
      <c r="P235" s="18">
        <v>42076.4437962963</v>
      </c>
      <c r="Q235" s="1" t="s">
        <v>1264</v>
      </c>
      <c r="R235" s="1" t="s">
        <v>1265</v>
      </c>
      <c r="S235" s="13" t="s">
        <v>1266</v>
      </c>
      <c r="T235" s="14"/>
      <c r="U235" s="19" t="str">
        <f>HYPERLINK("https://pbs.twimg.com/profile_images/603859132467159040/VtO4OVgm.jpg","View")</f>
        <v>View</v>
      </c>
      <c r="V235" s="14"/>
      <c r="W235" s="14"/>
      <c r="X235" s="14"/>
      <c r="Y235" s="14"/>
      <c r="Z235" s="14"/>
    </row>
    <row r="236">
      <c r="A236" s="11">
        <v>43848.25048611111</v>
      </c>
      <c r="B236" s="12" t="str">
        <f>HYPERLINK("https://twitter.com/HPFT_Wellbeing","@HPFT_Wellbeing")</f>
        <v>@HPFT_Wellbeing</v>
      </c>
      <c r="C236" s="1" t="s">
        <v>1267</v>
      </c>
      <c r="D236" s="1" t="s">
        <v>1268</v>
      </c>
      <c r="E236" s="12" t="str">
        <f>HYPERLINK("https://twitter.com/HPFT_Wellbeing/status/1218488377718312960","1218488377718312960")</f>
        <v>1218488377718312960</v>
      </c>
      <c r="F236" s="13" t="s">
        <v>1269</v>
      </c>
      <c r="G236" s="14"/>
      <c r="H236" s="14"/>
      <c r="I236" s="15">
        <v>0.0</v>
      </c>
      <c r="J236" s="15">
        <v>0.0</v>
      </c>
      <c r="K236" s="12" t="str">
        <f t="shared" ref="K236:K237" si="23">HYPERLINK("https://www.hootsuite.com","Hootsuite Inc.")</f>
        <v>Hootsuite Inc.</v>
      </c>
      <c r="L236" s="16">
        <v>1306.0</v>
      </c>
      <c r="M236" s="16">
        <v>802.0</v>
      </c>
      <c r="N236" s="16">
        <v>20.0</v>
      </c>
      <c r="O236" s="17"/>
      <c r="P236" s="18">
        <v>42527.420798611114</v>
      </c>
      <c r="Q236" s="1" t="s">
        <v>1270</v>
      </c>
      <c r="R236" s="1" t="s">
        <v>1271</v>
      </c>
      <c r="S236" s="13" t="s">
        <v>1272</v>
      </c>
      <c r="T236" s="14"/>
      <c r="U236" s="19" t="str">
        <f>HYPERLINK("https://pbs.twimg.com/profile_images/1037703752311078914/5bEhwy_L.jpg","View")</f>
        <v>View</v>
      </c>
      <c r="V236" s="14"/>
      <c r="W236" s="14"/>
      <c r="X236" s="14"/>
      <c r="Y236" s="14"/>
      <c r="Z236" s="14"/>
    </row>
    <row r="237">
      <c r="A237" s="11">
        <v>43848.25020833334</v>
      </c>
      <c r="B237" s="12" t="str">
        <f>HYPERLINK("https://twitter.com/GetInControl","@GetInControl")</f>
        <v>@GetInControl</v>
      </c>
      <c r="C237" s="1" t="s">
        <v>141</v>
      </c>
      <c r="D237" s="1" t="s">
        <v>1273</v>
      </c>
      <c r="E237" s="12" t="str">
        <f>HYPERLINK("https://twitter.com/GetInControl/status/1218488276207775744","1218488276207775744")</f>
        <v>1218488276207775744</v>
      </c>
      <c r="F237" s="14"/>
      <c r="G237" s="14"/>
      <c r="H237" s="14"/>
      <c r="I237" s="15">
        <v>0.0</v>
      </c>
      <c r="J237" s="15">
        <v>0.0</v>
      </c>
      <c r="K237" s="12" t="str">
        <f t="shared" si="23"/>
        <v>Hootsuite Inc.</v>
      </c>
      <c r="L237" s="16">
        <v>22186.0</v>
      </c>
      <c r="M237" s="16">
        <v>21835.0</v>
      </c>
      <c r="N237" s="16">
        <v>445.0</v>
      </c>
      <c r="O237" s="17"/>
      <c r="P237" s="18">
        <v>42227.6969212963</v>
      </c>
      <c r="Q237" s="1" t="s">
        <v>143</v>
      </c>
      <c r="R237" s="1" t="s">
        <v>144</v>
      </c>
      <c r="S237" s="13" t="s">
        <v>145</v>
      </c>
      <c r="T237" s="14"/>
      <c r="U237" s="19" t="str">
        <f>HYPERLINK("https://pbs.twimg.com/profile_images/631206513269325824/kbwx8-DF.png","View")</f>
        <v>View</v>
      </c>
      <c r="V237" s="14"/>
      <c r="W237" s="14"/>
      <c r="X237" s="14"/>
      <c r="Y237" s="14"/>
      <c r="Z237" s="14"/>
    </row>
    <row r="238">
      <c r="A238" s="11">
        <v>43848.250185185185</v>
      </c>
      <c r="B238" s="12" t="str">
        <f>HYPERLINK("https://twitter.com/Geobearglobal","@Geobearglobal")</f>
        <v>@Geobearglobal</v>
      </c>
      <c r="C238" s="1" t="s">
        <v>1274</v>
      </c>
      <c r="D238" s="1" t="s">
        <v>1275</v>
      </c>
      <c r="E238" s="12" t="str">
        <f>HYPERLINK("https://twitter.com/Geobearglobal/status/1218488269547220995","1218488269547220995")</f>
        <v>1218488269547220995</v>
      </c>
      <c r="F238" s="13" t="s">
        <v>1276</v>
      </c>
      <c r="G238" s="14"/>
      <c r="H238" s="14"/>
      <c r="I238" s="15">
        <v>0.0</v>
      </c>
      <c r="J238" s="15">
        <v>1.0</v>
      </c>
      <c r="K238" s="12" t="str">
        <f>HYPERLINK("https://www.loomly.com/","Loomly")</f>
        <v>Loomly</v>
      </c>
      <c r="L238" s="16">
        <v>481.0</v>
      </c>
      <c r="M238" s="16">
        <v>935.0</v>
      </c>
      <c r="N238" s="16">
        <v>5.0</v>
      </c>
      <c r="O238" s="17"/>
      <c r="P238" s="18">
        <v>40049.41255787037</v>
      </c>
      <c r="Q238" s="1" t="s">
        <v>268</v>
      </c>
      <c r="R238" s="1" t="s">
        <v>1277</v>
      </c>
      <c r="S238" s="13" t="s">
        <v>1278</v>
      </c>
      <c r="T238" s="14"/>
      <c r="U238" s="19" t="str">
        <f>HYPERLINK("https://pbs.twimg.com/profile_images/942713361757765642/QiL2kQ7C.jpg","View")</f>
        <v>View</v>
      </c>
      <c r="V238" s="14"/>
      <c r="W238" s="14"/>
      <c r="X238" s="14"/>
      <c r="Y238" s="14"/>
      <c r="Z238" s="14"/>
    </row>
    <row r="239">
      <c r="A239" s="11">
        <v>43848.249918981484</v>
      </c>
      <c r="B239" s="12" t="str">
        <f>HYPERLINK("https://twitter.com/treesword","@treesword")</f>
        <v>@treesword</v>
      </c>
      <c r="C239" s="1" t="s">
        <v>1279</v>
      </c>
      <c r="D239" s="1" t="s">
        <v>1280</v>
      </c>
      <c r="E239" s="12" t="str">
        <f>HYPERLINK("https://twitter.com/treesword/status/1218488173015134209","1218488173015134209")</f>
        <v>1218488173015134209</v>
      </c>
      <c r="F239" s="13" t="s">
        <v>1281</v>
      </c>
      <c r="G239" s="13" t="s">
        <v>1282</v>
      </c>
      <c r="H239" s="14"/>
      <c r="I239" s="15">
        <v>0.0</v>
      </c>
      <c r="J239" s="15">
        <v>1.0</v>
      </c>
      <c r="K239" s="12" t="str">
        <f>HYPERLINK("http://twitter.com/download/iphone","Twitter for iPhone")</f>
        <v>Twitter for iPhone</v>
      </c>
      <c r="L239" s="16">
        <v>56.0</v>
      </c>
      <c r="M239" s="16">
        <v>370.0</v>
      </c>
      <c r="N239" s="16">
        <v>2.0</v>
      </c>
      <c r="O239" s="17"/>
      <c r="P239" s="18">
        <v>40494.28407407407</v>
      </c>
      <c r="Q239" s="1" t="s">
        <v>1283</v>
      </c>
      <c r="R239" s="1" t="s">
        <v>1284</v>
      </c>
      <c r="S239" s="14"/>
      <c r="T239" s="14"/>
      <c r="U239" s="19" t="str">
        <f>HYPERLINK("https://pbs.twimg.com/profile_images/1203218954799345665/81V2cPtr.jpg","View")</f>
        <v>View</v>
      </c>
      <c r="V239" s="14"/>
      <c r="W239" s="14"/>
      <c r="X239" s="14"/>
      <c r="Y239" s="14"/>
      <c r="Z239" s="14"/>
    </row>
    <row r="240">
      <c r="A240" s="11">
        <v>43848.24313657408</v>
      </c>
      <c r="B240" s="12" t="str">
        <f>HYPERLINK("https://twitter.com/drlisaweeksND","@drlisaweeksND")</f>
        <v>@drlisaweeksND</v>
      </c>
      <c r="C240" s="1" t="s">
        <v>1285</v>
      </c>
      <c r="D240" s="1" t="s">
        <v>1286</v>
      </c>
      <c r="E240" s="12" t="str">
        <f>HYPERLINK("https://twitter.com/drlisaweeksND/status/1218485716021280768","1218485716021280768")</f>
        <v>1218485716021280768</v>
      </c>
      <c r="F240" s="14"/>
      <c r="G240" s="13" t="s">
        <v>1287</v>
      </c>
      <c r="H240" s="14"/>
      <c r="I240" s="15">
        <v>0.0</v>
      </c>
      <c r="J240" s="15">
        <v>1.0</v>
      </c>
      <c r="K240" s="12" t="str">
        <f>HYPERLINK("https://www.hootsuite.com","Hootsuite Inc.")</f>
        <v>Hootsuite Inc.</v>
      </c>
      <c r="L240" s="16">
        <v>1611.0</v>
      </c>
      <c r="M240" s="16">
        <v>834.0</v>
      </c>
      <c r="N240" s="16">
        <v>118.0</v>
      </c>
      <c r="O240" s="17"/>
      <c r="P240" s="18">
        <v>39971.703622685185</v>
      </c>
      <c r="Q240" s="1" t="s">
        <v>1288</v>
      </c>
      <c r="R240" s="1" t="s">
        <v>1289</v>
      </c>
      <c r="S240" s="13" t="s">
        <v>1290</v>
      </c>
      <c r="T240" s="14"/>
      <c r="U240" s="19" t="str">
        <f>HYPERLINK("https://pbs.twimg.com/profile_images/1833600119/Lisa_Crop1-1compress.jpg","View")</f>
        <v>View</v>
      </c>
      <c r="V240" s="14"/>
      <c r="W240" s="14"/>
      <c r="X240" s="14"/>
      <c r="Y240" s="14"/>
      <c r="Z240" s="14"/>
    </row>
    <row r="241">
      <c r="A241" s="11">
        <v>43848.234131944446</v>
      </c>
      <c r="B241" s="12" t="str">
        <f>HYPERLINK("https://twitter.com/ThePathOfMe","@ThePathOfMe")</f>
        <v>@ThePathOfMe</v>
      </c>
      <c r="C241" s="1" t="s">
        <v>931</v>
      </c>
      <c r="D241" s="1" t="s">
        <v>1291</v>
      </c>
      <c r="E241" s="12" t="str">
        <f>HYPERLINK("https://twitter.com/ThePathOfMe/status/1218482450134896640","1218482450134896640")</f>
        <v>1218482450134896640</v>
      </c>
      <c r="F241" s="13" t="s">
        <v>1292</v>
      </c>
      <c r="G241" s="14"/>
      <c r="H241" s="14"/>
      <c r="I241" s="15">
        <v>0.0</v>
      </c>
      <c r="J241" s="15">
        <v>0.0</v>
      </c>
      <c r="K241" s="12" t="str">
        <f>HYPERLINK("https://www.socialoomph.com","SocialOomph")</f>
        <v>SocialOomph</v>
      </c>
      <c r="L241" s="16">
        <v>13129.0</v>
      </c>
      <c r="M241" s="16">
        <v>11638.0</v>
      </c>
      <c r="N241" s="16">
        <v>580.0</v>
      </c>
      <c r="O241" s="17"/>
      <c r="P241" s="18">
        <v>41567.04141203704</v>
      </c>
      <c r="Q241" s="1" t="s">
        <v>934</v>
      </c>
      <c r="R241" s="1" t="s">
        <v>935</v>
      </c>
      <c r="S241" s="13" t="s">
        <v>936</v>
      </c>
      <c r="T241" s="14"/>
      <c r="U241" s="19" t="str">
        <f>HYPERLINK("https://pbs.twimg.com/profile_images/1088560942126952449/0WtZpiss.jpg","View")</f>
        <v>View</v>
      </c>
      <c r="V241" s="14"/>
      <c r="W241" s="14"/>
      <c r="X241" s="14"/>
      <c r="Y241" s="14"/>
      <c r="Z241" s="14"/>
    </row>
    <row r="242">
      <c r="A242" s="11">
        <v>43848.23376157407</v>
      </c>
      <c r="B242" s="12" t="str">
        <f>HYPERLINK("https://twitter.com/_weightloss284","@_weightloss284")</f>
        <v>@_weightloss284</v>
      </c>
      <c r="C242" s="1" t="s">
        <v>1293</v>
      </c>
      <c r="D242" s="1" t="s">
        <v>1294</v>
      </c>
      <c r="E242" s="12" t="str">
        <f>HYPERLINK("https://twitter.com/_weightloss284/status/1218482317078999041","1218482317078999041")</f>
        <v>1218482317078999041</v>
      </c>
      <c r="F242" s="13" t="s">
        <v>1295</v>
      </c>
      <c r="G242" s="13" t="s">
        <v>1296</v>
      </c>
      <c r="H242" s="14"/>
      <c r="I242" s="15">
        <v>0.0</v>
      </c>
      <c r="J242" s="15">
        <v>0.0</v>
      </c>
      <c r="K242" s="12" t="str">
        <f>HYPERLINK("http://pachaworld.org/","Pachaworldmain")</f>
        <v>Pachaworldmain</v>
      </c>
      <c r="L242" s="16">
        <v>30740.0</v>
      </c>
      <c r="M242" s="16">
        <v>29150.0</v>
      </c>
      <c r="N242" s="16">
        <v>648.0</v>
      </c>
      <c r="O242" s="17"/>
      <c r="P242" s="18">
        <v>40811.433842592596</v>
      </c>
      <c r="Q242" s="1" t="s">
        <v>1297</v>
      </c>
      <c r="R242" s="1" t="s">
        <v>1298</v>
      </c>
      <c r="S242" s="13" t="s">
        <v>1299</v>
      </c>
      <c r="T242" s="14"/>
      <c r="U242" s="19" t="str">
        <f>HYPERLINK("https://pbs.twimg.com/profile_images/856213931802710018/G1Ag0eNK.jpg","View")</f>
        <v>View</v>
      </c>
      <c r="V242" s="14"/>
      <c r="W242" s="14"/>
      <c r="X242" s="14"/>
      <c r="Y242" s="14"/>
      <c r="Z242" s="14"/>
    </row>
    <row r="243">
      <c r="A243" s="11">
        <v>43848.22991898148</v>
      </c>
      <c r="B243" s="12" t="str">
        <f>HYPERLINK("https://twitter.com/icliniq","@icliniq")</f>
        <v>@icliniq</v>
      </c>
      <c r="C243" s="1" t="s">
        <v>1300</v>
      </c>
      <c r="D243" s="1" t="s">
        <v>1301</v>
      </c>
      <c r="E243" s="12" t="str">
        <f>HYPERLINK("https://twitter.com/icliniq/status/1218480925895483393","1218480925895483393")</f>
        <v>1218480925895483393</v>
      </c>
      <c r="F243" s="13" t="s">
        <v>1302</v>
      </c>
      <c r="G243" s="14"/>
      <c r="H243" s="14"/>
      <c r="I243" s="15">
        <v>0.0</v>
      </c>
      <c r="J243" s="15">
        <v>0.0</v>
      </c>
      <c r="K243" s="12" t="str">
        <f>HYPERLINK("https://panel.socialpilot.co/","SocialPilot.co")</f>
        <v>SocialPilot.co</v>
      </c>
      <c r="L243" s="16">
        <v>7102.0</v>
      </c>
      <c r="M243" s="16">
        <v>2010.0</v>
      </c>
      <c r="N243" s="16">
        <v>119.0</v>
      </c>
      <c r="O243" s="17"/>
      <c r="P243" s="18">
        <v>40554.57431712963</v>
      </c>
      <c r="Q243" s="1" t="s">
        <v>1303</v>
      </c>
      <c r="R243" s="1" t="s">
        <v>1304</v>
      </c>
      <c r="S243" s="13" t="s">
        <v>1305</v>
      </c>
      <c r="T243" s="14"/>
      <c r="U243" s="19" t="str">
        <f>HYPERLINK("https://pbs.twimg.com/profile_images/476984621599428608/ptXatAgF.jpeg","View")</f>
        <v>View</v>
      </c>
      <c r="V243" s="14"/>
      <c r="W243" s="14"/>
      <c r="X243" s="14"/>
      <c r="Y243" s="14"/>
      <c r="Z243" s="14"/>
    </row>
    <row r="244">
      <c r="A244" s="11">
        <v>43848.22917824074</v>
      </c>
      <c r="B244" s="12" t="str">
        <f>HYPERLINK("https://twitter.com/niharikaverma95","@niharikaverma95")</f>
        <v>@niharikaverma95</v>
      </c>
      <c r="C244" s="1" t="s">
        <v>888</v>
      </c>
      <c r="D244" s="1" t="s">
        <v>1306</v>
      </c>
      <c r="E244" s="12" t="str">
        <f>HYPERLINK("https://twitter.com/niharikaverma95/status/1218480655253876737","1218480655253876737")</f>
        <v>1218480655253876737</v>
      </c>
      <c r="F244" s="13" t="s">
        <v>1307</v>
      </c>
      <c r="G244" s="14"/>
      <c r="H244" s="14"/>
      <c r="I244" s="15">
        <v>0.0</v>
      </c>
      <c r="J244" s="15">
        <v>0.0</v>
      </c>
      <c r="K244" s="12" t="str">
        <f>HYPERLINK("https://buffer.com","Buffer")</f>
        <v>Buffer</v>
      </c>
      <c r="L244" s="16">
        <v>847.0</v>
      </c>
      <c r="M244" s="16">
        <v>142.0</v>
      </c>
      <c r="N244" s="16">
        <v>61.0</v>
      </c>
      <c r="O244" s="17"/>
      <c r="P244" s="18">
        <v>42542.06670138889</v>
      </c>
      <c r="Q244" s="1" t="s">
        <v>891</v>
      </c>
      <c r="R244" s="1" t="s">
        <v>892</v>
      </c>
      <c r="S244" s="13" t="s">
        <v>893</v>
      </c>
      <c r="T244" s="14"/>
      <c r="U244" s="19" t="str">
        <f>HYPERLINK("https://pbs.twimg.com/profile_images/1218631112752160768/smL-X6Vx.jpg","View")</f>
        <v>View</v>
      </c>
      <c r="V244" s="14"/>
      <c r="W244" s="14"/>
      <c r="X244" s="14"/>
      <c r="Y244" s="14"/>
      <c r="Z244" s="14"/>
    </row>
    <row r="245">
      <c r="A245" s="11">
        <v>43848.225763888884</v>
      </c>
      <c r="B245" s="12" t="str">
        <f>HYPERLINK("https://twitter.com/SE_CE_MIND","@SE_CE_MIND")</f>
        <v>@SE_CE_MIND</v>
      </c>
      <c r="C245" s="1" t="s">
        <v>1308</v>
      </c>
      <c r="D245" s="1" t="s">
        <v>1309</v>
      </c>
      <c r="E245" s="12" t="str">
        <f>HYPERLINK("https://twitter.com/SE_CE_MIND/status/1218479419360260096","1218479419360260096")</f>
        <v>1218479419360260096</v>
      </c>
      <c r="F245" s="14"/>
      <c r="G245" s="13" t="s">
        <v>1310</v>
      </c>
      <c r="H245" s="14"/>
      <c r="I245" s="15">
        <v>0.0</v>
      </c>
      <c r="J245" s="15">
        <v>2.0</v>
      </c>
      <c r="K245" s="12" t="str">
        <f>HYPERLINK("https://www.hootsuite.com","Hootsuite Inc.")</f>
        <v>Hootsuite Inc.</v>
      </c>
      <c r="L245" s="16">
        <v>1827.0</v>
      </c>
      <c r="M245" s="16">
        <v>3079.0</v>
      </c>
      <c r="N245" s="16">
        <v>37.0</v>
      </c>
      <c r="O245" s="17"/>
      <c r="P245" s="18">
        <v>41808.282418981486</v>
      </c>
      <c r="Q245" s="1" t="s">
        <v>1311</v>
      </c>
      <c r="R245" s="1" t="s">
        <v>1312</v>
      </c>
      <c r="S245" s="13" t="s">
        <v>1313</v>
      </c>
      <c r="T245" s="14"/>
      <c r="U245" s="19" t="str">
        <f>HYPERLINK("https://pbs.twimg.com/profile_images/825710989169553408/LvCtoo5V.jpg","View")</f>
        <v>View</v>
      </c>
      <c r="V245" s="14"/>
      <c r="W245" s="14"/>
      <c r="X245" s="14"/>
      <c r="Y245" s="14"/>
      <c r="Z245" s="14"/>
    </row>
    <row r="246">
      <c r="A246" s="11">
        <v>43848.22222222222</v>
      </c>
      <c r="B246" s="12" t="str">
        <f>HYPERLINK("https://twitter.com/TrainingMindful","@TrainingMindful")</f>
        <v>@TrainingMindful</v>
      </c>
      <c r="C246" s="1" t="s">
        <v>94</v>
      </c>
      <c r="D246" s="1" t="s">
        <v>1314</v>
      </c>
      <c r="E246" s="12" t="str">
        <f>HYPERLINK("https://twitter.com/TrainingMindful/status/1218478135022366720","1218478135022366720")</f>
        <v>1218478135022366720</v>
      </c>
      <c r="F246" s="13" t="s">
        <v>1315</v>
      </c>
      <c r="G246" s="14"/>
      <c r="H246" s="14"/>
      <c r="I246" s="15">
        <v>0.0</v>
      </c>
      <c r="J246" s="15">
        <v>1.0</v>
      </c>
      <c r="K246" s="12" t="str">
        <f>HYPERLINK("https://www.socialoomph.com","SocialOomph")</f>
        <v>SocialOomph</v>
      </c>
      <c r="L246" s="16">
        <v>185303.0</v>
      </c>
      <c r="M246" s="16">
        <v>43980.0</v>
      </c>
      <c r="N246" s="16">
        <v>2800.0</v>
      </c>
      <c r="O246" s="17"/>
      <c r="P246" s="18">
        <v>41286.039305555554</v>
      </c>
      <c r="Q246" s="1" t="s">
        <v>97</v>
      </c>
      <c r="R246" s="1" t="s">
        <v>98</v>
      </c>
      <c r="S246" s="13" t="s">
        <v>99</v>
      </c>
      <c r="T246" s="14"/>
      <c r="U246" s="19" t="str">
        <f>HYPERLINK("https://pbs.twimg.com/profile_images/566526924059459584/gdMxDA9x.jpeg","View")</f>
        <v>View</v>
      </c>
      <c r="V246" s="14"/>
      <c r="W246" s="14"/>
      <c r="X246" s="14"/>
      <c r="Y246" s="14"/>
      <c r="Z246" s="14"/>
    </row>
    <row r="247">
      <c r="A247" s="11">
        <v>43848.21708333334</v>
      </c>
      <c r="B247" s="12" t="str">
        <f>HYPERLINK("https://twitter.com/daily_research","@daily_research")</f>
        <v>@daily_research</v>
      </c>
      <c r="C247" s="1" t="s">
        <v>1316</v>
      </c>
      <c r="D247" s="1" t="s">
        <v>1317</v>
      </c>
      <c r="E247" s="12" t="str">
        <f>HYPERLINK("https://twitter.com/daily_research/status/1218476274752073728","1218476274752073728")</f>
        <v>1218476274752073728</v>
      </c>
      <c r="F247" s="13" t="s">
        <v>1318</v>
      </c>
      <c r="G247" s="13" t="s">
        <v>1319</v>
      </c>
      <c r="H247" s="14"/>
      <c r="I247" s="15">
        <v>0.0</v>
      </c>
      <c r="J247" s="15">
        <v>1.0</v>
      </c>
      <c r="K247" s="12" t="str">
        <f>HYPERLINK("http://aethmos.com","SurveyCircle Team")</f>
        <v>SurveyCircle Team</v>
      </c>
      <c r="L247" s="16">
        <v>512.0</v>
      </c>
      <c r="M247" s="16">
        <v>1939.0</v>
      </c>
      <c r="N247" s="16">
        <v>8.0</v>
      </c>
      <c r="O247" s="17"/>
      <c r="P247" s="18">
        <v>42971.15692129629</v>
      </c>
      <c r="Q247" s="14"/>
      <c r="R247" s="1" t="s">
        <v>1320</v>
      </c>
      <c r="S247" s="13" t="s">
        <v>1321</v>
      </c>
      <c r="T247" s="14"/>
      <c r="U247" s="19" t="str">
        <f>HYPERLINK("https://pbs.twimg.com/profile_images/978250981854076928/--lCQGMP.jpg","View")</f>
        <v>View</v>
      </c>
      <c r="V247" s="14"/>
      <c r="W247" s="14"/>
      <c r="X247" s="14"/>
      <c r="Y247" s="14"/>
      <c r="Z247" s="14"/>
    </row>
    <row r="248">
      <c r="A248" s="11">
        <v>43848.21359953703</v>
      </c>
      <c r="B248" s="12" t="str">
        <f>HYPERLINK("https://twitter.com/Michellerein","@Michellerein")</f>
        <v>@Michellerein</v>
      </c>
      <c r="C248" s="1" t="s">
        <v>1322</v>
      </c>
      <c r="D248" s="1" t="s">
        <v>1323</v>
      </c>
      <c r="E248" s="12" t="str">
        <f>HYPERLINK("https://twitter.com/Michellerein/status/1218475011817627648","1218475011817627648")</f>
        <v>1218475011817627648</v>
      </c>
      <c r="F248" s="13" t="s">
        <v>1324</v>
      </c>
      <c r="G248" s="14"/>
      <c r="H248" s="14"/>
      <c r="I248" s="15">
        <v>0.0</v>
      </c>
      <c r="J248" s="15">
        <v>0.0</v>
      </c>
      <c r="K248" s="12" t="str">
        <f>HYPERLINK("http://twitter.com","Twitter Web Client")</f>
        <v>Twitter Web Client</v>
      </c>
      <c r="L248" s="16">
        <v>1167.0</v>
      </c>
      <c r="M248" s="16">
        <v>1829.0</v>
      </c>
      <c r="N248" s="16">
        <v>54.0</v>
      </c>
      <c r="O248" s="17"/>
      <c r="P248" s="18">
        <v>40594.56741898148</v>
      </c>
      <c r="Q248" s="1" t="s">
        <v>364</v>
      </c>
      <c r="R248" s="1" t="s">
        <v>1325</v>
      </c>
      <c r="S248" s="13" t="s">
        <v>1326</v>
      </c>
      <c r="T248" s="14"/>
      <c r="U248" s="19" t="str">
        <f>HYPERLINK("https://pbs.twimg.com/profile_images/2669941987/131dc9887ec676e0fa16d849a468dca2.png","View")</f>
        <v>View</v>
      </c>
      <c r="V248" s="14"/>
      <c r="W248" s="14"/>
      <c r="X248" s="14"/>
      <c r="Y248" s="14"/>
      <c r="Z248" s="14"/>
    </row>
    <row r="249">
      <c r="A249" s="11">
        <v>43848.20846064815</v>
      </c>
      <c r="B249" s="12" t="str">
        <f>HYPERLINK("https://twitter.com/OmMamaLife_ne","@OmMamaLife_ne")</f>
        <v>@OmMamaLife_ne</v>
      </c>
      <c r="C249" s="1" t="s">
        <v>1327</v>
      </c>
      <c r="D249" s="1" t="s">
        <v>1328</v>
      </c>
      <c r="E249" s="12" t="str">
        <f>HYPERLINK("https://twitter.com/OmMamaLife_ne/status/1218473146946244610","1218473146946244610")</f>
        <v>1218473146946244610</v>
      </c>
      <c r="F249" s="14"/>
      <c r="G249" s="13" t="s">
        <v>1329</v>
      </c>
      <c r="H249" s="14"/>
      <c r="I249" s="15">
        <v>0.0</v>
      </c>
      <c r="J249" s="15">
        <v>0.0</v>
      </c>
      <c r="K249" s="12" t="str">
        <f>HYPERLINK("https://www.synduit.com","SYNDUIT Movement")</f>
        <v>SYNDUIT Movement</v>
      </c>
      <c r="L249" s="16">
        <v>28.0</v>
      </c>
      <c r="M249" s="16">
        <v>102.0</v>
      </c>
      <c r="N249" s="16">
        <v>0.0</v>
      </c>
      <c r="O249" s="17"/>
      <c r="P249" s="18">
        <v>43525.34707175926</v>
      </c>
      <c r="Q249" s="1" t="s">
        <v>1330</v>
      </c>
      <c r="R249" s="1" t="s">
        <v>1331</v>
      </c>
      <c r="S249" s="13" t="s">
        <v>1332</v>
      </c>
      <c r="T249" s="14"/>
      <c r="U249" s="19" t="str">
        <f>HYPERLINK("https://pbs.twimg.com/profile_images/1101472515409526786/8N-9SnKD.jpg","View")</f>
        <v>View</v>
      </c>
      <c r="V249" s="14"/>
      <c r="W249" s="14"/>
      <c r="X249" s="14"/>
      <c r="Y249" s="14"/>
      <c r="Z249" s="14"/>
    </row>
    <row r="250">
      <c r="A250" s="11">
        <v>43848.20587962963</v>
      </c>
      <c r="B250" s="12" t="str">
        <f>HYPERLINK("https://twitter.com/EmotionRecoding","@EmotionRecoding")</f>
        <v>@EmotionRecoding</v>
      </c>
      <c r="C250" s="1" t="s">
        <v>1333</v>
      </c>
      <c r="D250" s="1" t="s">
        <v>1334</v>
      </c>
      <c r="E250" s="12" t="str">
        <f>HYPERLINK("https://twitter.com/EmotionRecoding/status/1218472211763343360","1218472211763343360")</f>
        <v>1218472211763343360</v>
      </c>
      <c r="F250" s="14"/>
      <c r="G250" s="13" t="s">
        <v>1335</v>
      </c>
      <c r="H250" s="14"/>
      <c r="I250" s="15">
        <v>0.0</v>
      </c>
      <c r="J250" s="15">
        <v>2.0</v>
      </c>
      <c r="K250" s="12" t="str">
        <f>HYPERLINK("http://twitter.com/download/android","Twitter for Android")</f>
        <v>Twitter for Android</v>
      </c>
      <c r="L250" s="16">
        <v>298.0</v>
      </c>
      <c r="M250" s="16">
        <v>1451.0</v>
      </c>
      <c r="N250" s="16">
        <v>0.0</v>
      </c>
      <c r="O250" s="17"/>
      <c r="P250" s="18">
        <v>43565.53449074074</v>
      </c>
      <c r="Q250" s="1" t="s">
        <v>975</v>
      </c>
      <c r="R250" s="1" t="s">
        <v>1336</v>
      </c>
      <c r="S250" s="13" t="s">
        <v>1337</v>
      </c>
      <c r="T250" s="14"/>
      <c r="U250" s="19" t="str">
        <f>HYPERLINK("https://pbs.twimg.com/profile_images/1116023415121620992/N_YANgqt.png","View")</f>
        <v>View</v>
      </c>
      <c r="V250" s="14"/>
      <c r="W250" s="14"/>
      <c r="X250" s="14"/>
      <c r="Y250" s="14"/>
      <c r="Z250" s="14"/>
    </row>
    <row r="251">
      <c r="A251" s="11">
        <v>43848.19596064815</v>
      </c>
      <c r="B251" s="12" t="str">
        <f>HYPERLINK("https://twitter.com/DavidSatchell","@DavidSatchell")</f>
        <v>@DavidSatchell</v>
      </c>
      <c r="C251" s="1" t="s">
        <v>1338</v>
      </c>
      <c r="D251" s="1" t="s">
        <v>1339</v>
      </c>
      <c r="E251" s="12" t="str">
        <f>HYPERLINK("https://twitter.com/DavidSatchell/status/1218468618805088256","1218468618805088256")</f>
        <v>1218468618805088256</v>
      </c>
      <c r="F251" s="13" t="s">
        <v>1340</v>
      </c>
      <c r="G251" s="13" t="s">
        <v>1341</v>
      </c>
      <c r="H251" s="14"/>
      <c r="I251" s="15">
        <v>0.0</v>
      </c>
      <c r="J251" s="15">
        <v>0.0</v>
      </c>
      <c r="K251" s="12" t="str">
        <f t="shared" ref="K251:K252" si="24">HYPERLINK("https://mobile.twitter.com","Twitter Web App")</f>
        <v>Twitter Web App</v>
      </c>
      <c r="L251" s="16">
        <v>8070.0</v>
      </c>
      <c r="M251" s="16">
        <v>7652.0</v>
      </c>
      <c r="N251" s="16">
        <v>62.0</v>
      </c>
      <c r="O251" s="17"/>
      <c r="P251" s="18">
        <v>40355.34384259259</v>
      </c>
      <c r="Q251" s="1" t="s">
        <v>1342</v>
      </c>
      <c r="R251" s="1" t="s">
        <v>1343</v>
      </c>
      <c r="S251" s="13" t="s">
        <v>1344</v>
      </c>
      <c r="T251" s="14"/>
      <c r="U251" s="19" t="str">
        <f>HYPERLINK("https://pbs.twimg.com/profile_images/1025999782/David_Satchell.jpg","View")</f>
        <v>View</v>
      </c>
      <c r="V251" s="14"/>
      <c r="W251" s="14"/>
      <c r="X251" s="14"/>
      <c r="Y251" s="14"/>
      <c r="Z251" s="14"/>
    </row>
    <row r="252">
      <c r="A252" s="11">
        <v>43848.19452546297</v>
      </c>
      <c r="B252" s="12" t="str">
        <f>HYPERLINK("https://twitter.com/MarkLogieAuthor","@MarkLogieAuthor")</f>
        <v>@MarkLogieAuthor</v>
      </c>
      <c r="C252" s="1" t="s">
        <v>1345</v>
      </c>
      <c r="D252" s="1" t="s">
        <v>1346</v>
      </c>
      <c r="E252" s="12" t="str">
        <f>HYPERLINK("https://twitter.com/MarkLogieAuthor/status/1218468100699574274","1218468100699574274")</f>
        <v>1218468100699574274</v>
      </c>
      <c r="F252" s="13" t="s">
        <v>1347</v>
      </c>
      <c r="G252" s="13" t="s">
        <v>1348</v>
      </c>
      <c r="H252" s="14"/>
      <c r="I252" s="15">
        <v>0.0</v>
      </c>
      <c r="J252" s="15">
        <v>0.0</v>
      </c>
      <c r="K252" s="12" t="str">
        <f t="shared" si="24"/>
        <v>Twitter Web App</v>
      </c>
      <c r="L252" s="16">
        <v>83.0</v>
      </c>
      <c r="M252" s="16">
        <v>23.0</v>
      </c>
      <c r="N252" s="16">
        <v>0.0</v>
      </c>
      <c r="O252" s="17"/>
      <c r="P252" s="18">
        <v>41742.3387037037</v>
      </c>
      <c r="Q252" s="1" t="s">
        <v>1349</v>
      </c>
      <c r="R252" s="1" t="s">
        <v>1350</v>
      </c>
      <c r="S252" s="13" t="s">
        <v>1351</v>
      </c>
      <c r="T252" s="14"/>
      <c r="U252" s="19" t="str">
        <f>HYPERLINK("https://pbs.twimg.com/profile_images/458252319956537345/DEXhawfQ.jpeg","View")</f>
        <v>View</v>
      </c>
      <c r="V252" s="14"/>
      <c r="W252" s="14"/>
      <c r="X252" s="14"/>
      <c r="Y252" s="14"/>
      <c r="Z252" s="14"/>
    </row>
    <row r="253">
      <c r="A253" s="11">
        <v>43848.19185185185</v>
      </c>
      <c r="B253" s="12" t="str">
        <f>HYPERLINK("https://twitter.com/BrewDaily","@BrewDaily")</f>
        <v>@BrewDaily</v>
      </c>
      <c r="C253" s="1" t="s">
        <v>1352</v>
      </c>
      <c r="D253" s="1" t="s">
        <v>1353</v>
      </c>
      <c r="E253" s="12" t="str">
        <f>HYPERLINK("https://twitter.com/BrewDaily/status/1218467128229224449","1218467128229224449")</f>
        <v>1218467128229224449</v>
      </c>
      <c r="F253" s="14"/>
      <c r="G253" s="13" t="s">
        <v>1354</v>
      </c>
      <c r="H253" s="14"/>
      <c r="I253" s="15">
        <v>3.0</v>
      </c>
      <c r="J253" s="15">
        <v>9.0</v>
      </c>
      <c r="K253" s="12" t="str">
        <f>HYPERLINK("http://twitter.com/download/iphone","Twitter for iPhone")</f>
        <v>Twitter for iPhone</v>
      </c>
      <c r="L253" s="16">
        <v>1418.0</v>
      </c>
      <c r="M253" s="16">
        <v>4992.0</v>
      </c>
      <c r="N253" s="16">
        <v>7.0</v>
      </c>
      <c r="O253" s="17"/>
      <c r="P253" s="18">
        <v>43306.47670138889</v>
      </c>
      <c r="Q253" s="1" t="s">
        <v>1355</v>
      </c>
      <c r="R253" s="1" t="s">
        <v>1356</v>
      </c>
      <c r="S253" s="13" t="s">
        <v>1357</v>
      </c>
      <c r="T253" s="14"/>
      <c r="U253" s="19" t="str">
        <f>HYPERLINK("https://pbs.twimg.com/profile_images/1022142618946420737/BviEpVg6.jpg","View")</f>
        <v>View</v>
      </c>
      <c r="V253" s="14"/>
      <c r="W253" s="14"/>
      <c r="X253" s="14"/>
      <c r="Y253" s="14"/>
      <c r="Z253" s="14"/>
    </row>
    <row r="254">
      <c r="A254" s="11">
        <v>43848.188310185185</v>
      </c>
      <c r="B254" s="12" t="str">
        <f>HYPERLINK("https://twitter.com/NYazdkhasti","@NYazdkhasti")</f>
        <v>@NYazdkhasti</v>
      </c>
      <c r="C254" s="1" t="s">
        <v>1358</v>
      </c>
      <c r="D254" s="1" t="s">
        <v>1359</v>
      </c>
      <c r="E254" s="12" t="str">
        <f>HYPERLINK("https://twitter.com/NYazdkhasti/status/1218465847968063488","1218465847968063488")</f>
        <v>1218465847968063488</v>
      </c>
      <c r="F254" s="13" t="s">
        <v>1360</v>
      </c>
      <c r="G254" s="13" t="s">
        <v>1361</v>
      </c>
      <c r="H254" s="14"/>
      <c r="I254" s="15">
        <v>0.0</v>
      </c>
      <c r="J254" s="15">
        <v>1.0</v>
      </c>
      <c r="K254" s="12" t="str">
        <f>HYPERLINK("http://twitter.com/download/android","Twitter for Android")</f>
        <v>Twitter for Android</v>
      </c>
      <c r="L254" s="16">
        <v>124.0</v>
      </c>
      <c r="M254" s="16">
        <v>257.0</v>
      </c>
      <c r="N254" s="16">
        <v>2.0</v>
      </c>
      <c r="O254" s="17"/>
      <c r="P254" s="18">
        <v>41550.63072916667</v>
      </c>
      <c r="Q254" s="1" t="s">
        <v>1362</v>
      </c>
      <c r="R254" s="1" t="s">
        <v>1363</v>
      </c>
      <c r="S254" s="13" t="s">
        <v>1364</v>
      </c>
      <c r="T254" s="14"/>
      <c r="U254" s="19" t="str">
        <f>HYPERLINK("https://pbs.twimg.com/profile_images/1041394591239430145/KlCSbDIy.jpg","View")</f>
        <v>View</v>
      </c>
      <c r="V254" s="14"/>
      <c r="W254" s="14"/>
      <c r="X254" s="14"/>
      <c r="Y254" s="14"/>
      <c r="Z254" s="14"/>
    </row>
    <row r="255">
      <c r="A255" s="11">
        <v>43848.18783564815</v>
      </c>
      <c r="B255" s="12" t="str">
        <f>HYPERLINK("https://twitter.com/therawrainbow","@therawrainbow")</f>
        <v>@therawrainbow</v>
      </c>
      <c r="C255" s="1" t="s">
        <v>1365</v>
      </c>
      <c r="D255" s="1" t="s">
        <v>1366</v>
      </c>
      <c r="E255" s="12" t="str">
        <f>HYPERLINK("https://twitter.com/therawrainbow/status/1218465676274388992","1218465676274388992")</f>
        <v>1218465676274388992</v>
      </c>
      <c r="F255" s="13" t="s">
        <v>1367</v>
      </c>
      <c r="G255" s="13" t="s">
        <v>1368</v>
      </c>
      <c r="H255" s="14"/>
      <c r="I255" s="15">
        <v>0.0</v>
      </c>
      <c r="J255" s="15">
        <v>0.0</v>
      </c>
      <c r="K255" s="12" t="str">
        <f>HYPERLINK("http://twitter.com/download/iphone","Twitter for iPhone")</f>
        <v>Twitter for iPhone</v>
      </c>
      <c r="L255" s="16">
        <v>150.0</v>
      </c>
      <c r="M255" s="16">
        <v>17.0</v>
      </c>
      <c r="N255" s="16">
        <v>112.0</v>
      </c>
      <c r="O255" s="17"/>
      <c r="P255" s="18">
        <v>42219.45300925926</v>
      </c>
      <c r="Q255" s="1" t="s">
        <v>268</v>
      </c>
      <c r="R255" s="1" t="s">
        <v>1369</v>
      </c>
      <c r="S255" s="13" t="s">
        <v>1367</v>
      </c>
      <c r="T255" s="14"/>
      <c r="U255" s="19" t="str">
        <f>HYPERLINK("https://pbs.twimg.com/profile_images/628219046991908864/zKJx4dmP.jpg","View")</f>
        <v>View</v>
      </c>
      <c r="V255" s="14"/>
      <c r="W255" s="14"/>
      <c r="X255" s="14"/>
      <c r="Y255" s="14"/>
      <c r="Z255" s="14"/>
    </row>
    <row r="256">
      <c r="A256" s="11">
        <v>43848.18766203704</v>
      </c>
      <c r="B256" s="12" t="str">
        <f>HYPERLINK("https://twitter.com/GetInControl","@GetInControl")</f>
        <v>@GetInControl</v>
      </c>
      <c r="C256" s="1" t="s">
        <v>141</v>
      </c>
      <c r="D256" s="1" t="s">
        <v>1370</v>
      </c>
      <c r="E256" s="12" t="str">
        <f>HYPERLINK("https://twitter.com/GetInControl/status/1218465610155413504","1218465610155413504")</f>
        <v>1218465610155413504</v>
      </c>
      <c r="F256" s="13" t="s">
        <v>1371</v>
      </c>
      <c r="G256" s="14"/>
      <c r="H256" s="14"/>
      <c r="I256" s="15">
        <v>0.0</v>
      </c>
      <c r="J256" s="15">
        <v>1.0</v>
      </c>
      <c r="K256" s="12" t="str">
        <f>HYPERLINK("https://www.hootsuite.com","Hootsuite Inc.")</f>
        <v>Hootsuite Inc.</v>
      </c>
      <c r="L256" s="16">
        <v>22186.0</v>
      </c>
      <c r="M256" s="16">
        <v>21835.0</v>
      </c>
      <c r="N256" s="16">
        <v>445.0</v>
      </c>
      <c r="O256" s="17"/>
      <c r="P256" s="18">
        <v>42227.6969212963</v>
      </c>
      <c r="Q256" s="1" t="s">
        <v>143</v>
      </c>
      <c r="R256" s="1" t="s">
        <v>144</v>
      </c>
      <c r="S256" s="13" t="s">
        <v>145</v>
      </c>
      <c r="T256" s="14"/>
      <c r="U256" s="19" t="str">
        <f>HYPERLINK("https://pbs.twimg.com/profile_images/631206513269325824/kbwx8-DF.png","View")</f>
        <v>View</v>
      </c>
      <c r="V256" s="14"/>
      <c r="W256" s="14"/>
      <c r="X256" s="14"/>
      <c r="Y256" s="14"/>
      <c r="Z256" s="14"/>
    </row>
    <row r="257">
      <c r="A257" s="11">
        <v>43848.18765046296</v>
      </c>
      <c r="B257" s="12" t="str">
        <f>HYPERLINK("https://twitter.com/rikidavies1","@rikidavies1")</f>
        <v>@rikidavies1</v>
      </c>
      <c r="C257" s="1" t="s">
        <v>1372</v>
      </c>
      <c r="D257" s="1" t="s">
        <v>1366</v>
      </c>
      <c r="E257" s="12" t="str">
        <f>HYPERLINK("https://twitter.com/rikidavies1/status/1218465607131201536","1218465607131201536")</f>
        <v>1218465607131201536</v>
      </c>
      <c r="F257" s="13" t="s">
        <v>1373</v>
      </c>
      <c r="G257" s="13" t="s">
        <v>1374</v>
      </c>
      <c r="H257" s="14"/>
      <c r="I257" s="15">
        <v>0.0</v>
      </c>
      <c r="J257" s="15">
        <v>0.0</v>
      </c>
      <c r="K257" s="12" t="str">
        <f>HYPERLINK("http://twitter.com/download/iphone","Twitter for iPhone")</f>
        <v>Twitter for iPhone</v>
      </c>
      <c r="L257" s="16">
        <v>325.0</v>
      </c>
      <c r="M257" s="16">
        <v>377.0</v>
      </c>
      <c r="N257" s="16">
        <v>100.0</v>
      </c>
      <c r="O257" s="17"/>
      <c r="P257" s="18">
        <v>41072.61628472222</v>
      </c>
      <c r="Q257" s="1" t="s">
        <v>342</v>
      </c>
      <c r="R257" s="1" t="s">
        <v>1375</v>
      </c>
      <c r="S257" s="13" t="s">
        <v>1376</v>
      </c>
      <c r="T257" s="14"/>
      <c r="U257" s="19" t="str">
        <f>HYPERLINK("https://pbs.twimg.com/profile_images/2302574368/b6tu6ogl3vs4m4f75y4o.png","View")</f>
        <v>View</v>
      </c>
      <c r="V257" s="14"/>
      <c r="W257" s="14"/>
      <c r="X257" s="14"/>
      <c r="Y257" s="14"/>
      <c r="Z257" s="14"/>
    </row>
    <row r="258">
      <c r="A258" s="11">
        <v>43848.18763888889</v>
      </c>
      <c r="B258" s="12" t="str">
        <f>HYPERLINK("https://twitter.com/SkinOnlineBlog","@SkinOnlineBlog")</f>
        <v>@SkinOnlineBlog</v>
      </c>
      <c r="C258" s="1" t="s">
        <v>1071</v>
      </c>
      <c r="D258" s="1" t="s">
        <v>1377</v>
      </c>
      <c r="E258" s="12" t="str">
        <f>HYPERLINK("https://twitter.com/SkinOnlineBlog/status/1218465602857291776","1218465602857291776")</f>
        <v>1218465602857291776</v>
      </c>
      <c r="F258" s="13" t="s">
        <v>1378</v>
      </c>
      <c r="G258" s="13" t="s">
        <v>1379</v>
      </c>
      <c r="H258" s="14"/>
      <c r="I258" s="15">
        <v>0.0</v>
      </c>
      <c r="J258" s="15">
        <v>0.0</v>
      </c>
      <c r="K258" s="12" t="str">
        <f>HYPERLINK("https://www.hootsuite.com","Hootsuite Inc.")</f>
        <v>Hootsuite Inc.</v>
      </c>
      <c r="L258" s="16">
        <v>642.0</v>
      </c>
      <c r="M258" s="16">
        <v>1138.0</v>
      </c>
      <c r="N258" s="16">
        <v>44.0</v>
      </c>
      <c r="O258" s="17"/>
      <c r="P258" s="18">
        <v>42317.25525462963</v>
      </c>
      <c r="Q258" s="1" t="s">
        <v>1075</v>
      </c>
      <c r="R258" s="1" t="s">
        <v>1076</v>
      </c>
      <c r="S258" s="13" t="s">
        <v>1077</v>
      </c>
      <c r="T258" s="14"/>
      <c r="U258" s="19" t="str">
        <f>HYPERLINK("https://pbs.twimg.com/profile_images/663675213423452160/jRtLoza-.png","View")</f>
        <v>View</v>
      </c>
      <c r="V258" s="14"/>
      <c r="W258" s="14"/>
      <c r="X258" s="14"/>
      <c r="Y258" s="14"/>
      <c r="Z258" s="14"/>
    </row>
    <row r="259">
      <c r="A259" s="11">
        <v>43848.18363425926</v>
      </c>
      <c r="B259" s="12" t="str">
        <f t="shared" ref="B259:B261" si="25">HYPERLINK("https://twitter.com/DStress_Natural","@DStress_Natural")</f>
        <v>@DStress_Natural</v>
      </c>
      <c r="C259" s="1" t="s">
        <v>1380</v>
      </c>
      <c r="D259" s="1" t="s">
        <v>1381</v>
      </c>
      <c r="E259" s="12" t="str">
        <f>HYPERLINK("https://twitter.com/DStress_Natural/status/1218464153364418563","1218464153364418563")</f>
        <v>1218464153364418563</v>
      </c>
      <c r="F259" s="14"/>
      <c r="G259" s="13" t="s">
        <v>1382</v>
      </c>
      <c r="H259" s="14"/>
      <c r="I259" s="15">
        <v>0.0</v>
      </c>
      <c r="J259" s="15">
        <v>0.0</v>
      </c>
      <c r="K259" s="12" t="str">
        <f t="shared" ref="K259:K261" si="26">HYPERLINK("https://mobile.twitter.com","Twitter Web App")</f>
        <v>Twitter Web App</v>
      </c>
      <c r="L259" s="16">
        <v>1.0</v>
      </c>
      <c r="M259" s="16">
        <v>31.0</v>
      </c>
      <c r="N259" s="16">
        <v>0.0</v>
      </c>
      <c r="O259" s="17"/>
      <c r="P259" s="18">
        <v>41589.879907407405</v>
      </c>
      <c r="Q259" s="1" t="s">
        <v>1383</v>
      </c>
      <c r="R259" s="1" t="s">
        <v>1384</v>
      </c>
      <c r="S259" s="13" t="s">
        <v>1385</v>
      </c>
      <c r="T259" s="14"/>
      <c r="U259" s="19" t="str">
        <f t="shared" ref="U259:U261" si="27">HYPERLINK("https://pbs.twimg.com/profile_images/973900510016151552/s9eefoBh.jpg","View")</f>
        <v>View</v>
      </c>
      <c r="V259" s="14"/>
      <c r="W259" s="14"/>
      <c r="X259" s="14"/>
      <c r="Y259" s="14"/>
      <c r="Z259" s="14"/>
    </row>
    <row r="260">
      <c r="A260" s="11">
        <v>43848.18234953703</v>
      </c>
      <c r="B260" s="12" t="str">
        <f t="shared" si="25"/>
        <v>@DStress_Natural</v>
      </c>
      <c r="C260" s="1" t="s">
        <v>1380</v>
      </c>
      <c r="D260" s="1" t="s">
        <v>1386</v>
      </c>
      <c r="E260" s="12" t="str">
        <f>HYPERLINK("https://twitter.com/DStress_Natural/status/1218463688119599107","1218463688119599107")</f>
        <v>1218463688119599107</v>
      </c>
      <c r="F260" s="14"/>
      <c r="G260" s="13" t="s">
        <v>1387</v>
      </c>
      <c r="H260" s="14"/>
      <c r="I260" s="15">
        <v>0.0</v>
      </c>
      <c r="J260" s="15">
        <v>0.0</v>
      </c>
      <c r="K260" s="12" t="str">
        <f t="shared" si="26"/>
        <v>Twitter Web App</v>
      </c>
      <c r="L260" s="16">
        <v>1.0</v>
      </c>
      <c r="M260" s="16">
        <v>31.0</v>
      </c>
      <c r="N260" s="16">
        <v>0.0</v>
      </c>
      <c r="O260" s="17"/>
      <c r="P260" s="18">
        <v>41589.879907407405</v>
      </c>
      <c r="Q260" s="1" t="s">
        <v>1383</v>
      </c>
      <c r="R260" s="1" t="s">
        <v>1384</v>
      </c>
      <c r="S260" s="13" t="s">
        <v>1385</v>
      </c>
      <c r="T260" s="14"/>
      <c r="U260" s="19" t="str">
        <f t="shared" si="27"/>
        <v>View</v>
      </c>
      <c r="V260" s="14"/>
      <c r="W260" s="14"/>
      <c r="X260" s="14"/>
      <c r="Y260" s="14"/>
      <c r="Z260" s="14"/>
    </row>
    <row r="261">
      <c r="A261" s="11">
        <v>43848.18037037037</v>
      </c>
      <c r="B261" s="12" t="str">
        <f t="shared" si="25"/>
        <v>@DStress_Natural</v>
      </c>
      <c r="C261" s="1" t="s">
        <v>1380</v>
      </c>
      <c r="D261" s="1" t="s">
        <v>1388</v>
      </c>
      <c r="E261" s="12" t="str">
        <f>HYPERLINK("https://twitter.com/DStress_Natural/status/1218462968922271744","1218462968922271744")</f>
        <v>1218462968922271744</v>
      </c>
      <c r="F261" s="14"/>
      <c r="G261" s="13" t="s">
        <v>1389</v>
      </c>
      <c r="H261" s="14"/>
      <c r="I261" s="15">
        <v>0.0</v>
      </c>
      <c r="J261" s="15">
        <v>0.0</v>
      </c>
      <c r="K261" s="12" t="str">
        <f t="shared" si="26"/>
        <v>Twitter Web App</v>
      </c>
      <c r="L261" s="16">
        <v>1.0</v>
      </c>
      <c r="M261" s="16">
        <v>31.0</v>
      </c>
      <c r="N261" s="16">
        <v>0.0</v>
      </c>
      <c r="O261" s="17"/>
      <c r="P261" s="18">
        <v>41589.879907407405</v>
      </c>
      <c r="Q261" s="1" t="s">
        <v>1383</v>
      </c>
      <c r="R261" s="1" t="s">
        <v>1384</v>
      </c>
      <c r="S261" s="13" t="s">
        <v>1385</v>
      </c>
      <c r="T261" s="14"/>
      <c r="U261" s="19" t="str">
        <f t="shared" si="27"/>
        <v>View</v>
      </c>
      <c r="V261" s="14"/>
      <c r="W261" s="14"/>
      <c r="X261" s="14"/>
      <c r="Y261" s="14"/>
      <c r="Z261" s="14"/>
    </row>
    <row r="262">
      <c r="A262" s="11">
        <v>43848.17729166667</v>
      </c>
      <c r="B262" s="12" t="str">
        <f>HYPERLINK("https://twitter.com/kerrywekelo","@kerrywekelo")</f>
        <v>@kerrywekelo</v>
      </c>
      <c r="C262" s="1" t="s">
        <v>1390</v>
      </c>
      <c r="D262" s="1" t="s">
        <v>1391</v>
      </c>
      <c r="E262" s="12" t="str">
        <f>HYPERLINK("https://twitter.com/kerrywekelo/status/1218461855313813504","1218461855313813504")</f>
        <v>1218461855313813504</v>
      </c>
      <c r="F262" s="14"/>
      <c r="G262" s="13" t="s">
        <v>1392</v>
      </c>
      <c r="H262" s="14"/>
      <c r="I262" s="15">
        <v>1.0</v>
      </c>
      <c r="J262" s="15">
        <v>3.0</v>
      </c>
      <c r="K262" s="12" t="str">
        <f>HYPERLINK("https://www.socialjukebox.com","The Social Jukebox")</f>
        <v>The Social Jukebox</v>
      </c>
      <c r="L262" s="16">
        <v>11788.0</v>
      </c>
      <c r="M262" s="16">
        <v>10925.0</v>
      </c>
      <c r="N262" s="16">
        <v>496.0</v>
      </c>
      <c r="O262" s="17"/>
      <c r="P262" s="18">
        <v>42205.524236111116</v>
      </c>
      <c r="Q262" s="1" t="s">
        <v>1393</v>
      </c>
      <c r="R262" s="1" t="s">
        <v>1394</v>
      </c>
      <c r="S262" s="13" t="s">
        <v>1395</v>
      </c>
      <c r="T262" s="14"/>
      <c r="U262" s="19" t="str">
        <f>HYPERLINK("https://pbs.twimg.com/profile_images/953722384674037760/L5nswgkP.jpg","View")</f>
        <v>View</v>
      </c>
      <c r="V262" s="14"/>
      <c r="W262" s="14"/>
      <c r="X262" s="14"/>
      <c r="Y262" s="14"/>
      <c r="Z262" s="14"/>
    </row>
    <row r="263">
      <c r="A263" s="11">
        <v>43848.17226851852</v>
      </c>
      <c r="B263" s="12" t="str">
        <f>HYPERLINK("https://twitter.com/Counselling247","@Counselling247")</f>
        <v>@Counselling247</v>
      </c>
      <c r="C263" s="1" t="s">
        <v>1396</v>
      </c>
      <c r="D263" s="1" t="s">
        <v>1397</v>
      </c>
      <c r="E263" s="12" t="str">
        <f>HYPERLINK("https://twitter.com/Counselling247/status/1218460033672835072","1218460033672835072")</f>
        <v>1218460033672835072</v>
      </c>
      <c r="F263" s="14"/>
      <c r="G263" s="13" t="s">
        <v>1398</v>
      </c>
      <c r="H263" s="14"/>
      <c r="I263" s="15">
        <v>1.0</v>
      </c>
      <c r="J263" s="15">
        <v>1.0</v>
      </c>
      <c r="K263" s="12" t="str">
        <f t="shared" ref="K263:K264" si="28">HYPERLINK("https://mobile.twitter.com","Twitter Web App")</f>
        <v>Twitter Web App</v>
      </c>
      <c r="L263" s="16">
        <v>2628.0</v>
      </c>
      <c r="M263" s="16">
        <v>3267.0</v>
      </c>
      <c r="N263" s="16">
        <v>16.0</v>
      </c>
      <c r="O263" s="17"/>
      <c r="P263" s="18">
        <v>42750.30473379629</v>
      </c>
      <c r="Q263" s="14"/>
      <c r="R263" s="1" t="s">
        <v>1399</v>
      </c>
      <c r="S263" s="13" t="s">
        <v>1400</v>
      </c>
      <c r="T263" s="14"/>
      <c r="U263" s="19" t="str">
        <f>HYPERLINK("https://pbs.twimg.com/profile_images/820620251230408704/R0TFUgV3.jpg","View")</f>
        <v>View</v>
      </c>
      <c r="V263" s="14"/>
      <c r="W263" s="14"/>
      <c r="X263" s="14"/>
      <c r="Y263" s="14"/>
      <c r="Z263" s="14"/>
    </row>
    <row r="264">
      <c r="A264" s="11">
        <v>43848.157060185185</v>
      </c>
      <c r="B264" s="12" t="str">
        <f>HYPERLINK("https://twitter.com/ForeverFinances","@ForeverFinances")</f>
        <v>@ForeverFinances</v>
      </c>
      <c r="C264" s="1" t="s">
        <v>1401</v>
      </c>
      <c r="D264" s="1" t="s">
        <v>1402</v>
      </c>
      <c r="E264" s="12" t="str">
        <f>HYPERLINK("https://twitter.com/ForeverFinances/status/1218454521380134914","1218454521380134914")</f>
        <v>1218454521380134914</v>
      </c>
      <c r="F264" s="13" t="s">
        <v>1403</v>
      </c>
      <c r="G264" s="13" t="s">
        <v>1404</v>
      </c>
      <c r="H264" s="14"/>
      <c r="I264" s="15">
        <v>0.0</v>
      </c>
      <c r="J264" s="15">
        <v>0.0</v>
      </c>
      <c r="K264" s="12" t="str">
        <f t="shared" si="28"/>
        <v>Twitter Web App</v>
      </c>
      <c r="L264" s="16">
        <v>9.0</v>
      </c>
      <c r="M264" s="16">
        <v>21.0</v>
      </c>
      <c r="N264" s="16">
        <v>0.0</v>
      </c>
      <c r="O264" s="17"/>
      <c r="P264" s="18">
        <v>43573.19871527777</v>
      </c>
      <c r="Q264" s="1" t="s">
        <v>1405</v>
      </c>
      <c r="R264" s="1" t="s">
        <v>1406</v>
      </c>
      <c r="S264" s="13" t="s">
        <v>1407</v>
      </c>
      <c r="T264" s="14"/>
      <c r="U264" s="19" t="str">
        <f>HYPERLINK("https://pbs.twimg.com/profile_images/1118800311928287232/GNaxjkD2.png","View")</f>
        <v>View</v>
      </c>
      <c r="V264" s="14"/>
      <c r="W264" s="14"/>
      <c r="X264" s="14"/>
      <c r="Y264" s="14"/>
      <c r="Z264" s="14"/>
    </row>
    <row r="265">
      <c r="A265" s="11">
        <v>43848.15557870371</v>
      </c>
      <c r="B265" s="12" t="str">
        <f>HYPERLINK("https://twitter.com/CounsellorsCafe","@CounsellorsCafe")</f>
        <v>@CounsellorsCafe</v>
      </c>
      <c r="C265" s="1" t="s">
        <v>1408</v>
      </c>
      <c r="D265" s="1" t="s">
        <v>1409</v>
      </c>
      <c r="E265" s="12" t="str">
        <f>HYPERLINK("https://twitter.com/CounsellorsCafe/status/1218453984970670080","1218453984970670080")</f>
        <v>1218453984970670080</v>
      </c>
      <c r="F265" s="13" t="s">
        <v>1410</v>
      </c>
      <c r="G265" s="13" t="s">
        <v>1411</v>
      </c>
      <c r="H265" s="14"/>
      <c r="I265" s="15">
        <v>1.0</v>
      </c>
      <c r="J265" s="15">
        <v>0.0</v>
      </c>
      <c r="K265" s="12" t="str">
        <f>HYPERLINK("http://meetedgar.com","MeetEdgar")</f>
        <v>MeetEdgar</v>
      </c>
      <c r="L265" s="16">
        <v>16739.0</v>
      </c>
      <c r="M265" s="16">
        <v>13200.0</v>
      </c>
      <c r="N265" s="16">
        <v>0.0</v>
      </c>
      <c r="O265" s="17"/>
      <c r="P265" s="18">
        <v>42504.65947916667</v>
      </c>
      <c r="Q265" s="1" t="s">
        <v>263</v>
      </c>
      <c r="R265" s="1" t="s">
        <v>1412</v>
      </c>
      <c r="S265" s="13" t="s">
        <v>1413</v>
      </c>
      <c r="T265" s="14"/>
      <c r="U265" s="19" t="str">
        <f>HYPERLINK("https://pbs.twimg.com/profile_images/1003655541623844864/0o8jmt4R.jpg","View")</f>
        <v>View</v>
      </c>
      <c r="V265" s="14"/>
      <c r="W265" s="14"/>
      <c r="X265" s="14"/>
      <c r="Y265" s="14"/>
      <c r="Z265" s="14"/>
    </row>
    <row r="266">
      <c r="A266" s="11">
        <v>43848.149560185186</v>
      </c>
      <c r="B266" s="12" t="str">
        <f>HYPERLINK("https://twitter.com/andrewjohnson","@andrewjohnson")</f>
        <v>@andrewjohnson</v>
      </c>
      <c r="C266" s="1" t="s">
        <v>1414</v>
      </c>
      <c r="D266" s="1" t="s">
        <v>1415</v>
      </c>
      <c r="E266" s="12" t="str">
        <f>HYPERLINK("https://twitter.com/andrewjohnson/status/1218451802678534145","1218451802678534145")</f>
        <v>1218451802678534145</v>
      </c>
      <c r="F266" s="14"/>
      <c r="G266" s="13" t="s">
        <v>1416</v>
      </c>
      <c r="H266" s="14"/>
      <c r="I266" s="15">
        <v>2.0</v>
      </c>
      <c r="J266" s="15">
        <v>4.0</v>
      </c>
      <c r="K266" s="12" t="str">
        <f>HYPERLINK("http://tapbots.com/tweetbot","Tweetbot for iΟS")</f>
        <v>Tweetbot for iΟS</v>
      </c>
      <c r="L266" s="16">
        <v>79482.0</v>
      </c>
      <c r="M266" s="16">
        <v>32456.0</v>
      </c>
      <c r="N266" s="16">
        <v>910.0</v>
      </c>
      <c r="O266" s="17"/>
      <c r="P266" s="18">
        <v>39849.50052083333</v>
      </c>
      <c r="Q266" s="1" t="s">
        <v>1417</v>
      </c>
      <c r="R266" s="1" t="s">
        <v>1418</v>
      </c>
      <c r="S266" s="13" t="s">
        <v>1419</v>
      </c>
      <c r="T266" s="14"/>
      <c r="U266" s="19" t="str">
        <f>HYPERLINK("https://pbs.twimg.com/profile_images/1132321920203014145/CWxDAcPB.png","View")</f>
        <v>View</v>
      </c>
      <c r="V266" s="14"/>
      <c r="W266" s="14"/>
      <c r="X266" s="14"/>
      <c r="Y266" s="14"/>
      <c r="Z266" s="14"/>
    </row>
    <row r="267">
      <c r="A267" s="11">
        <v>43848.13548611111</v>
      </c>
      <c r="B267" s="12" t="str">
        <f>HYPERLINK("https://twitter.com/AnxietyUK","@AnxietyUK")</f>
        <v>@AnxietyUK</v>
      </c>
      <c r="C267" s="1" t="s">
        <v>1420</v>
      </c>
      <c r="D267" s="1" t="s">
        <v>1421</v>
      </c>
      <c r="E267" s="12" t="str">
        <f>HYPERLINK("https://twitter.com/AnxietyUK/status/1218446702425845761","1218446702425845761")</f>
        <v>1218446702425845761</v>
      </c>
      <c r="F267" s="13" t="s">
        <v>1422</v>
      </c>
      <c r="G267" s="14"/>
      <c r="H267" s="14"/>
      <c r="I267" s="15">
        <v>7.0</v>
      </c>
      <c r="J267" s="15">
        <v>5.0</v>
      </c>
      <c r="K267" s="12" t="str">
        <f>HYPERLINK("https://www.hootsuite.com","Hootsuite Inc.")</f>
        <v>Hootsuite Inc.</v>
      </c>
      <c r="L267" s="16">
        <v>130198.0</v>
      </c>
      <c r="M267" s="16">
        <v>2538.0</v>
      </c>
      <c r="N267" s="16">
        <v>1114.0</v>
      </c>
      <c r="O267" s="17"/>
      <c r="P267" s="18">
        <v>39854.57107638889</v>
      </c>
      <c r="Q267" s="1" t="s">
        <v>1423</v>
      </c>
      <c r="R267" s="1" t="s">
        <v>1424</v>
      </c>
      <c r="S267" s="13" t="s">
        <v>1425</v>
      </c>
      <c r="T267" s="14"/>
      <c r="U267" s="19" t="str">
        <f>HYPERLINK("https://pbs.twimg.com/profile_images/1184032569148485632/ARtaFKKO.jpg","View")</f>
        <v>View</v>
      </c>
      <c r="V267" s="14"/>
      <c r="W267" s="14"/>
      <c r="X267" s="14"/>
      <c r="Y267" s="14"/>
      <c r="Z267" s="14"/>
    </row>
    <row r="268">
      <c r="A268" s="11">
        <v>43848.1328125</v>
      </c>
      <c r="B268" s="12" t="str">
        <f>HYPERLINK("https://twitter.com/joshuadowidat","@joshuadowidat")</f>
        <v>@joshuadowidat</v>
      </c>
      <c r="C268" s="1" t="s">
        <v>1426</v>
      </c>
      <c r="D268" s="1" t="s">
        <v>1427</v>
      </c>
      <c r="E268" s="12" t="str">
        <f>HYPERLINK("https://twitter.com/joshuadowidat/status/1218445736892928000","1218445736892928000")</f>
        <v>1218445736892928000</v>
      </c>
      <c r="F268" s="13" t="s">
        <v>1428</v>
      </c>
      <c r="G268" s="13" t="s">
        <v>1429</v>
      </c>
      <c r="H268" s="14"/>
      <c r="I268" s="15">
        <v>0.0</v>
      </c>
      <c r="J268" s="15">
        <v>0.0</v>
      </c>
      <c r="K268" s="12" t="str">
        <f>HYPERLINK("https://www.socialjukebox.com","The Social Jukebox")</f>
        <v>The Social Jukebox</v>
      </c>
      <c r="L268" s="16">
        <v>23563.0</v>
      </c>
      <c r="M268" s="16">
        <v>22115.0</v>
      </c>
      <c r="N268" s="16">
        <v>357.0</v>
      </c>
      <c r="O268" s="17"/>
      <c r="P268" s="18">
        <v>42445.6474537037</v>
      </c>
      <c r="Q268" s="1" t="s">
        <v>1430</v>
      </c>
      <c r="R268" s="1" t="s">
        <v>1431</v>
      </c>
      <c r="S268" s="13" t="s">
        <v>1432</v>
      </c>
      <c r="T268" s="14"/>
      <c r="U268" s="19" t="str">
        <f>HYPERLINK("https://pbs.twimg.com/profile_images/875874951785357312/gIfWHgKs.jpg","View")</f>
        <v>View</v>
      </c>
      <c r="V268" s="14"/>
      <c r="W268" s="14"/>
      <c r="X268" s="14"/>
      <c r="Y268" s="14"/>
      <c r="Z268" s="14"/>
    </row>
    <row r="269">
      <c r="A269" s="11">
        <v>43848.13028935185</v>
      </c>
      <c r="B269" s="12" t="str">
        <f>HYPERLINK("https://twitter.com/Tim_Olsen","@Tim_Olsen")</f>
        <v>@Tim_Olsen</v>
      </c>
      <c r="C269" s="1" t="s">
        <v>1433</v>
      </c>
      <c r="D269" s="1" t="s">
        <v>1434</v>
      </c>
      <c r="E269" s="12" t="str">
        <f>HYPERLINK("https://twitter.com/Tim_Olsen/status/1218444822077485056","1218444822077485056")</f>
        <v>1218444822077485056</v>
      </c>
      <c r="F269" s="14"/>
      <c r="G269" s="13" t="s">
        <v>1435</v>
      </c>
      <c r="H269" s="14"/>
      <c r="I269" s="15">
        <v>0.0</v>
      </c>
      <c r="J269" s="15">
        <v>1.0</v>
      </c>
      <c r="K269" s="12" t="str">
        <f>HYPERLINK("https://www.socialoomph.com","SocialOomph")</f>
        <v>SocialOomph</v>
      </c>
      <c r="L269" s="16">
        <v>2683.0</v>
      </c>
      <c r="M269" s="16">
        <v>4362.0</v>
      </c>
      <c r="N269" s="16">
        <v>34.0</v>
      </c>
      <c r="O269" s="17"/>
      <c r="P269" s="18">
        <v>41795.724074074074</v>
      </c>
      <c r="Q269" s="1" t="s">
        <v>1436</v>
      </c>
      <c r="R269" s="1" t="s">
        <v>1437</v>
      </c>
      <c r="S269" s="14"/>
      <c r="T269" s="14"/>
      <c r="U269" s="19" t="str">
        <f>HYPERLINK("https://pbs.twimg.com/profile_images/891762184518156288/snccGYyx.jpg","View")</f>
        <v>View</v>
      </c>
      <c r="V269" s="14"/>
      <c r="W269" s="14"/>
      <c r="X269" s="14"/>
      <c r="Y269" s="14"/>
      <c r="Z269" s="14"/>
    </row>
    <row r="270">
      <c r="A270" s="11">
        <v>43848.12226851852</v>
      </c>
      <c r="B270" s="12" t="str">
        <f>HYPERLINK("https://twitter.com/MonisDigital","@MonisDigital")</f>
        <v>@MonisDigital</v>
      </c>
      <c r="C270" s="1" t="s">
        <v>1438</v>
      </c>
      <c r="D270" s="1" t="s">
        <v>1439</v>
      </c>
      <c r="E270" s="12" t="str">
        <f>HYPERLINK("https://twitter.com/MonisDigital/status/1218441914283773953","1218441914283773953")</f>
        <v>1218441914283773953</v>
      </c>
      <c r="F270" s="13" t="s">
        <v>1440</v>
      </c>
      <c r="G270" s="13" t="s">
        <v>1441</v>
      </c>
      <c r="H270" s="14"/>
      <c r="I270" s="15">
        <v>0.0</v>
      </c>
      <c r="J270" s="15">
        <v>0.0</v>
      </c>
      <c r="K270" s="12" t="str">
        <f>HYPERLINK("http://twitter.com/download/android","Twitter for Android")</f>
        <v>Twitter for Android</v>
      </c>
      <c r="L270" s="16">
        <v>1.0</v>
      </c>
      <c r="M270" s="16">
        <v>3.0</v>
      </c>
      <c r="N270" s="16">
        <v>0.0</v>
      </c>
      <c r="O270" s="17"/>
      <c r="P270" s="18">
        <v>43832.236875</v>
      </c>
      <c r="Q270" s="1" t="s">
        <v>1442</v>
      </c>
      <c r="R270" s="1" t="s">
        <v>1443</v>
      </c>
      <c r="S270" s="13" t="s">
        <v>1444</v>
      </c>
      <c r="T270" s="14"/>
      <c r="U270" s="19" t="str">
        <f>HYPERLINK("https://pbs.twimg.com/profile_images/1212685361882656768/8qpTtHrA.jpg","View")</f>
        <v>View</v>
      </c>
      <c r="V270" s="14"/>
      <c r="W270" s="14"/>
      <c r="X270" s="14"/>
      <c r="Y270" s="14"/>
      <c r="Z270" s="14"/>
    </row>
    <row r="271">
      <c r="A271" s="11">
        <v>43848.120833333334</v>
      </c>
      <c r="B271" s="12" t="str">
        <f>HYPERLINK("https://twitter.com/KenOkel","@KenOkel")</f>
        <v>@KenOkel</v>
      </c>
      <c r="C271" s="1" t="s">
        <v>41</v>
      </c>
      <c r="D271" s="1" t="s">
        <v>1445</v>
      </c>
      <c r="E271" s="12" t="str">
        <f>HYPERLINK("https://twitter.com/KenOkel/status/1218441392663347200","1218441392663347200")</f>
        <v>1218441392663347200</v>
      </c>
      <c r="F271" s="13" t="s">
        <v>1446</v>
      </c>
      <c r="G271" s="14"/>
      <c r="H271" s="14"/>
      <c r="I271" s="15">
        <v>0.0</v>
      </c>
      <c r="J271" s="15">
        <v>0.0</v>
      </c>
      <c r="K271" s="12" t="str">
        <f>HYPERLINK("https://about.twitter.com/products/tweetdeck","TweetDeck")</f>
        <v>TweetDeck</v>
      </c>
      <c r="L271" s="16">
        <v>603.0</v>
      </c>
      <c r="M271" s="16">
        <v>261.0</v>
      </c>
      <c r="N271" s="16">
        <v>827.0</v>
      </c>
      <c r="O271" s="17"/>
      <c r="P271" s="18">
        <v>39880.78482638889</v>
      </c>
      <c r="Q271" s="1" t="s">
        <v>44</v>
      </c>
      <c r="R271" s="1" t="s">
        <v>45</v>
      </c>
      <c r="S271" s="13" t="s">
        <v>46</v>
      </c>
      <c r="T271" s="14"/>
      <c r="U271" s="19" t="str">
        <f>HYPERLINK("https://pbs.twimg.com/profile_images/805116072785563648/LPXnbxnK.jpg","View")</f>
        <v>View</v>
      </c>
      <c r="V271" s="14"/>
      <c r="W271" s="14"/>
      <c r="X271" s="14"/>
      <c r="Y271" s="14"/>
      <c r="Z271" s="14"/>
    </row>
    <row r="272">
      <c r="A272" s="11">
        <v>43848.111817129626</v>
      </c>
      <c r="B272" s="12" t="str">
        <f>HYPERLINK("https://twitter.com/Greenearth2022","@Greenearth2022")</f>
        <v>@Greenearth2022</v>
      </c>
      <c r="C272" s="1" t="s">
        <v>1447</v>
      </c>
      <c r="D272" s="1" t="s">
        <v>1448</v>
      </c>
      <c r="E272" s="12" t="str">
        <f>HYPERLINK("https://twitter.com/Greenearth2022/status/1218438126084993024","1218438126084993024")</f>
        <v>1218438126084993024</v>
      </c>
      <c r="F272" s="13" t="s">
        <v>1449</v>
      </c>
      <c r="G272" s="14"/>
      <c r="H272" s="14"/>
      <c r="I272" s="15">
        <v>0.0</v>
      </c>
      <c r="J272" s="15">
        <v>2.0</v>
      </c>
      <c r="K272" s="12" t="str">
        <f>HYPERLINK("https://buffer.com","Buffer")</f>
        <v>Buffer</v>
      </c>
      <c r="L272" s="16">
        <v>631.0</v>
      </c>
      <c r="M272" s="16">
        <v>661.0</v>
      </c>
      <c r="N272" s="16">
        <v>5.0</v>
      </c>
      <c r="O272" s="17"/>
      <c r="P272" s="18">
        <v>43182.689039351855</v>
      </c>
      <c r="Q272" s="1" t="s">
        <v>1450</v>
      </c>
      <c r="R272" s="1" t="s">
        <v>1451</v>
      </c>
      <c r="S272" s="13" t="s">
        <v>1452</v>
      </c>
      <c r="T272" s="14"/>
      <c r="U272" s="19" t="str">
        <f>HYPERLINK("https://pbs.twimg.com/profile_images/1156338710658441216/2tt0HPuM.jpg","View")</f>
        <v>View</v>
      </c>
      <c r="V272" s="14"/>
      <c r="W272" s="14"/>
      <c r="X272" s="14"/>
      <c r="Y272" s="14"/>
      <c r="Z272" s="14"/>
    </row>
    <row r="273">
      <c r="A273" s="11">
        <v>43848.11078703703</v>
      </c>
      <c r="B273" s="12" t="str">
        <f>HYPERLINK("https://twitter.com/qwikad","@qwikad")</f>
        <v>@qwikad</v>
      </c>
      <c r="C273" s="1" t="s">
        <v>597</v>
      </c>
      <c r="D273" s="1" t="s">
        <v>1453</v>
      </c>
      <c r="E273" s="12" t="str">
        <f>HYPERLINK("https://twitter.com/qwikad/status/1218437751126753280","1218437751126753280")</f>
        <v>1218437751126753280</v>
      </c>
      <c r="F273" s="13" t="s">
        <v>1454</v>
      </c>
      <c r="G273" s="14"/>
      <c r="H273" s="14"/>
      <c r="I273" s="15">
        <v>0.0</v>
      </c>
      <c r="J273" s="15">
        <v>1.0</v>
      </c>
      <c r="K273" s="12" t="str">
        <f>HYPERLINK("http://twitter.com","Twitter Web Client")</f>
        <v>Twitter Web Client</v>
      </c>
      <c r="L273" s="16">
        <v>92771.0</v>
      </c>
      <c r="M273" s="16">
        <v>88718.0</v>
      </c>
      <c r="N273" s="16">
        <v>2798.0</v>
      </c>
      <c r="O273" s="17"/>
      <c r="P273" s="18">
        <v>40937.940358796295</v>
      </c>
      <c r="Q273" s="1" t="s">
        <v>56</v>
      </c>
      <c r="R273" s="1" t="s">
        <v>600</v>
      </c>
      <c r="S273" s="13" t="s">
        <v>601</v>
      </c>
      <c r="T273" s="14"/>
      <c r="U273" s="19" t="str">
        <f>HYPERLINK("https://pbs.twimg.com/profile_images/1191723528246235137/larfZktn.jpg","View")</f>
        <v>View</v>
      </c>
      <c r="V273" s="14"/>
      <c r="W273" s="14"/>
      <c r="X273" s="14"/>
      <c r="Y273" s="14"/>
      <c r="Z273" s="14"/>
    </row>
    <row r="274">
      <c r="A274" s="11">
        <v>43848.10402777778</v>
      </c>
      <c r="B274" s="12" t="str">
        <f>HYPERLINK("https://twitter.com/Jyoti95007702","@Jyoti95007702")</f>
        <v>@Jyoti95007702</v>
      </c>
      <c r="C274" s="1" t="s">
        <v>1455</v>
      </c>
      <c r="D274" s="1" t="s">
        <v>1456</v>
      </c>
      <c r="E274" s="12" t="str">
        <f>HYPERLINK("https://twitter.com/Jyoti95007702/status/1218435304362778624","1218435304362778624")</f>
        <v>1218435304362778624</v>
      </c>
      <c r="F274" s="14"/>
      <c r="G274" s="13" t="s">
        <v>1457</v>
      </c>
      <c r="H274" s="14"/>
      <c r="I274" s="15">
        <v>0.0</v>
      </c>
      <c r="J274" s="15">
        <v>0.0</v>
      </c>
      <c r="K274" s="12" t="str">
        <f t="shared" ref="K274:K275" si="29">HYPERLINK("http://twitter.com/download/android","Twitter for Android")</f>
        <v>Twitter for Android</v>
      </c>
      <c r="L274" s="16">
        <v>0.0</v>
      </c>
      <c r="M274" s="16">
        <v>1.0</v>
      </c>
      <c r="N274" s="16">
        <v>0.0</v>
      </c>
      <c r="O274" s="17"/>
      <c r="P274" s="18">
        <v>43847.17497685185</v>
      </c>
      <c r="Q274" s="14"/>
      <c r="R274" s="14"/>
      <c r="S274" s="14"/>
      <c r="T274" s="14"/>
      <c r="U274" s="19" t="str">
        <f>HYPERLINK("https://pbs.twimg.com/profile_images/1218098939481722880/272pdyUU.jpg","View")</f>
        <v>View</v>
      </c>
      <c r="V274" s="14"/>
      <c r="W274" s="14"/>
      <c r="X274" s="14"/>
      <c r="Y274" s="14"/>
      <c r="Z274" s="14"/>
    </row>
    <row r="275">
      <c r="A275" s="11">
        <v>43848.1009375</v>
      </c>
      <c r="B275" s="12" t="str">
        <f>HYPERLINK("https://twitter.com/Mentalconvs","@Mentalconvs")</f>
        <v>@Mentalconvs</v>
      </c>
      <c r="C275" s="1" t="s">
        <v>1458</v>
      </c>
      <c r="D275" s="1" t="s">
        <v>1459</v>
      </c>
      <c r="E275" s="12" t="str">
        <f>HYPERLINK("https://twitter.com/Mentalconvs/status/1218434185775452160","1218434185775452160")</f>
        <v>1218434185775452160</v>
      </c>
      <c r="F275" s="13" t="s">
        <v>1460</v>
      </c>
      <c r="G275" s="13" t="s">
        <v>1461</v>
      </c>
      <c r="H275" s="14"/>
      <c r="I275" s="15">
        <v>0.0</v>
      </c>
      <c r="J275" s="15">
        <v>0.0</v>
      </c>
      <c r="K275" s="12" t="str">
        <f t="shared" si="29"/>
        <v>Twitter for Android</v>
      </c>
      <c r="L275" s="16">
        <v>600.0</v>
      </c>
      <c r="M275" s="16">
        <v>709.0</v>
      </c>
      <c r="N275" s="16">
        <v>2.0</v>
      </c>
      <c r="O275" s="17"/>
      <c r="P275" s="18">
        <v>42937.064571759256</v>
      </c>
      <c r="Q275" s="1" t="s">
        <v>1462</v>
      </c>
      <c r="R275" s="1" t="s">
        <v>1463</v>
      </c>
      <c r="S275" s="14"/>
      <c r="T275" s="14"/>
      <c r="U275" s="19" t="str">
        <f>HYPERLINK("https://pbs.twimg.com/profile_images/986326384162344961/_EkrBLFf.jpg","View")</f>
        <v>View</v>
      </c>
      <c r="V275" s="14"/>
      <c r="W275" s="14"/>
      <c r="X275" s="14"/>
      <c r="Y275" s="14"/>
      <c r="Z275" s="14"/>
    </row>
    <row r="276">
      <c r="A276" s="11">
        <v>43848.10091435185</v>
      </c>
      <c r="B276" s="12" t="str">
        <f>HYPERLINK("https://twitter.com/SalubrityC","@SalubrityC")</f>
        <v>@SalubrityC</v>
      </c>
      <c r="C276" s="1" t="s">
        <v>1464</v>
      </c>
      <c r="D276" s="1" t="s">
        <v>1465</v>
      </c>
      <c r="E276" s="12" t="str">
        <f>HYPERLINK("https://twitter.com/SalubrityC/status/1218434175943901184","1218434175943901184")</f>
        <v>1218434175943901184</v>
      </c>
      <c r="F276" s="14"/>
      <c r="G276" s="13" t="s">
        <v>1466</v>
      </c>
      <c r="H276" s="14"/>
      <c r="I276" s="15">
        <v>0.0</v>
      </c>
      <c r="J276" s="15">
        <v>1.0</v>
      </c>
      <c r="K276" s="12" t="str">
        <f t="shared" ref="K276:K277" si="30">HYPERLINK("https://mobile.twitter.com","Twitter Web App")</f>
        <v>Twitter Web App</v>
      </c>
      <c r="L276" s="16">
        <v>1.0</v>
      </c>
      <c r="M276" s="16">
        <v>5.0</v>
      </c>
      <c r="N276" s="16">
        <v>0.0</v>
      </c>
      <c r="O276" s="17"/>
      <c r="P276" s="18">
        <v>43806.31211805556</v>
      </c>
      <c r="Q276" s="1" t="s">
        <v>1467</v>
      </c>
      <c r="R276" s="1" t="s">
        <v>1468</v>
      </c>
      <c r="S276" s="14"/>
      <c r="T276" s="14"/>
      <c r="U276" s="19" t="str">
        <f>HYPERLINK("https://pbs.twimg.com/profile_images/1203953975386460160/pAErzEeG.jpg","View")</f>
        <v>View</v>
      </c>
      <c r="V276" s="14"/>
      <c r="W276" s="14"/>
      <c r="X276" s="14"/>
      <c r="Y276" s="14"/>
      <c r="Z276" s="14"/>
    </row>
    <row r="277">
      <c r="A277" s="11">
        <v>43848.09986111111</v>
      </c>
      <c r="B277" s="12" t="str">
        <f>HYPERLINK("https://twitter.com/MapsofIndia","@MapsofIndia")</f>
        <v>@MapsofIndia</v>
      </c>
      <c r="C277" s="1" t="s">
        <v>1469</v>
      </c>
      <c r="D277" s="1" t="s">
        <v>1470</v>
      </c>
      <c r="E277" s="12" t="str">
        <f>HYPERLINK("https://twitter.com/MapsofIndia/status/1218433792240582657","1218433792240582657")</f>
        <v>1218433792240582657</v>
      </c>
      <c r="F277" s="13" t="s">
        <v>1471</v>
      </c>
      <c r="G277" s="14"/>
      <c r="H277" s="14"/>
      <c r="I277" s="15">
        <v>0.0</v>
      </c>
      <c r="J277" s="15">
        <v>0.0</v>
      </c>
      <c r="K277" s="12" t="str">
        <f t="shared" si="30"/>
        <v>Twitter Web App</v>
      </c>
      <c r="L277" s="16">
        <v>3369.0</v>
      </c>
      <c r="M277" s="16">
        <v>55.0</v>
      </c>
      <c r="N277" s="16">
        <v>214.0</v>
      </c>
      <c r="O277" s="17"/>
      <c r="P277" s="18">
        <v>39799.18666666667</v>
      </c>
      <c r="Q277" s="1" t="s">
        <v>1472</v>
      </c>
      <c r="R277" s="1" t="s">
        <v>1473</v>
      </c>
      <c r="S277" s="13" t="s">
        <v>1474</v>
      </c>
      <c r="T277" s="14"/>
      <c r="U277" s="19" t="str">
        <f>HYPERLINK("https://pbs.twimg.com/profile_images/715353988/moi-icon.png","View")</f>
        <v>View</v>
      </c>
      <c r="V277" s="14"/>
      <c r="W277" s="14"/>
      <c r="X277" s="14"/>
      <c r="Y277" s="14"/>
      <c r="Z277" s="14"/>
    </row>
    <row r="278">
      <c r="A278" s="11">
        <v>43848.097233796296</v>
      </c>
      <c r="B278" s="12" t="str">
        <f>HYPERLINK("https://twitter.com/TrainingMindful","@TrainingMindful")</f>
        <v>@TrainingMindful</v>
      </c>
      <c r="C278" s="1" t="s">
        <v>94</v>
      </c>
      <c r="D278" s="1" t="s">
        <v>1475</v>
      </c>
      <c r="E278" s="12" t="str">
        <f>HYPERLINK("https://twitter.com/TrainingMindful/status/1218432840108474369","1218432840108474369")</f>
        <v>1218432840108474369</v>
      </c>
      <c r="F278" s="13" t="s">
        <v>1476</v>
      </c>
      <c r="G278" s="14"/>
      <c r="H278" s="14"/>
      <c r="I278" s="15">
        <v>1.0</v>
      </c>
      <c r="J278" s="15">
        <v>1.0</v>
      </c>
      <c r="K278" s="12" t="str">
        <f>HYPERLINK("https://www.socialoomph.com","SocialOomph")</f>
        <v>SocialOomph</v>
      </c>
      <c r="L278" s="16">
        <v>185303.0</v>
      </c>
      <c r="M278" s="16">
        <v>43980.0</v>
      </c>
      <c r="N278" s="16">
        <v>2800.0</v>
      </c>
      <c r="O278" s="17"/>
      <c r="P278" s="18">
        <v>41286.039305555554</v>
      </c>
      <c r="Q278" s="1" t="s">
        <v>97</v>
      </c>
      <c r="R278" s="1" t="s">
        <v>98</v>
      </c>
      <c r="S278" s="13" t="s">
        <v>99</v>
      </c>
      <c r="T278" s="14"/>
      <c r="U278" s="19" t="str">
        <f>HYPERLINK("https://pbs.twimg.com/profile_images/566526924059459584/gdMxDA9x.jpeg","View")</f>
        <v>View</v>
      </c>
      <c r="V278" s="14"/>
      <c r="W278" s="14"/>
      <c r="X278" s="14"/>
      <c r="Y278" s="14"/>
      <c r="Z278" s="14"/>
    </row>
    <row r="279">
      <c r="A279" s="11">
        <v>43848.08482638889</v>
      </c>
      <c r="B279" s="12" t="str">
        <f>HYPERLINK("https://twitter.com/sostostress","@sostostress")</f>
        <v>@sostostress</v>
      </c>
      <c r="C279" s="1" t="s">
        <v>1042</v>
      </c>
      <c r="D279" s="1" t="s">
        <v>1477</v>
      </c>
      <c r="E279" s="12" t="str">
        <f>HYPERLINK("https://twitter.com/sostostress/status/1218428343365840896","1218428343365840896")</f>
        <v>1218428343365840896</v>
      </c>
      <c r="F279" s="13" t="s">
        <v>1478</v>
      </c>
      <c r="G279" s="14"/>
      <c r="H279" s="14"/>
      <c r="I279" s="15">
        <v>1.0</v>
      </c>
      <c r="J279" s="15">
        <v>0.0</v>
      </c>
      <c r="K279" s="12" t="str">
        <f>HYPERLINK("http://www.podbean.com","Podbean Podcast")</f>
        <v>Podbean Podcast</v>
      </c>
      <c r="L279" s="16">
        <v>333.0</v>
      </c>
      <c r="M279" s="16">
        <v>171.0</v>
      </c>
      <c r="N279" s="16">
        <v>46.0</v>
      </c>
      <c r="O279" s="17"/>
      <c r="P279" s="18">
        <v>40529.642071759255</v>
      </c>
      <c r="Q279" s="1" t="s">
        <v>143</v>
      </c>
      <c r="R279" s="1" t="s">
        <v>1046</v>
      </c>
      <c r="S279" s="13" t="s">
        <v>1047</v>
      </c>
      <c r="T279" s="14"/>
      <c r="U279" s="19" t="str">
        <f>HYPERLINK("https://pbs.twimg.com/profile_images/1192953737/image006_pp_-_2__2_.jpg","View")</f>
        <v>View</v>
      </c>
      <c r="V279" s="14"/>
      <c r="W279" s="14"/>
      <c r="X279" s="14"/>
      <c r="Y279" s="14"/>
      <c r="Z279" s="14"/>
    </row>
    <row r="280">
      <c r="A280" s="11">
        <v>43848.0805787037</v>
      </c>
      <c r="B280" s="12" t="str">
        <f>HYPERLINK("https://twitter.com/alexandrito_co","@alexandrito_co")</f>
        <v>@alexandrito_co</v>
      </c>
      <c r="C280" s="1" t="s">
        <v>1479</v>
      </c>
      <c r="D280" s="1" t="s">
        <v>1480</v>
      </c>
      <c r="E280" s="12" t="str">
        <f>HYPERLINK("https://twitter.com/alexandrito_co/status/1218426805155033089","1218426805155033089")</f>
        <v>1218426805155033089</v>
      </c>
      <c r="F280" s="14"/>
      <c r="G280" s="14"/>
      <c r="H280" s="14"/>
      <c r="I280" s="15">
        <v>0.0</v>
      </c>
      <c r="J280" s="15">
        <v>0.0</v>
      </c>
      <c r="K280" s="12" t="str">
        <f>HYPERLINK("http://twitter.com/download/iphone","Twitter for iPhone")</f>
        <v>Twitter for iPhone</v>
      </c>
      <c r="L280" s="16">
        <v>50.0</v>
      </c>
      <c r="M280" s="16">
        <v>56.0</v>
      </c>
      <c r="N280" s="16">
        <v>0.0</v>
      </c>
      <c r="O280" s="17"/>
      <c r="P280" s="18">
        <v>42104.89528935185</v>
      </c>
      <c r="Q280" s="14"/>
      <c r="R280" s="1" t="s">
        <v>1481</v>
      </c>
      <c r="S280" s="14"/>
      <c r="T280" s="14"/>
      <c r="U280" s="19" t="str">
        <f>HYPERLINK("https://pbs.twimg.com/profile_images/1063539239260872704/CArrIV70.jpg","View")</f>
        <v>View</v>
      </c>
      <c r="V280" s="14"/>
      <c r="W280" s="14"/>
      <c r="X280" s="14"/>
      <c r="Y280" s="14"/>
      <c r="Z280" s="14"/>
    </row>
    <row r="281">
      <c r="A281" s="11">
        <v>43848.07460648148</v>
      </c>
      <c r="B281" s="12" t="str">
        <f>HYPERLINK("https://twitter.com/BoulderNuadThai","@BoulderNuadThai")</f>
        <v>@BoulderNuadThai</v>
      </c>
      <c r="C281" s="1" t="s">
        <v>1482</v>
      </c>
      <c r="D281" s="1" t="s">
        <v>1483</v>
      </c>
      <c r="E281" s="12" t="str">
        <f>HYPERLINK("https://twitter.com/BoulderNuadThai/status/1218424640235696129","1218424640235696129")</f>
        <v>1218424640235696129</v>
      </c>
      <c r="F281" s="13" t="s">
        <v>1484</v>
      </c>
      <c r="G281" s="14"/>
      <c r="H281" s="14"/>
      <c r="I281" s="15">
        <v>1.0</v>
      </c>
      <c r="J281" s="15">
        <v>2.0</v>
      </c>
      <c r="K281" s="12" t="str">
        <f t="shared" ref="K281:K282" si="31">HYPERLINK("https://mobile.twitter.com","Twitter Web App")</f>
        <v>Twitter Web App</v>
      </c>
      <c r="L281" s="16">
        <v>96.0</v>
      </c>
      <c r="M281" s="16">
        <v>413.0</v>
      </c>
      <c r="N281" s="16">
        <v>2.0</v>
      </c>
      <c r="O281" s="17"/>
      <c r="P281" s="18">
        <v>41746.65761574074</v>
      </c>
      <c r="Q281" s="1" t="s">
        <v>1485</v>
      </c>
      <c r="R281" s="1" t="s">
        <v>1486</v>
      </c>
      <c r="S281" s="13" t="s">
        <v>1487</v>
      </c>
      <c r="T281" s="14"/>
      <c r="U281" s="19" t="str">
        <f>HYPERLINK("https://pbs.twimg.com/profile_images/456887490003996672/p75vwFyz.jpeg","View")</f>
        <v>View</v>
      </c>
      <c r="V281" s="14"/>
      <c r="W281" s="14"/>
      <c r="X281" s="14"/>
      <c r="Y281" s="14"/>
      <c r="Z281" s="14"/>
    </row>
    <row r="282">
      <c r="A282" s="11">
        <v>43848.074224537035</v>
      </c>
      <c r="B282" s="12" t="str">
        <f>HYPERLINK("https://twitter.com/kv1fzr","@kv1fzr")</f>
        <v>@kv1fzr</v>
      </c>
      <c r="C282" s="1" t="s">
        <v>1488</v>
      </c>
      <c r="D282" s="1" t="s">
        <v>1489</v>
      </c>
      <c r="E282" s="12" t="str">
        <f>HYPERLINK("https://twitter.com/kv1fzr/status/1218424503643987970","1218424503643987970")</f>
        <v>1218424503643987970</v>
      </c>
      <c r="F282" s="14"/>
      <c r="G282" s="14"/>
      <c r="H282" s="14"/>
      <c r="I282" s="15">
        <v>1.0</v>
      </c>
      <c r="J282" s="15">
        <v>1.0</v>
      </c>
      <c r="K282" s="12" t="str">
        <f t="shared" si="31"/>
        <v>Twitter Web App</v>
      </c>
      <c r="L282" s="16">
        <v>0.0</v>
      </c>
      <c r="M282" s="16">
        <v>5.0</v>
      </c>
      <c r="N282" s="16">
        <v>0.0</v>
      </c>
      <c r="O282" s="17"/>
      <c r="P282" s="18">
        <v>43535.11734953704</v>
      </c>
      <c r="Q282" s="14"/>
      <c r="R282" s="1" t="s">
        <v>1490</v>
      </c>
      <c r="S282" s="14"/>
      <c r="T282" s="14"/>
      <c r="U282" s="19" t="str">
        <f>HYPERLINK("https://pbs.twimg.com/profile_images/1104997940475629568/iO3_xRK2.jpg","View")</f>
        <v>View</v>
      </c>
      <c r="V282" s="14"/>
      <c r="W282" s="14"/>
      <c r="X282" s="14"/>
      <c r="Y282" s="14"/>
      <c r="Z282" s="14"/>
    </row>
    <row r="283">
      <c r="A283" s="11">
        <v>43848.06334490741</v>
      </c>
      <c r="B283" s="12" t="str">
        <f>HYPERLINK("https://twitter.com/BradleySuicide","@BradleySuicide")</f>
        <v>@BradleySuicide</v>
      </c>
      <c r="C283" s="1" t="s">
        <v>1491</v>
      </c>
      <c r="D283" s="1" t="s">
        <v>1492</v>
      </c>
      <c r="E283" s="12" t="str">
        <f>HYPERLINK("https://twitter.com/BradleySuicide/status/1218420559945404416","1218420559945404416")</f>
        <v>1218420559945404416</v>
      </c>
      <c r="F283" s="14"/>
      <c r="G283" s="14"/>
      <c r="H283" s="14"/>
      <c r="I283" s="15">
        <v>0.0</v>
      </c>
      <c r="J283" s="15">
        <v>4.0</v>
      </c>
      <c r="K283" s="12" t="str">
        <f>HYPERLINK("http://twitter.com/download/iphone","Twitter for iPhone")</f>
        <v>Twitter for iPhone</v>
      </c>
      <c r="L283" s="16">
        <v>45036.0</v>
      </c>
      <c r="M283" s="16">
        <v>437.0</v>
      </c>
      <c r="N283" s="16">
        <v>163.0</v>
      </c>
      <c r="O283" s="17"/>
      <c r="P283" s="18">
        <v>40393.532789351855</v>
      </c>
      <c r="Q283" s="1" t="s">
        <v>1493</v>
      </c>
      <c r="R283" s="1" t="s">
        <v>1494</v>
      </c>
      <c r="S283" s="13" t="s">
        <v>1495</v>
      </c>
      <c r="T283" s="14"/>
      <c r="U283" s="19" t="str">
        <f>HYPERLINK("https://pbs.twimg.com/profile_images/781835391607316480/7d5SCEF8.jpg","View")</f>
        <v>View</v>
      </c>
      <c r="V283" s="14"/>
      <c r="W283" s="14"/>
      <c r="X283" s="14"/>
      <c r="Y283" s="14"/>
      <c r="Z283" s="14"/>
    </row>
    <row r="284">
      <c r="A284" s="11">
        <v>43848.062627314815</v>
      </c>
      <c r="B284" s="12" t="str">
        <f>HYPERLINK("https://twitter.com/FSonnenberg","@FSonnenberg")</f>
        <v>@FSonnenberg</v>
      </c>
      <c r="C284" s="1" t="s">
        <v>659</v>
      </c>
      <c r="D284" s="1" t="s">
        <v>1496</v>
      </c>
      <c r="E284" s="12" t="str">
        <f>HYPERLINK("https://twitter.com/FSonnenberg/status/1218420300938870784","1218420300938870784")</f>
        <v>1218420300938870784</v>
      </c>
      <c r="F284" s="13" t="s">
        <v>1497</v>
      </c>
      <c r="G284" s="14"/>
      <c r="H284" s="14"/>
      <c r="I284" s="15">
        <v>0.0</v>
      </c>
      <c r="J284" s="15">
        <v>0.0</v>
      </c>
      <c r="K284" s="12" t="str">
        <f>HYPERLINK("https://www.socialjukebox.com","The Social Jukebox")</f>
        <v>The Social Jukebox</v>
      </c>
      <c r="L284" s="16">
        <v>93854.0</v>
      </c>
      <c r="M284" s="16">
        <v>61540.0</v>
      </c>
      <c r="N284" s="16">
        <v>2658.0</v>
      </c>
      <c r="O284" s="17"/>
      <c r="P284" s="18">
        <v>40419.65079861111</v>
      </c>
      <c r="Q284" s="1" t="s">
        <v>662</v>
      </c>
      <c r="R284" s="1" t="s">
        <v>663</v>
      </c>
      <c r="S284" s="13" t="s">
        <v>664</v>
      </c>
      <c r="T284" s="14"/>
      <c r="U284" s="19" t="str">
        <f>HYPERLINK("https://pbs.twimg.com/profile_images/841693592733155328/Hk0DSFtA.jpg","View")</f>
        <v>View</v>
      </c>
      <c r="V284" s="14"/>
      <c r="W284" s="14"/>
      <c r="X284" s="14"/>
      <c r="Y284" s="14"/>
      <c r="Z284" s="14"/>
    </row>
    <row r="285">
      <c r="A285" s="11">
        <v>43848.06188657407</v>
      </c>
      <c r="B285" s="12" t="str">
        <f>HYPERLINK("https://twitter.com/SunnyNitedesign","@SunnyNitedesign")</f>
        <v>@SunnyNitedesign</v>
      </c>
      <c r="C285" s="1" t="s">
        <v>1498</v>
      </c>
      <c r="D285" s="1" t="s">
        <v>1499</v>
      </c>
      <c r="E285" s="12" t="str">
        <f>HYPERLINK("https://twitter.com/SunnyNitedesign/status/1218420030402191361","1218420030402191361")</f>
        <v>1218420030402191361</v>
      </c>
      <c r="F285" s="13" t="s">
        <v>1500</v>
      </c>
      <c r="G285" s="14"/>
      <c r="H285" s="14"/>
      <c r="I285" s="15">
        <v>1.0</v>
      </c>
      <c r="J285" s="15">
        <v>0.0</v>
      </c>
      <c r="K285" s="12" t="str">
        <f>HYPERLINK("http://instagram.com","Instagram")</f>
        <v>Instagram</v>
      </c>
      <c r="L285" s="16">
        <v>350.0</v>
      </c>
      <c r="M285" s="16">
        <v>496.0</v>
      </c>
      <c r="N285" s="16">
        <v>0.0</v>
      </c>
      <c r="O285" s="17"/>
      <c r="P285" s="18">
        <v>41185.446608796294</v>
      </c>
      <c r="Q285" s="1" t="s">
        <v>550</v>
      </c>
      <c r="R285" s="1" t="s">
        <v>1501</v>
      </c>
      <c r="S285" s="13" t="s">
        <v>1502</v>
      </c>
      <c r="T285" s="14"/>
      <c r="U285" s="19" t="str">
        <f>HYPERLINK("https://pbs.twimg.com/profile_images/783103853478735909/0kamAllV.jpg","View")</f>
        <v>View</v>
      </c>
      <c r="V285" s="14"/>
      <c r="W285" s="14"/>
      <c r="X285" s="14"/>
      <c r="Y285" s="14"/>
      <c r="Z285" s="14"/>
    </row>
    <row r="286">
      <c r="A286" s="11">
        <v>43848.05980324074</v>
      </c>
      <c r="B286" s="12" t="str">
        <f>HYPERLINK("https://twitter.com/MapsofIndia","@MapsofIndia")</f>
        <v>@MapsofIndia</v>
      </c>
      <c r="C286" s="1" t="s">
        <v>1469</v>
      </c>
      <c r="D286" s="1" t="s">
        <v>1503</v>
      </c>
      <c r="E286" s="12" t="str">
        <f>HYPERLINK("https://twitter.com/MapsofIndia/status/1218419278745079808","1218419278745079808")</f>
        <v>1218419278745079808</v>
      </c>
      <c r="F286" s="13" t="s">
        <v>1504</v>
      </c>
      <c r="G286" s="14"/>
      <c r="H286" s="14"/>
      <c r="I286" s="15">
        <v>2.0</v>
      </c>
      <c r="J286" s="15">
        <v>0.0</v>
      </c>
      <c r="K286" s="12" t="str">
        <f>HYPERLINK("https://mobile.twitter.com","Twitter Web App")</f>
        <v>Twitter Web App</v>
      </c>
      <c r="L286" s="16">
        <v>3369.0</v>
      </c>
      <c r="M286" s="16">
        <v>55.0</v>
      </c>
      <c r="N286" s="16">
        <v>214.0</v>
      </c>
      <c r="O286" s="17"/>
      <c r="P286" s="18">
        <v>39799.18666666667</v>
      </c>
      <c r="Q286" s="1" t="s">
        <v>1472</v>
      </c>
      <c r="R286" s="1" t="s">
        <v>1473</v>
      </c>
      <c r="S286" s="13" t="s">
        <v>1474</v>
      </c>
      <c r="T286" s="14"/>
      <c r="U286" s="19" t="str">
        <f>HYPERLINK("https://pbs.twimg.com/profile_images/715353988/moi-icon.png","View")</f>
        <v>View</v>
      </c>
      <c r="V286" s="14"/>
      <c r="W286" s="14"/>
      <c r="X286" s="14"/>
      <c r="Y286" s="14"/>
      <c r="Z286" s="14"/>
    </row>
    <row r="287">
      <c r="A287" s="11">
        <v>43848.054976851854</v>
      </c>
      <c r="B287" s="12" t="str">
        <f>HYPERLINK("https://twitter.com/brentjtaylor","@brentjtaylor")</f>
        <v>@brentjtaylor</v>
      </c>
      <c r="C287" s="1" t="s">
        <v>1505</v>
      </c>
      <c r="D287" s="1" t="s">
        <v>1506</v>
      </c>
      <c r="E287" s="12" t="str">
        <f>HYPERLINK("https://twitter.com/brentjtaylor/status/1218417529363677185","1218417529363677185")</f>
        <v>1218417529363677185</v>
      </c>
      <c r="F287" s="14"/>
      <c r="G287" s="14"/>
      <c r="H287" s="14"/>
      <c r="I287" s="15">
        <v>0.0</v>
      </c>
      <c r="J287" s="15">
        <v>3.0</v>
      </c>
      <c r="K287" s="12" t="str">
        <f>HYPERLINK("http://twitter.com/download/iphone","Twitter for iPhone")</f>
        <v>Twitter for iPhone</v>
      </c>
      <c r="L287" s="16">
        <v>2621.0</v>
      </c>
      <c r="M287" s="16">
        <v>1338.0</v>
      </c>
      <c r="N287" s="16">
        <v>153.0</v>
      </c>
      <c r="O287" s="17"/>
      <c r="P287" s="18">
        <v>39619.394282407404</v>
      </c>
      <c r="Q287" s="1" t="s">
        <v>1507</v>
      </c>
      <c r="R287" s="1" t="s">
        <v>1508</v>
      </c>
      <c r="S287" s="13" t="s">
        <v>1509</v>
      </c>
      <c r="T287" s="14"/>
      <c r="U287" s="19" t="str">
        <f>HYPERLINK("https://pbs.twimg.com/profile_images/1045841022079557633/Gv03S6k7.jpg","View")</f>
        <v>View</v>
      </c>
      <c r="V287" s="14"/>
      <c r="W287" s="14"/>
      <c r="X287" s="14"/>
      <c r="Y287" s="14"/>
      <c r="Z287" s="14"/>
    </row>
    <row r="288">
      <c r="A288" s="11">
        <v>43848.05454861111</v>
      </c>
      <c r="B288" s="12" t="str">
        <f>HYPERLINK("https://twitter.com/psychiatristbpl","@psychiatristbpl")</f>
        <v>@psychiatristbpl</v>
      </c>
      <c r="C288" s="1" t="s">
        <v>1510</v>
      </c>
      <c r="D288" s="1" t="s">
        <v>1511</v>
      </c>
      <c r="E288" s="12" t="str">
        <f>HYPERLINK("https://twitter.com/psychiatristbpl/status/1218417373062946816","1218417373062946816")</f>
        <v>1218417373062946816</v>
      </c>
      <c r="F288" s="14"/>
      <c r="G288" s="13" t="s">
        <v>1512</v>
      </c>
      <c r="H288" s="14"/>
      <c r="I288" s="15">
        <v>0.0</v>
      </c>
      <c r="J288" s="15">
        <v>0.0</v>
      </c>
      <c r="K288" s="12" t="str">
        <f>HYPERLINK("https://mobile.twitter.com","Twitter Web App")</f>
        <v>Twitter Web App</v>
      </c>
      <c r="L288" s="16">
        <v>1437.0</v>
      </c>
      <c r="M288" s="16">
        <v>3858.0</v>
      </c>
      <c r="N288" s="16">
        <v>9.0</v>
      </c>
      <c r="O288" s="17"/>
      <c r="P288" s="18">
        <v>42328.12012731482</v>
      </c>
      <c r="Q288" s="1" t="s">
        <v>1513</v>
      </c>
      <c r="R288" s="1" t="s">
        <v>1514</v>
      </c>
      <c r="S288" s="13" t="s">
        <v>1515</v>
      </c>
      <c r="T288" s="14"/>
      <c r="U288" s="19" t="str">
        <f>HYPERLINK("https://pbs.twimg.com/profile_images/1017251797059194880/wTJeFcn9.jpg","View")</f>
        <v>View</v>
      </c>
      <c r="V288" s="14"/>
      <c r="W288" s="14"/>
      <c r="X288" s="14"/>
      <c r="Y288" s="14"/>
      <c r="Z288" s="14"/>
    </row>
    <row r="289">
      <c r="A289" s="11">
        <v>43848.04709490741</v>
      </c>
      <c r="B289" s="12" t="str">
        <f>HYPERLINK("https://twitter.com/nybhealth","@nybhealth")</f>
        <v>@nybhealth</v>
      </c>
      <c r="C289" s="1" t="s">
        <v>1516</v>
      </c>
      <c r="D289" s="1" t="s">
        <v>1517</v>
      </c>
      <c r="E289" s="12" t="str">
        <f>HYPERLINK("https://twitter.com/nybhealth/status/1218414671365132288","1218414671365132288")</f>
        <v>1218414671365132288</v>
      </c>
      <c r="F289" s="13" t="s">
        <v>1518</v>
      </c>
      <c r="G289" s="13" t="s">
        <v>1519</v>
      </c>
      <c r="H289" s="14"/>
      <c r="I289" s="15">
        <v>0.0</v>
      </c>
      <c r="J289" s="15">
        <v>0.0</v>
      </c>
      <c r="K289" s="12" t="str">
        <f>HYPERLINK("https://buffer.com","Buffer")</f>
        <v>Buffer</v>
      </c>
      <c r="L289" s="16">
        <v>3495.0</v>
      </c>
      <c r="M289" s="16">
        <v>3216.0</v>
      </c>
      <c r="N289" s="16">
        <v>204.0</v>
      </c>
      <c r="O289" s="17"/>
      <c r="P289" s="18">
        <v>40176.511724537035</v>
      </c>
      <c r="Q289" s="1" t="s">
        <v>1520</v>
      </c>
      <c r="R289" s="1" t="s">
        <v>1521</v>
      </c>
      <c r="S289" s="13" t="s">
        <v>1522</v>
      </c>
      <c r="T289" s="14"/>
      <c r="U289" s="19" t="str">
        <f>HYPERLINK("https://pbs.twimg.com/profile_images/462822616256872449/xtvRtm5K.jpeg","View")</f>
        <v>View</v>
      </c>
      <c r="V289" s="14"/>
      <c r="W289" s="14"/>
      <c r="X289" s="14"/>
      <c r="Y289" s="14"/>
      <c r="Z289" s="14"/>
    </row>
    <row r="290">
      <c r="A290" s="11">
        <v>43848.04502314815</v>
      </c>
      <c r="B290" s="12" t="str">
        <f>HYPERLINK("https://twitter.com/Chitrali19","@Chitrali19")</f>
        <v>@Chitrali19</v>
      </c>
      <c r="C290" s="1" t="s">
        <v>1523</v>
      </c>
      <c r="D290" s="1" t="s">
        <v>1524</v>
      </c>
      <c r="E290" s="12" t="str">
        <f>HYPERLINK("https://twitter.com/Chitrali19/status/1218413920442032128","1218413920442032128")</f>
        <v>1218413920442032128</v>
      </c>
      <c r="F290" s="13" t="s">
        <v>1525</v>
      </c>
      <c r="G290" s="14"/>
      <c r="H290" s="14"/>
      <c r="I290" s="15">
        <v>0.0</v>
      </c>
      <c r="J290" s="15">
        <v>0.0</v>
      </c>
      <c r="K290" s="12" t="str">
        <f>HYPERLINK("http://twitter.com/download/android","Twitter for Android")</f>
        <v>Twitter for Android</v>
      </c>
      <c r="L290" s="16">
        <v>180.0</v>
      </c>
      <c r="M290" s="16">
        <v>1200.0</v>
      </c>
      <c r="N290" s="16">
        <v>0.0</v>
      </c>
      <c r="O290" s="17"/>
      <c r="P290" s="18">
        <v>42680.93393518518</v>
      </c>
      <c r="Q290" s="14"/>
      <c r="R290" s="14"/>
      <c r="S290" s="14"/>
      <c r="T290" s="14"/>
      <c r="U290" s="19" t="str">
        <f>HYPERLINK("https://pbs.twimg.com/profile_images/913350542998548480/bUaW5kfs.jpg","View")</f>
        <v>View</v>
      </c>
      <c r="V290" s="14"/>
      <c r="W290" s="14"/>
      <c r="X290" s="14"/>
      <c r="Y290" s="14"/>
      <c r="Z290" s="14"/>
    </row>
    <row r="291">
      <c r="A291" s="11">
        <v>43848.042175925926</v>
      </c>
      <c r="B291" s="12" t="str">
        <f>HYPERLINK("https://twitter.com/EuropeMeetings","@EuropeMeetings")</f>
        <v>@EuropeMeetings</v>
      </c>
      <c r="C291" s="1" t="s">
        <v>1526</v>
      </c>
      <c r="D291" s="1" t="s">
        <v>1527</v>
      </c>
      <c r="E291" s="12" t="str">
        <f>HYPERLINK("https://twitter.com/EuropeMeetings/status/1218412888076931072","1218412888076931072")</f>
        <v>1218412888076931072</v>
      </c>
      <c r="F291" s="13" t="s">
        <v>1528</v>
      </c>
      <c r="G291" s="13" t="s">
        <v>1529</v>
      </c>
      <c r="H291" s="14"/>
      <c r="I291" s="15">
        <v>0.0</v>
      </c>
      <c r="J291" s="15">
        <v>0.0</v>
      </c>
      <c r="K291" s="12" t="str">
        <f>HYPERLINK("https://mobile.twitter.com","Twitter Web App")</f>
        <v>Twitter Web App</v>
      </c>
      <c r="L291" s="16">
        <v>0.0</v>
      </c>
      <c r="M291" s="16">
        <v>1.0</v>
      </c>
      <c r="N291" s="16">
        <v>0.0</v>
      </c>
      <c r="O291" s="17"/>
      <c r="P291" s="18">
        <v>43818.446875</v>
      </c>
      <c r="Q291" s="1" t="s">
        <v>975</v>
      </c>
      <c r="R291" s="1" t="s">
        <v>1530</v>
      </c>
      <c r="S291" s="14"/>
      <c r="T291" s="14"/>
      <c r="U291" s="19" t="str">
        <f>HYPERLINK("https://pbs.twimg.com/profile_images/1214920645466820609/_Ez0gQOR.jpg","View")</f>
        <v>View</v>
      </c>
      <c r="V291" s="14"/>
      <c r="W291" s="14"/>
      <c r="X291" s="14"/>
      <c r="Y291" s="14"/>
      <c r="Z291" s="14"/>
    </row>
    <row r="292">
      <c r="A292" s="11">
        <v>43848.04190972222</v>
      </c>
      <c r="B292" s="12" t="str">
        <f>HYPERLINK("https://twitter.com/WestCoastGospel","@WestCoastGospel")</f>
        <v>@WestCoastGospel</v>
      </c>
      <c r="C292" s="1" t="s">
        <v>1531</v>
      </c>
      <c r="D292" s="1" t="s">
        <v>1532</v>
      </c>
      <c r="E292" s="12" t="str">
        <f>HYPERLINK("https://twitter.com/WestCoastGospel/status/1218412792417587200","1218412792417587200")</f>
        <v>1218412792417587200</v>
      </c>
      <c r="F292" s="14"/>
      <c r="G292" s="14"/>
      <c r="H292" s="14"/>
      <c r="I292" s="15">
        <v>0.0</v>
      </c>
      <c r="J292" s="15">
        <v>2.0</v>
      </c>
      <c r="K292" s="12" t="str">
        <f>HYPERLINK("https://www.socialoomph.com","SocialOomph")</f>
        <v>SocialOomph</v>
      </c>
      <c r="L292" s="16">
        <v>5583.0</v>
      </c>
      <c r="M292" s="16">
        <v>4870.0</v>
      </c>
      <c r="N292" s="16">
        <v>113.0</v>
      </c>
      <c r="O292" s="17"/>
      <c r="P292" s="18">
        <v>41978.50744212963</v>
      </c>
      <c r="Q292" s="1" t="s">
        <v>1533</v>
      </c>
      <c r="R292" s="1" t="s">
        <v>1534</v>
      </c>
      <c r="S292" s="13" t="s">
        <v>1535</v>
      </c>
      <c r="T292" s="14"/>
      <c r="U292" s="19" t="str">
        <f>HYPERLINK("https://pbs.twimg.com/profile_images/621482090903633921/2fHeLvAG.jpg","View")</f>
        <v>View</v>
      </c>
      <c r="V292" s="14"/>
      <c r="W292" s="14"/>
      <c r="X292" s="14"/>
      <c r="Y292" s="14"/>
      <c r="Z292" s="14"/>
    </row>
    <row r="293">
      <c r="A293" s="11">
        <v>43848.04166666667</v>
      </c>
      <c r="B293" s="12" t="str">
        <f>HYPERLINK("https://twitter.com/WillowbrookMed1","@WillowbrookMed1")</f>
        <v>@WillowbrookMed1</v>
      </c>
      <c r="C293" s="1" t="s">
        <v>1536</v>
      </c>
      <c r="D293" s="1" t="s">
        <v>1537</v>
      </c>
      <c r="E293" s="12" t="str">
        <f>HYPERLINK("https://twitter.com/WillowbrookMed1/status/1218412706677411844","1218412706677411844")</f>
        <v>1218412706677411844</v>
      </c>
      <c r="F293" s="13" t="s">
        <v>1538</v>
      </c>
      <c r="G293" s="13" t="s">
        <v>1539</v>
      </c>
      <c r="H293" s="14"/>
      <c r="I293" s="15">
        <v>0.0</v>
      </c>
      <c r="J293" s="15">
        <v>0.0</v>
      </c>
      <c r="K293" s="12" t="str">
        <f>HYPERLINK("https://social.zoho.com","Zoho Social")</f>
        <v>Zoho Social</v>
      </c>
      <c r="L293" s="16">
        <v>7.0</v>
      </c>
      <c r="M293" s="16">
        <v>0.0</v>
      </c>
      <c r="N293" s="16">
        <v>0.0</v>
      </c>
      <c r="O293" s="17"/>
      <c r="P293" s="18">
        <v>43396.26185185185</v>
      </c>
      <c r="Q293" s="1" t="s">
        <v>1540</v>
      </c>
      <c r="R293" s="1" t="s">
        <v>1541</v>
      </c>
      <c r="S293" s="13" t="s">
        <v>1542</v>
      </c>
      <c r="T293" s="14"/>
      <c r="U293" s="19" t="str">
        <f>HYPERLINK("https://pbs.twimg.com/profile_images/1054692997827301376/nx3w5QNU.jpg","View")</f>
        <v>View</v>
      </c>
      <c r="V293" s="14"/>
      <c r="W293" s="14"/>
      <c r="X293" s="14"/>
      <c r="Y293" s="14"/>
      <c r="Z293" s="14"/>
    </row>
    <row r="294">
      <c r="A294" s="11">
        <v>43848.04133101852</v>
      </c>
      <c r="B294" s="12" t="str">
        <f>HYPERLINK("https://twitter.com/SoIsFibroReal","@SoIsFibroReal")</f>
        <v>@SoIsFibroReal</v>
      </c>
      <c r="C294" s="1" t="s">
        <v>1543</v>
      </c>
      <c r="D294" s="1" t="s">
        <v>1544</v>
      </c>
      <c r="E294" s="12" t="str">
        <f>HYPERLINK("https://twitter.com/SoIsFibroReal/status/1218412581880242176","1218412581880242176")</f>
        <v>1218412581880242176</v>
      </c>
      <c r="F294" s="13" t="s">
        <v>1545</v>
      </c>
      <c r="G294" s="14"/>
      <c r="H294" s="14"/>
      <c r="I294" s="15">
        <v>0.0</v>
      </c>
      <c r="J294" s="15">
        <v>0.0</v>
      </c>
      <c r="K294" s="12" t="str">
        <f>HYPERLINK("https://mobile.twitter.com","Twitter Web App")</f>
        <v>Twitter Web App</v>
      </c>
      <c r="L294" s="16">
        <v>4890.0</v>
      </c>
      <c r="M294" s="16">
        <v>5373.0</v>
      </c>
      <c r="N294" s="16">
        <v>38.0</v>
      </c>
      <c r="O294" s="17"/>
      <c r="P294" s="18">
        <v>42783.583125000005</v>
      </c>
      <c r="Q294" s="1" t="s">
        <v>143</v>
      </c>
      <c r="R294" s="1" t="s">
        <v>1546</v>
      </c>
      <c r="S294" s="13" t="s">
        <v>1547</v>
      </c>
      <c r="T294" s="14"/>
      <c r="U294" s="19" t="str">
        <f>HYPERLINK("https://pbs.twimg.com/profile_images/833390340778422278/g2ya39PE.jpg","View")</f>
        <v>View</v>
      </c>
      <c r="V294" s="14"/>
      <c r="W294" s="14"/>
      <c r="X294" s="14"/>
      <c r="Y294" s="14"/>
      <c r="Z294" s="14"/>
    </row>
    <row r="295">
      <c r="A295" s="11">
        <v>43848.03472222222</v>
      </c>
      <c r="B295" s="12" t="str">
        <f>HYPERLINK("https://twitter.com/TrainingMindful","@TrainingMindful")</f>
        <v>@TrainingMindful</v>
      </c>
      <c r="C295" s="1" t="s">
        <v>94</v>
      </c>
      <c r="D295" s="1" t="s">
        <v>1548</v>
      </c>
      <c r="E295" s="12" t="str">
        <f>HYPERLINK("https://twitter.com/TrainingMindful/status/1218410187704406016","1218410187704406016")</f>
        <v>1218410187704406016</v>
      </c>
      <c r="F295" s="13" t="s">
        <v>1549</v>
      </c>
      <c r="G295" s="14"/>
      <c r="H295" s="14"/>
      <c r="I295" s="15">
        <v>0.0</v>
      </c>
      <c r="J295" s="15">
        <v>2.0</v>
      </c>
      <c r="K295" s="12" t="str">
        <f>HYPERLINK("https://www.socialoomph.com","SocialOomph")</f>
        <v>SocialOomph</v>
      </c>
      <c r="L295" s="16">
        <v>185303.0</v>
      </c>
      <c r="M295" s="16">
        <v>43980.0</v>
      </c>
      <c r="N295" s="16">
        <v>2800.0</v>
      </c>
      <c r="O295" s="17"/>
      <c r="P295" s="18">
        <v>41286.039305555554</v>
      </c>
      <c r="Q295" s="1" t="s">
        <v>97</v>
      </c>
      <c r="R295" s="1" t="s">
        <v>98</v>
      </c>
      <c r="S295" s="13" t="s">
        <v>99</v>
      </c>
      <c r="T295" s="14"/>
      <c r="U295" s="19" t="str">
        <f>HYPERLINK("https://pbs.twimg.com/profile_images/566526924059459584/gdMxDA9x.jpeg","View")</f>
        <v>View</v>
      </c>
      <c r="V295" s="14"/>
      <c r="W295" s="14"/>
      <c r="X295" s="14"/>
      <c r="Y295" s="14"/>
      <c r="Z295" s="14"/>
    </row>
    <row r="296">
      <c r="A296" s="11">
        <v>43848.03451388889</v>
      </c>
      <c r="B296" s="12" t="str">
        <f>HYPERLINK("https://twitter.com/twiischibis","@twiischibis")</f>
        <v>@twiischibis</v>
      </c>
      <c r="C296" s="1" t="s">
        <v>1550</v>
      </c>
      <c r="D296" s="1" t="s">
        <v>1551</v>
      </c>
      <c r="E296" s="12" t="str">
        <f>HYPERLINK("https://twitter.com/twiischibis/status/1218410112240373761","1218410112240373761")</f>
        <v>1218410112240373761</v>
      </c>
      <c r="F296" s="14"/>
      <c r="G296" s="14"/>
      <c r="H296" s="14"/>
      <c r="I296" s="15">
        <v>0.0</v>
      </c>
      <c r="J296" s="15">
        <v>0.0</v>
      </c>
      <c r="K296" s="12" t="str">
        <f>HYPERLINK("http://twitter.com/download/android","Twitter for Android")</f>
        <v>Twitter for Android</v>
      </c>
      <c r="L296" s="16">
        <v>380.0</v>
      </c>
      <c r="M296" s="16">
        <v>868.0</v>
      </c>
      <c r="N296" s="16">
        <v>4.0</v>
      </c>
      <c r="O296" s="17"/>
      <c r="P296" s="18">
        <v>41818.17559027778</v>
      </c>
      <c r="Q296" s="1" t="s">
        <v>1552</v>
      </c>
      <c r="R296" s="1" t="s">
        <v>1553</v>
      </c>
      <c r="S296" s="13" t="s">
        <v>1554</v>
      </c>
      <c r="T296" s="14"/>
      <c r="U296" s="19" t="str">
        <f>HYPERLINK("https://pbs.twimg.com/profile_images/1166707818084220929/AkB2Rbhw.jpg","View")</f>
        <v>View</v>
      </c>
      <c r="V296" s="14"/>
      <c r="W296" s="14"/>
      <c r="X296" s="14"/>
      <c r="Y296" s="14"/>
      <c r="Z296" s="14"/>
    </row>
    <row r="297">
      <c r="A297" s="11">
        <v>43848.01787037037</v>
      </c>
      <c r="B297" s="12" t="str">
        <f>HYPERLINK("https://twitter.com/renascencemusic","@renascencemusic")</f>
        <v>@renascencemusic</v>
      </c>
      <c r="C297" s="1" t="s">
        <v>247</v>
      </c>
      <c r="D297" s="1" t="s">
        <v>1555</v>
      </c>
      <c r="E297" s="12" t="str">
        <f>HYPERLINK("https://twitter.com/renascencemusic/status/1218404081284321282","1218404081284321282")</f>
        <v>1218404081284321282</v>
      </c>
      <c r="F297" s="13" t="s">
        <v>1556</v>
      </c>
      <c r="G297" s="13" t="s">
        <v>1557</v>
      </c>
      <c r="H297" s="14"/>
      <c r="I297" s="15">
        <v>0.0</v>
      </c>
      <c r="J297" s="15">
        <v>1.0</v>
      </c>
      <c r="K297" s="12" t="str">
        <f>HYPERLINK("https://www.socialoomph.com","SocialOomph")</f>
        <v>SocialOomph</v>
      </c>
      <c r="L297" s="16">
        <v>13031.0</v>
      </c>
      <c r="M297" s="16">
        <v>11650.0</v>
      </c>
      <c r="N297" s="16">
        <v>219.0</v>
      </c>
      <c r="O297" s="17"/>
      <c r="P297" s="18">
        <v>42470.67052083333</v>
      </c>
      <c r="Q297" s="1" t="s">
        <v>251</v>
      </c>
      <c r="R297" s="1" t="s">
        <v>252</v>
      </c>
      <c r="S297" s="13" t="s">
        <v>253</v>
      </c>
      <c r="T297" s="14"/>
      <c r="U297" s="19" t="str">
        <f>HYPERLINK("https://pbs.twimg.com/profile_images/1123407512743612416/g721ra2J.png","View")</f>
        <v>View</v>
      </c>
      <c r="V297" s="14"/>
      <c r="W297" s="14"/>
      <c r="X297" s="14"/>
      <c r="Y297" s="14"/>
      <c r="Z297" s="14"/>
    </row>
    <row r="298">
      <c r="A298" s="11">
        <v>43848.01466435185</v>
      </c>
      <c r="B298" s="12" t="str">
        <f>HYPERLINK("https://twitter.com/Hopequre1","@Hopequre1")</f>
        <v>@Hopequre1</v>
      </c>
      <c r="C298" s="1" t="s">
        <v>1558</v>
      </c>
      <c r="D298" s="1" t="s">
        <v>1559</v>
      </c>
      <c r="E298" s="12" t="str">
        <f>HYPERLINK("https://twitter.com/Hopequre1/status/1218402918153371648","1218402918153371648")</f>
        <v>1218402918153371648</v>
      </c>
      <c r="F298" s="14"/>
      <c r="G298" s="13" t="s">
        <v>1560</v>
      </c>
      <c r="H298" s="14"/>
      <c r="I298" s="15">
        <v>2.0</v>
      </c>
      <c r="J298" s="15">
        <v>2.0</v>
      </c>
      <c r="K298" s="12" t="str">
        <f t="shared" ref="K298:K299" si="32">HYPERLINK("https://mobile.twitter.com","Twitter Web App")</f>
        <v>Twitter Web App</v>
      </c>
      <c r="L298" s="16">
        <v>155.0</v>
      </c>
      <c r="M298" s="16">
        <v>1433.0</v>
      </c>
      <c r="N298" s="16">
        <v>0.0</v>
      </c>
      <c r="O298" s="17"/>
      <c r="P298" s="18">
        <v>43783.06141203704</v>
      </c>
      <c r="Q298" s="1" t="s">
        <v>1472</v>
      </c>
      <c r="R298" s="1" t="s">
        <v>1561</v>
      </c>
      <c r="S298" s="13" t="s">
        <v>1562</v>
      </c>
      <c r="T298" s="14"/>
      <c r="U298" s="19" t="str">
        <f>HYPERLINK("https://pbs.twimg.com/profile_images/1194864880127315968/Net27m4P.jpg","View")</f>
        <v>View</v>
      </c>
      <c r="V298" s="14"/>
      <c r="W298" s="14"/>
      <c r="X298" s="14"/>
      <c r="Y298" s="14"/>
      <c r="Z298" s="14"/>
    </row>
    <row r="299">
      <c r="A299" s="11">
        <v>43848.00914351852</v>
      </c>
      <c r="B299" s="12" t="str">
        <f>HYPERLINK("https://twitter.com/monajyoder","@monajyoder")</f>
        <v>@monajyoder</v>
      </c>
      <c r="C299" s="1" t="s">
        <v>1563</v>
      </c>
      <c r="D299" s="1" t="s">
        <v>1564</v>
      </c>
      <c r="E299" s="12" t="str">
        <f>HYPERLINK("https://twitter.com/monajyoder/status/1218400918208761856","1218400918208761856")</f>
        <v>1218400918208761856</v>
      </c>
      <c r="F299" s="13" t="s">
        <v>1565</v>
      </c>
      <c r="G299" s="13" t="s">
        <v>1566</v>
      </c>
      <c r="H299" s="14"/>
      <c r="I299" s="15">
        <v>0.0</v>
      </c>
      <c r="J299" s="15">
        <v>0.0</v>
      </c>
      <c r="K299" s="12" t="str">
        <f t="shared" si="32"/>
        <v>Twitter Web App</v>
      </c>
      <c r="L299" s="16">
        <v>33.0</v>
      </c>
      <c r="M299" s="16">
        <v>124.0</v>
      </c>
      <c r="N299" s="16">
        <v>0.0</v>
      </c>
      <c r="O299" s="17"/>
      <c r="P299" s="18">
        <v>43824.99884259259</v>
      </c>
      <c r="Q299" s="14"/>
      <c r="R299" s="14"/>
      <c r="S299" s="14"/>
      <c r="T299" s="14"/>
      <c r="U299" s="19" t="str">
        <f>HYPERLINK("https://pbs.twimg.com/profile_images/1214147081998192640/bHZdqlRP.jpg","View")</f>
        <v>View</v>
      </c>
      <c r="V299" s="14"/>
      <c r="W299" s="14"/>
      <c r="X299" s="14"/>
      <c r="Y299" s="14"/>
      <c r="Z299" s="14"/>
    </row>
    <row r="300">
      <c r="A300" s="11">
        <v>43848.004166666666</v>
      </c>
      <c r="B300" s="12" t="str">
        <f>HYPERLINK("https://twitter.com/KenOkel","@KenOkel")</f>
        <v>@KenOkel</v>
      </c>
      <c r="C300" s="1" t="s">
        <v>41</v>
      </c>
      <c r="D300" s="1" t="s">
        <v>1567</v>
      </c>
      <c r="E300" s="12" t="str">
        <f>HYPERLINK("https://twitter.com/KenOkel/status/1218399114016092160","1218399114016092160")</f>
        <v>1218399114016092160</v>
      </c>
      <c r="F300" s="13" t="s">
        <v>1568</v>
      </c>
      <c r="G300" s="14"/>
      <c r="H300" s="14"/>
      <c r="I300" s="15">
        <v>0.0</v>
      </c>
      <c r="J300" s="15">
        <v>0.0</v>
      </c>
      <c r="K300" s="12" t="str">
        <f>HYPERLINK("https://about.twitter.com/products/tweetdeck","TweetDeck")</f>
        <v>TweetDeck</v>
      </c>
      <c r="L300" s="16">
        <v>603.0</v>
      </c>
      <c r="M300" s="16">
        <v>261.0</v>
      </c>
      <c r="N300" s="16">
        <v>827.0</v>
      </c>
      <c r="O300" s="17"/>
      <c r="P300" s="18">
        <v>39880.78482638889</v>
      </c>
      <c r="Q300" s="1" t="s">
        <v>44</v>
      </c>
      <c r="R300" s="1" t="s">
        <v>45</v>
      </c>
      <c r="S300" s="13" t="s">
        <v>46</v>
      </c>
      <c r="T300" s="14"/>
      <c r="U300" s="19" t="str">
        <f>HYPERLINK("https://pbs.twimg.com/profile_images/805116072785563648/LPXnbxnK.jpg","View")</f>
        <v>View</v>
      </c>
      <c r="V300" s="14"/>
      <c r="W300" s="14"/>
      <c r="X300" s="14"/>
      <c r="Y300" s="14"/>
      <c r="Z300" s="14"/>
    </row>
    <row r="301">
      <c r="A301" s="11">
        <v>43848.002291666664</v>
      </c>
      <c r="B301" s="12" t="str">
        <f>HYPERLINK("https://twitter.com/kathrynguylay","@kathrynguylay")</f>
        <v>@kathrynguylay</v>
      </c>
      <c r="C301" s="1" t="s">
        <v>1569</v>
      </c>
      <c r="D301" s="1" t="s">
        <v>1570</v>
      </c>
      <c r="E301" s="12" t="str">
        <f>HYPERLINK("https://twitter.com/kathrynguylay/status/1218398436086685696","1218398436086685696")</f>
        <v>1218398436086685696</v>
      </c>
      <c r="F301" s="13" t="s">
        <v>1571</v>
      </c>
      <c r="G301" s="13" t="s">
        <v>1572</v>
      </c>
      <c r="H301" s="14"/>
      <c r="I301" s="15">
        <v>0.0</v>
      </c>
      <c r="J301" s="15">
        <v>0.0</v>
      </c>
      <c r="K301" s="12" t="str">
        <f>HYPERLINK("https://www.socialjukebox.com","The Social Jukebox")</f>
        <v>The Social Jukebox</v>
      </c>
      <c r="L301" s="16">
        <v>9650.0</v>
      </c>
      <c r="M301" s="16">
        <v>9025.0</v>
      </c>
      <c r="N301" s="16">
        <v>202.0</v>
      </c>
      <c r="O301" s="17"/>
      <c r="P301" s="18">
        <v>42027.73943287037</v>
      </c>
      <c r="Q301" s="1" t="s">
        <v>1573</v>
      </c>
      <c r="R301" s="1" t="s">
        <v>1574</v>
      </c>
      <c r="S301" s="13" t="s">
        <v>1575</v>
      </c>
      <c r="T301" s="14"/>
      <c r="U301" s="19" t="str">
        <f>HYPERLINK("https://pbs.twimg.com/profile_images/1202621038959267840/sUkTc3IJ.jpg","View")</f>
        <v>View</v>
      </c>
      <c r="V301" s="14"/>
      <c r="W301" s="14"/>
      <c r="X301" s="14"/>
      <c r="Y301" s="14"/>
      <c r="Z301" s="14"/>
    </row>
    <row r="302">
      <c r="A302" s="11">
        <v>43848.000081018516</v>
      </c>
      <c r="B302" s="12" t="str">
        <f>HYPERLINK("https://twitter.com/Tap_In2_U","@Tap_In2_U")</f>
        <v>@Tap_In2_U</v>
      </c>
      <c r="C302" s="1" t="s">
        <v>1576</v>
      </c>
      <c r="D302" s="1" t="s">
        <v>1577</v>
      </c>
      <c r="E302" s="12" t="str">
        <f>HYPERLINK("https://twitter.com/Tap_In2_U/status/1218397635402502144","1218397635402502144")</f>
        <v>1218397635402502144</v>
      </c>
      <c r="F302" s="13" t="s">
        <v>1578</v>
      </c>
      <c r="G302" s="14"/>
      <c r="H302" s="14"/>
      <c r="I302" s="15">
        <v>0.0</v>
      </c>
      <c r="J302" s="15">
        <v>0.0</v>
      </c>
      <c r="K302" s="12" t="str">
        <f>HYPERLINK("https://www.socialoomph.com","SocialOomph")</f>
        <v>SocialOomph</v>
      </c>
      <c r="L302" s="16">
        <v>21140.0</v>
      </c>
      <c r="M302" s="16">
        <v>24508.0</v>
      </c>
      <c r="N302" s="16">
        <v>429.0</v>
      </c>
      <c r="O302" s="17"/>
      <c r="P302" s="18">
        <v>40340.859293981484</v>
      </c>
      <c r="Q302" s="1" t="s">
        <v>1579</v>
      </c>
      <c r="R302" s="1" t="s">
        <v>1580</v>
      </c>
      <c r="S302" s="13" t="s">
        <v>1581</v>
      </c>
      <c r="T302" s="14"/>
      <c r="U302" s="19" t="str">
        <f>HYPERLINK("https://pbs.twimg.com/profile_images/981805531/law-gold-thought-radiate.jpg","View")</f>
        <v>View</v>
      </c>
      <c r="V302" s="14"/>
      <c r="W302" s="14"/>
      <c r="X302" s="14"/>
      <c r="Y302" s="14"/>
      <c r="Z302" s="14"/>
    </row>
    <row r="303">
      <c r="A303" s="11">
        <v>43847.99877314815</v>
      </c>
      <c r="B303" s="12" t="str">
        <f>HYPERLINK("https://twitter.com/holisticdoctor1","@holisticdoctor1")</f>
        <v>@holisticdoctor1</v>
      </c>
      <c r="C303" s="1" t="s">
        <v>1582</v>
      </c>
      <c r="D303" s="1" t="s">
        <v>1583</v>
      </c>
      <c r="E303" s="12" t="str">
        <f>HYPERLINK("https://twitter.com/holisticdoctor1/status/1218397162335297537","1218397162335297537")</f>
        <v>1218397162335297537</v>
      </c>
      <c r="F303" s="13" t="s">
        <v>1584</v>
      </c>
      <c r="G303" s="13" t="s">
        <v>1585</v>
      </c>
      <c r="H303" s="14"/>
      <c r="I303" s="15">
        <v>0.0</v>
      </c>
      <c r="J303" s="15">
        <v>0.0</v>
      </c>
      <c r="K303" s="12" t="str">
        <f>HYPERLINK("https://www.hootsuite.com","Hootsuite Inc.")</f>
        <v>Hootsuite Inc.</v>
      </c>
      <c r="L303" s="16">
        <v>34.0</v>
      </c>
      <c r="M303" s="16">
        <v>29.0</v>
      </c>
      <c r="N303" s="16">
        <v>2.0</v>
      </c>
      <c r="O303" s="17"/>
      <c r="P303" s="18">
        <v>41077.67952546296</v>
      </c>
      <c r="Q303" s="1" t="s">
        <v>1586</v>
      </c>
      <c r="R303" s="14"/>
      <c r="S303" s="14"/>
      <c r="T303" s="14"/>
      <c r="U303" s="19" t="str">
        <f>HYPERLINK("https://pbs.twimg.com/profile_images/915330525547700224/ZsOcpMq_.jpg","View")</f>
        <v>View</v>
      </c>
      <c r="V303" s="14"/>
      <c r="W303" s="14"/>
      <c r="X303" s="14"/>
      <c r="Y303" s="14"/>
      <c r="Z303" s="14"/>
    </row>
    <row r="304">
      <c r="A304" s="11">
        <v>43847.9943287037</v>
      </c>
      <c r="B304" s="12" t="str">
        <f>HYPERLINK("https://twitter.com/qwikad","@qwikad")</f>
        <v>@qwikad</v>
      </c>
      <c r="C304" s="1" t="s">
        <v>597</v>
      </c>
      <c r="D304" s="1" t="s">
        <v>1587</v>
      </c>
      <c r="E304" s="12" t="str">
        <f>HYPERLINK("https://twitter.com/qwikad/status/1218395550342701056","1218395550342701056")</f>
        <v>1218395550342701056</v>
      </c>
      <c r="F304" s="13" t="s">
        <v>1454</v>
      </c>
      <c r="G304" s="14"/>
      <c r="H304" s="14"/>
      <c r="I304" s="15">
        <v>0.0</v>
      </c>
      <c r="J304" s="15">
        <v>0.0</v>
      </c>
      <c r="K304" s="12" t="str">
        <f>HYPERLINK("http://twitter.com","Twitter Web Client")</f>
        <v>Twitter Web Client</v>
      </c>
      <c r="L304" s="16">
        <v>92771.0</v>
      </c>
      <c r="M304" s="16">
        <v>88718.0</v>
      </c>
      <c r="N304" s="16">
        <v>2798.0</v>
      </c>
      <c r="O304" s="17"/>
      <c r="P304" s="18">
        <v>40937.940358796295</v>
      </c>
      <c r="Q304" s="1" t="s">
        <v>56</v>
      </c>
      <c r="R304" s="1" t="s">
        <v>600</v>
      </c>
      <c r="S304" s="13" t="s">
        <v>601</v>
      </c>
      <c r="T304" s="14"/>
      <c r="U304" s="19" t="str">
        <f>HYPERLINK("https://pbs.twimg.com/profile_images/1191723528246235137/larfZktn.jpg","View")</f>
        <v>View</v>
      </c>
      <c r="V304" s="14"/>
      <c r="W304" s="14"/>
      <c r="X304" s="14"/>
      <c r="Y304" s="14"/>
      <c r="Z304" s="14"/>
    </row>
    <row r="305">
      <c r="A305" s="11">
        <v>43847.99030092593</v>
      </c>
      <c r="B305" s="12" t="str">
        <f>HYPERLINK("https://twitter.com/Keturah_Fitness","@Keturah_Fitness")</f>
        <v>@Keturah_Fitness</v>
      </c>
      <c r="C305" s="1" t="s">
        <v>1588</v>
      </c>
      <c r="D305" s="1" t="s">
        <v>1589</v>
      </c>
      <c r="E305" s="12" t="str">
        <f>HYPERLINK("https://twitter.com/Keturah_Fitness/status/1218394088862625792","1218394088862625792")</f>
        <v>1218394088862625792</v>
      </c>
      <c r="F305" s="13" t="s">
        <v>1590</v>
      </c>
      <c r="G305" s="13" t="s">
        <v>1591</v>
      </c>
      <c r="H305" s="14"/>
      <c r="I305" s="15">
        <v>0.0</v>
      </c>
      <c r="J305" s="15">
        <v>0.0</v>
      </c>
      <c r="K305" s="12" t="str">
        <f>HYPERLINK("https://buffer.com","Buffer")</f>
        <v>Buffer</v>
      </c>
      <c r="L305" s="16">
        <v>19.0</v>
      </c>
      <c r="M305" s="16">
        <v>29.0</v>
      </c>
      <c r="N305" s="16">
        <v>0.0</v>
      </c>
      <c r="O305" s="17"/>
      <c r="P305" s="18">
        <v>43802.84247685185</v>
      </c>
      <c r="Q305" s="1" t="s">
        <v>1592</v>
      </c>
      <c r="R305" s="14"/>
      <c r="S305" s="13" t="s">
        <v>1593</v>
      </c>
      <c r="T305" s="14"/>
      <c r="U305" s="19" t="str">
        <f>HYPERLINK("https://pbs.twimg.com/profile_images/1206812919347994624/1rAAAkgJ.jpg","View")</f>
        <v>View</v>
      </c>
      <c r="V305" s="14"/>
      <c r="W305" s="14"/>
      <c r="X305" s="14"/>
      <c r="Y305" s="14"/>
      <c r="Z305" s="14"/>
    </row>
    <row r="306">
      <c r="A306" s="11">
        <v>43847.99009259259</v>
      </c>
      <c r="B306" s="12" t="str">
        <f>HYPERLINK("https://twitter.com/qwikad","@qwikad")</f>
        <v>@qwikad</v>
      </c>
      <c r="C306" s="1" t="s">
        <v>597</v>
      </c>
      <c r="D306" s="1" t="s">
        <v>1594</v>
      </c>
      <c r="E306" s="12" t="str">
        <f>HYPERLINK("https://twitter.com/qwikad/status/1218394014585626630","1218394014585626630")</f>
        <v>1218394014585626630</v>
      </c>
      <c r="F306" s="13" t="s">
        <v>1454</v>
      </c>
      <c r="G306" s="14"/>
      <c r="H306" s="14"/>
      <c r="I306" s="15">
        <v>0.0</v>
      </c>
      <c r="J306" s="15">
        <v>0.0</v>
      </c>
      <c r="K306" s="12" t="str">
        <f>HYPERLINK("http://twitter.com","Twitter Web Client")</f>
        <v>Twitter Web Client</v>
      </c>
      <c r="L306" s="16">
        <v>92771.0</v>
      </c>
      <c r="M306" s="16">
        <v>88718.0</v>
      </c>
      <c r="N306" s="16">
        <v>2798.0</v>
      </c>
      <c r="O306" s="17"/>
      <c r="P306" s="18">
        <v>40937.940358796295</v>
      </c>
      <c r="Q306" s="1" t="s">
        <v>56</v>
      </c>
      <c r="R306" s="1" t="s">
        <v>600</v>
      </c>
      <c r="S306" s="13" t="s">
        <v>601</v>
      </c>
      <c r="T306" s="14"/>
      <c r="U306" s="19" t="str">
        <f>HYPERLINK("https://pbs.twimg.com/profile_images/1191723528246235137/larfZktn.jpg","View")</f>
        <v>View</v>
      </c>
      <c r="V306" s="14"/>
      <c r="W306" s="14"/>
      <c r="X306" s="14"/>
      <c r="Y306" s="14"/>
      <c r="Z306" s="14"/>
    </row>
    <row r="307">
      <c r="A307" s="11">
        <v>43847.98645833333</v>
      </c>
      <c r="B307" s="12" t="str">
        <f>HYPERLINK("https://twitter.com/saldivam","@saldivam")</f>
        <v>@saldivam</v>
      </c>
      <c r="C307" s="1" t="s">
        <v>1595</v>
      </c>
      <c r="D307" s="1" t="s">
        <v>1596</v>
      </c>
      <c r="E307" s="12" t="str">
        <f>HYPERLINK("https://twitter.com/saldivam/status/1218392699008684033","1218392699008684033")</f>
        <v>1218392699008684033</v>
      </c>
      <c r="F307" s="13" t="s">
        <v>1597</v>
      </c>
      <c r="G307" s="14"/>
      <c r="H307" s="14"/>
      <c r="I307" s="15">
        <v>0.0</v>
      </c>
      <c r="J307" s="15">
        <v>0.0</v>
      </c>
      <c r="K307" s="12" t="str">
        <f>HYPERLINK("http://twitter.com/download/android","Twitter for Android")</f>
        <v>Twitter for Android</v>
      </c>
      <c r="L307" s="16">
        <v>998.0</v>
      </c>
      <c r="M307" s="16">
        <v>1524.0</v>
      </c>
      <c r="N307" s="16">
        <v>27.0</v>
      </c>
      <c r="O307" s="17"/>
      <c r="P307" s="18">
        <v>41949.49519675926</v>
      </c>
      <c r="Q307" s="1" t="s">
        <v>226</v>
      </c>
      <c r="R307" s="1" t="s">
        <v>1598</v>
      </c>
      <c r="S307" s="14"/>
      <c r="T307" s="14"/>
      <c r="U307" s="19" t="str">
        <f>HYPERLINK("https://pbs.twimg.com/profile_images/1217259074221494272/e71Pdxds.jpg","View")</f>
        <v>View</v>
      </c>
      <c r="V307" s="14"/>
      <c r="W307" s="14"/>
      <c r="X307" s="14"/>
      <c r="Y307" s="14"/>
      <c r="Z307" s="14"/>
    </row>
    <row r="308">
      <c r="A308" s="11">
        <v>43847.9816087963</v>
      </c>
      <c r="B308" s="12" t="str">
        <f>HYPERLINK("https://twitter.com/Mentalhealth991","@Mentalhealth991")</f>
        <v>@Mentalhealth991</v>
      </c>
      <c r="C308" s="1" t="s">
        <v>1599</v>
      </c>
      <c r="D308" s="1" t="s">
        <v>1600</v>
      </c>
      <c r="E308" s="12" t="str">
        <f>HYPERLINK("https://twitter.com/Mentalhealth991/status/1218390942270443521","1218390942270443521")</f>
        <v>1218390942270443521</v>
      </c>
      <c r="F308" s="13" t="s">
        <v>1601</v>
      </c>
      <c r="G308" s="13" t="s">
        <v>1602</v>
      </c>
      <c r="H308" s="14"/>
      <c r="I308" s="15">
        <v>1.0</v>
      </c>
      <c r="J308" s="15">
        <v>0.0</v>
      </c>
      <c r="K308" s="12" t="str">
        <f t="shared" ref="K308:K309" si="33">HYPERLINK("https://mobile.twitter.com","Twitter Web App")</f>
        <v>Twitter Web App</v>
      </c>
      <c r="L308" s="16">
        <v>31.0</v>
      </c>
      <c r="M308" s="16">
        <v>339.0</v>
      </c>
      <c r="N308" s="16">
        <v>0.0</v>
      </c>
      <c r="O308" s="17"/>
      <c r="P308" s="18">
        <v>43736.20180555555</v>
      </c>
      <c r="Q308" s="1" t="s">
        <v>1603</v>
      </c>
      <c r="R308" s="1" t="s">
        <v>1604</v>
      </c>
      <c r="S308" s="13" t="s">
        <v>1605</v>
      </c>
      <c r="T308" s="14"/>
      <c r="U308" s="19" t="str">
        <f>HYPERLINK("https://pbs.twimg.com/profile_images/1179756875140591616/2KPuHGKm.jpg","View")</f>
        <v>View</v>
      </c>
      <c r="V308" s="14"/>
      <c r="W308" s="14"/>
      <c r="X308" s="14"/>
      <c r="Y308" s="14"/>
      <c r="Z308" s="14"/>
    </row>
    <row r="309">
      <c r="A309" s="11">
        <v>43847.97826388889</v>
      </c>
      <c r="B309" s="12" t="str">
        <f>HYPERLINK("https://twitter.com/HospitalArtemis","@HospitalArtemis")</f>
        <v>@HospitalArtemis</v>
      </c>
      <c r="C309" s="1" t="s">
        <v>1606</v>
      </c>
      <c r="D309" s="1" t="s">
        <v>1607</v>
      </c>
      <c r="E309" s="12" t="str">
        <f>HYPERLINK("https://twitter.com/HospitalArtemis/status/1218389730229805057","1218389730229805057")</f>
        <v>1218389730229805057</v>
      </c>
      <c r="F309" s="14"/>
      <c r="G309" s="13" t="s">
        <v>1608</v>
      </c>
      <c r="H309" s="14"/>
      <c r="I309" s="15">
        <v>2.0</v>
      </c>
      <c r="J309" s="15">
        <v>2.0</v>
      </c>
      <c r="K309" s="12" t="str">
        <f t="shared" si="33"/>
        <v>Twitter Web App</v>
      </c>
      <c r="L309" s="16">
        <v>8607.0</v>
      </c>
      <c r="M309" s="16">
        <v>162.0</v>
      </c>
      <c r="N309" s="16">
        <v>8.0</v>
      </c>
      <c r="O309" s="17"/>
      <c r="P309" s="18">
        <v>41514.16101851852</v>
      </c>
      <c r="Q309" s="1" t="s">
        <v>1609</v>
      </c>
      <c r="R309" s="1" t="s">
        <v>1610</v>
      </c>
      <c r="S309" s="13" t="s">
        <v>1611</v>
      </c>
      <c r="T309" s="14"/>
      <c r="U309" s="19" t="str">
        <f>HYPERLINK("https://pbs.twimg.com/profile_images/1111598294361202689/JzdqvGdx.png","View")</f>
        <v>View</v>
      </c>
      <c r="V309" s="14"/>
      <c r="W309" s="14"/>
      <c r="X309" s="14"/>
      <c r="Y309" s="14"/>
      <c r="Z309" s="14"/>
    </row>
    <row r="310">
      <c r="A310" s="11">
        <v>43847.976006944446</v>
      </c>
      <c r="B310" s="12" t="str">
        <f>HYPERLINK("https://twitter.com/JJSponge120","@JJSponge120")</f>
        <v>@JJSponge120</v>
      </c>
      <c r="C310" s="1" t="s">
        <v>1612</v>
      </c>
      <c r="D310" s="1" t="s">
        <v>1613</v>
      </c>
      <c r="E310" s="12" t="str">
        <f>HYPERLINK("https://twitter.com/JJSponge120/status/1218388910591496193","1218388910591496193")</f>
        <v>1218388910591496193</v>
      </c>
      <c r="F310" s="14"/>
      <c r="G310" s="13" t="s">
        <v>1614</v>
      </c>
      <c r="H310" s="14"/>
      <c r="I310" s="15">
        <v>0.0</v>
      </c>
      <c r="J310" s="15">
        <v>2.0</v>
      </c>
      <c r="K310" s="12" t="str">
        <f>HYPERLINK("http://twitter.com/download/iphone","Twitter for iPhone")</f>
        <v>Twitter for iPhone</v>
      </c>
      <c r="L310" s="16">
        <v>480.0</v>
      </c>
      <c r="M310" s="16">
        <v>354.0</v>
      </c>
      <c r="N310" s="16">
        <v>2.0</v>
      </c>
      <c r="O310" s="17"/>
      <c r="P310" s="18">
        <v>42883.77547453703</v>
      </c>
      <c r="Q310" s="1" t="s">
        <v>1615</v>
      </c>
      <c r="R310" s="1" t="s">
        <v>1616</v>
      </c>
      <c r="S310" s="13" t="s">
        <v>1617</v>
      </c>
      <c r="T310" s="14"/>
      <c r="U310" s="19" t="str">
        <f>HYPERLINK("https://pbs.twimg.com/profile_images/1139979491072024577/yu4eGdZS.png","View")</f>
        <v>View</v>
      </c>
      <c r="V310" s="14"/>
      <c r="W310" s="14"/>
      <c r="X310" s="14"/>
      <c r="Y310" s="14"/>
      <c r="Z310" s="14"/>
    </row>
    <row r="311">
      <c r="A311" s="11">
        <v>43847.96184027778</v>
      </c>
      <c r="B311" s="12" t="str">
        <f>HYPERLINK("https://twitter.com/Padham_trust","@Padham_trust")</f>
        <v>@Padham_trust</v>
      </c>
      <c r="C311" s="1" t="s">
        <v>1618</v>
      </c>
      <c r="D311" s="1" t="s">
        <v>1619</v>
      </c>
      <c r="E311" s="12" t="str">
        <f>HYPERLINK("https://twitter.com/Padham_trust/status/1218383776847405056","1218383776847405056")</f>
        <v>1218383776847405056</v>
      </c>
      <c r="F311" s="13" t="s">
        <v>1620</v>
      </c>
      <c r="G311" s="14"/>
      <c r="H311" s="14"/>
      <c r="I311" s="15">
        <v>0.0</v>
      </c>
      <c r="J311" s="15">
        <v>0.0</v>
      </c>
      <c r="K311" s="12" t="str">
        <f>HYPERLINK("https://www.hootsuite.com","Hootsuite Inc.")</f>
        <v>Hootsuite Inc.</v>
      </c>
      <c r="L311" s="16">
        <v>102.0</v>
      </c>
      <c r="M311" s="16">
        <v>101.0</v>
      </c>
      <c r="N311" s="16">
        <v>0.0</v>
      </c>
      <c r="O311" s="17"/>
      <c r="P311" s="18">
        <v>42609.397939814815</v>
      </c>
      <c r="Q311" s="1" t="s">
        <v>1442</v>
      </c>
      <c r="R311" s="1" t="s">
        <v>1621</v>
      </c>
      <c r="S311" s="13" t="s">
        <v>1622</v>
      </c>
      <c r="T311" s="14"/>
      <c r="U311" s="19" t="str">
        <f>HYPERLINK("https://pbs.twimg.com/profile_images/997684830866419713/gdDBZfS3.jpg","View")</f>
        <v>View</v>
      </c>
      <c r="V311" s="14"/>
      <c r="W311" s="14"/>
      <c r="X311" s="14"/>
      <c r="Y311" s="14"/>
      <c r="Z311" s="14"/>
    </row>
    <row r="312">
      <c r="A312" s="11">
        <v>43847.95140046296</v>
      </c>
      <c r="B312" s="12" t="str">
        <f>HYPERLINK("https://twitter.com/TrainingMindful","@TrainingMindful")</f>
        <v>@TrainingMindful</v>
      </c>
      <c r="C312" s="1" t="s">
        <v>94</v>
      </c>
      <c r="D312" s="1" t="s">
        <v>1623</v>
      </c>
      <c r="E312" s="12" t="str">
        <f>HYPERLINK("https://twitter.com/TrainingMindful/status/1218379991823650821","1218379991823650821")</f>
        <v>1218379991823650821</v>
      </c>
      <c r="F312" s="13" t="s">
        <v>1624</v>
      </c>
      <c r="G312" s="14"/>
      <c r="H312" s="14"/>
      <c r="I312" s="15">
        <v>0.0</v>
      </c>
      <c r="J312" s="15">
        <v>1.0</v>
      </c>
      <c r="K312" s="12" t="str">
        <f>HYPERLINK("https://www.socialoomph.com","SocialOomph")</f>
        <v>SocialOomph</v>
      </c>
      <c r="L312" s="16">
        <v>185303.0</v>
      </c>
      <c r="M312" s="16">
        <v>43980.0</v>
      </c>
      <c r="N312" s="16">
        <v>2800.0</v>
      </c>
      <c r="O312" s="17"/>
      <c r="P312" s="18">
        <v>41286.039305555554</v>
      </c>
      <c r="Q312" s="1" t="s">
        <v>97</v>
      </c>
      <c r="R312" s="1" t="s">
        <v>98</v>
      </c>
      <c r="S312" s="13" t="s">
        <v>99</v>
      </c>
      <c r="T312" s="14"/>
      <c r="U312" s="19" t="str">
        <f>HYPERLINK("https://pbs.twimg.com/profile_images/566526924059459584/gdMxDA9x.jpeg","View")</f>
        <v>View</v>
      </c>
      <c r="V312" s="14"/>
      <c r="W312" s="14"/>
      <c r="X312" s="14"/>
      <c r="Y312" s="14"/>
      <c r="Z312" s="14"/>
    </row>
    <row r="313">
      <c r="A313" s="11">
        <v>43847.94795138889</v>
      </c>
      <c r="B313" s="12" t="str">
        <f>HYPERLINK("https://twitter.com/UndergradEasier","@UndergradEasier")</f>
        <v>@UndergradEasier</v>
      </c>
      <c r="C313" s="1" t="s">
        <v>1625</v>
      </c>
      <c r="D313" s="1" t="s">
        <v>1626</v>
      </c>
      <c r="E313" s="12" t="str">
        <f>HYPERLINK("https://twitter.com/UndergradEasier/status/1218378743514902528","1218378743514902528")</f>
        <v>1218378743514902528</v>
      </c>
      <c r="F313" s="13" t="s">
        <v>1627</v>
      </c>
      <c r="G313" s="13" t="s">
        <v>1628</v>
      </c>
      <c r="H313" s="14"/>
      <c r="I313" s="15">
        <v>0.0</v>
      </c>
      <c r="J313" s="15">
        <v>0.0</v>
      </c>
      <c r="K313" s="12" t="str">
        <f>HYPERLINK("https://buffer.com","Buffer")</f>
        <v>Buffer</v>
      </c>
      <c r="L313" s="16">
        <v>3712.0</v>
      </c>
      <c r="M313" s="16">
        <v>2222.0</v>
      </c>
      <c r="N313" s="16">
        <v>99.0</v>
      </c>
      <c r="O313" s="17"/>
      <c r="P313" s="18">
        <v>42238.923530092594</v>
      </c>
      <c r="Q313" s="1" t="s">
        <v>521</v>
      </c>
      <c r="R313" s="1" t="s">
        <v>1629</v>
      </c>
      <c r="S313" s="13" t="s">
        <v>1630</v>
      </c>
      <c r="T313" s="14"/>
      <c r="U313" s="19" t="str">
        <f>HYPERLINK("https://pbs.twimg.com/profile_images/1112176291719974912/gdWUfrJJ.png","View")</f>
        <v>View</v>
      </c>
      <c r="V313" s="14"/>
      <c r="W313" s="14"/>
      <c r="X313" s="14"/>
      <c r="Y313" s="14"/>
      <c r="Z313" s="14"/>
    </row>
    <row r="314">
      <c r="A314" s="11">
        <v>43847.94327546297</v>
      </c>
      <c r="B314" s="12" t="str">
        <f>HYPERLINK("https://twitter.com/TeamAwesomism","@TeamAwesomism")</f>
        <v>@TeamAwesomism</v>
      </c>
      <c r="C314" s="1" t="s">
        <v>1631</v>
      </c>
      <c r="D314" s="1" t="s">
        <v>1632</v>
      </c>
      <c r="E314" s="12" t="str">
        <f>HYPERLINK("https://twitter.com/TeamAwesomism/status/1218377046977654787","1218377046977654787")</f>
        <v>1218377046977654787</v>
      </c>
      <c r="F314" s="14"/>
      <c r="G314" s="13" t="s">
        <v>1633</v>
      </c>
      <c r="H314" s="14"/>
      <c r="I314" s="15">
        <v>0.0</v>
      </c>
      <c r="J314" s="15">
        <v>1.0</v>
      </c>
      <c r="K314" s="12" t="str">
        <f>HYPERLINK("http://twitter.com/download/iphone","Twitter for iPhone")</f>
        <v>Twitter for iPhone</v>
      </c>
      <c r="L314" s="16">
        <v>324.0</v>
      </c>
      <c r="M314" s="16">
        <v>294.0</v>
      </c>
      <c r="N314" s="16">
        <v>4.0</v>
      </c>
      <c r="O314" s="17"/>
      <c r="P314" s="18">
        <v>42961.91828703704</v>
      </c>
      <c r="Q314" s="14"/>
      <c r="R314" s="1" t="s">
        <v>1634</v>
      </c>
      <c r="S314" s="13" t="s">
        <v>1635</v>
      </c>
      <c r="T314" s="14"/>
      <c r="U314" s="19" t="str">
        <f>HYPERLINK("https://pbs.twimg.com/profile_images/1215483338431062021/cJBXw9Bk.jpg","View")</f>
        <v>View</v>
      </c>
      <c r="V314" s="14"/>
      <c r="W314" s="14"/>
      <c r="X314" s="14"/>
      <c r="Y314" s="14"/>
      <c r="Z314" s="14"/>
    </row>
    <row r="315">
      <c r="A315" s="11">
        <v>43847.9375</v>
      </c>
      <c r="B315" s="12" t="str">
        <f>HYPERLINK("https://twitter.com/KDAHMumbai","@KDAHMumbai")</f>
        <v>@KDAHMumbai</v>
      </c>
      <c r="C315" s="1" t="s">
        <v>1636</v>
      </c>
      <c r="D315" s="1" t="s">
        <v>1637</v>
      </c>
      <c r="E315" s="12" t="str">
        <f>HYPERLINK("https://twitter.com/KDAHMumbai/status/1218374955504734208","1218374955504734208")</f>
        <v>1218374955504734208</v>
      </c>
      <c r="F315" s="14"/>
      <c r="G315" s="13" t="s">
        <v>1638</v>
      </c>
      <c r="H315" s="14"/>
      <c r="I315" s="15">
        <v>4.0</v>
      </c>
      <c r="J315" s="15">
        <v>4.0</v>
      </c>
      <c r="K315" s="12" t="str">
        <f>HYPERLINK("https://about.twitter.com/products/tweetdeck","TweetDeck")</f>
        <v>TweetDeck</v>
      </c>
      <c r="L315" s="16">
        <v>9551.0</v>
      </c>
      <c r="M315" s="16">
        <v>198.0</v>
      </c>
      <c r="N315" s="16">
        <v>89.0</v>
      </c>
      <c r="O315" s="17"/>
      <c r="P315" s="18">
        <v>40728.29777777778</v>
      </c>
      <c r="Q315" s="1" t="s">
        <v>1639</v>
      </c>
      <c r="R315" s="1" t="s">
        <v>1640</v>
      </c>
      <c r="S315" s="13" t="s">
        <v>1641</v>
      </c>
      <c r="T315" s="14"/>
      <c r="U315" s="19" t="str">
        <f>HYPERLINK("https://pbs.twimg.com/profile_images/876688610543640576/nosxQhEf.jpg","View")</f>
        <v>View</v>
      </c>
      <c r="V315" s="14"/>
      <c r="W315" s="14"/>
      <c r="X315" s="14"/>
      <c r="Y315" s="14"/>
      <c r="Z315" s="14"/>
    </row>
    <row r="316">
      <c r="A316" s="11">
        <v>43847.93010416666</v>
      </c>
      <c r="B316" s="12" t="str">
        <f>HYPERLINK("https://twitter.com/FredrichBenoist","@FredrichBenoist")</f>
        <v>@FredrichBenoist</v>
      </c>
      <c r="C316" s="1" t="s">
        <v>1642</v>
      </c>
      <c r="D316" s="1" t="s">
        <v>1643</v>
      </c>
      <c r="E316" s="12" t="str">
        <f>HYPERLINK("https://twitter.com/FredrichBenoist/status/1218372275533049857","1218372275533049857")</f>
        <v>1218372275533049857</v>
      </c>
      <c r="F316" s="14"/>
      <c r="G316" s="13" t="s">
        <v>1644</v>
      </c>
      <c r="H316" s="14"/>
      <c r="I316" s="15">
        <v>0.0</v>
      </c>
      <c r="J316" s="15">
        <v>0.0</v>
      </c>
      <c r="K316" s="12" t="str">
        <f>HYPERLINK("http://twitter.com/download/android","Twitter for Android")</f>
        <v>Twitter for Android</v>
      </c>
      <c r="L316" s="16">
        <v>1.0</v>
      </c>
      <c r="M316" s="16">
        <v>9.0</v>
      </c>
      <c r="N316" s="16">
        <v>0.0</v>
      </c>
      <c r="O316" s="17"/>
      <c r="P316" s="18">
        <v>43756.81820601852</v>
      </c>
      <c r="Q316" s="1" t="s">
        <v>1645</v>
      </c>
      <c r="R316" s="1" t="s">
        <v>1646</v>
      </c>
      <c r="S316" s="14"/>
      <c r="T316" s="14"/>
      <c r="U316" s="19" t="str">
        <f>HYPERLINK("https://pbs.twimg.com/profile_images/1185339664476987393/XfhDSFqP.jpg","View")</f>
        <v>View</v>
      </c>
      <c r="V316" s="14"/>
      <c r="W316" s="14"/>
      <c r="X316" s="14"/>
      <c r="Y316" s="14"/>
      <c r="Z316" s="14"/>
    </row>
    <row r="317">
      <c r="A317" s="11">
        <v>43847.925</v>
      </c>
      <c r="B317" s="12" t="str">
        <f>HYPERLINK("https://twitter.com/manojpandey66","@manojpandey66")</f>
        <v>@manojpandey66</v>
      </c>
      <c r="C317" s="1" t="s">
        <v>1163</v>
      </c>
      <c r="D317" s="1" t="s">
        <v>1647</v>
      </c>
      <c r="E317" s="12" t="str">
        <f>HYPERLINK("https://twitter.com/manojpandey66/status/1218370425870139392","1218370425870139392")</f>
        <v>1218370425870139392</v>
      </c>
      <c r="F317" s="14"/>
      <c r="G317" s="13" t="s">
        <v>1648</v>
      </c>
      <c r="H317" s="14"/>
      <c r="I317" s="15">
        <v>0.0</v>
      </c>
      <c r="J317" s="15">
        <v>2.0</v>
      </c>
      <c r="K317" s="12" t="str">
        <f t="shared" ref="K317:K318" si="34">HYPERLINK("https://mobile.twitter.com","Twitter Web App")</f>
        <v>Twitter Web App</v>
      </c>
      <c r="L317" s="16">
        <v>1372.0</v>
      </c>
      <c r="M317" s="16">
        <v>555.0</v>
      </c>
      <c r="N317" s="16">
        <v>7.0</v>
      </c>
      <c r="O317" s="17"/>
      <c r="P317" s="18">
        <v>40746.0390625</v>
      </c>
      <c r="Q317" s="1" t="s">
        <v>1166</v>
      </c>
      <c r="R317" s="1" t="s">
        <v>1167</v>
      </c>
      <c r="S317" s="13" t="s">
        <v>1168</v>
      </c>
      <c r="T317" s="14"/>
      <c r="U317" s="19" t="str">
        <f>HYPERLINK("https://pbs.twimg.com/profile_images/1134750107302125569/VwLz3fkd.png","View")</f>
        <v>View</v>
      </c>
      <c r="V317" s="14"/>
      <c r="W317" s="14"/>
      <c r="X317" s="14"/>
      <c r="Y317" s="14"/>
      <c r="Z317" s="14"/>
    </row>
    <row r="318">
      <c r="A318" s="11">
        <v>43847.88799768519</v>
      </c>
      <c r="B318" s="12" t="str">
        <f>HYPERLINK("https://twitter.com/KristenJakobitz","@KristenJakobitz")</f>
        <v>@KristenJakobitz</v>
      </c>
      <c r="C318" s="1" t="s">
        <v>1649</v>
      </c>
      <c r="D318" s="1" t="s">
        <v>1650</v>
      </c>
      <c r="E318" s="12" t="str">
        <f>HYPERLINK("https://twitter.com/KristenJakobitz/status/1218357016672063489","1218357016672063489")</f>
        <v>1218357016672063489</v>
      </c>
      <c r="F318" s="14"/>
      <c r="G318" s="13" t="s">
        <v>1651</v>
      </c>
      <c r="H318" s="14"/>
      <c r="I318" s="15">
        <v>7.0</v>
      </c>
      <c r="J318" s="15">
        <v>16.0</v>
      </c>
      <c r="K318" s="12" t="str">
        <f t="shared" si="34"/>
        <v>Twitter Web App</v>
      </c>
      <c r="L318" s="16">
        <v>3139.0</v>
      </c>
      <c r="M318" s="16">
        <v>2534.0</v>
      </c>
      <c r="N318" s="16">
        <v>335.0</v>
      </c>
      <c r="O318" s="17"/>
      <c r="P318" s="18">
        <v>42146.61542824074</v>
      </c>
      <c r="Q318" s="1" t="s">
        <v>297</v>
      </c>
      <c r="R318" s="1" t="s">
        <v>1652</v>
      </c>
      <c r="S318" s="13" t="s">
        <v>1653</v>
      </c>
      <c r="T318" s="14"/>
      <c r="U318" s="19" t="str">
        <f>HYPERLINK("https://pbs.twimg.com/profile_images/1114509942260731904/R44-GgVw.jpg","View")</f>
        <v>View</v>
      </c>
      <c r="V318" s="14"/>
      <c r="W318" s="14"/>
      <c r="X318" s="14"/>
      <c r="Y318" s="14"/>
      <c r="Z318" s="14"/>
    </row>
    <row r="319">
      <c r="A319" s="11">
        <v>43847.88752314815</v>
      </c>
      <c r="B319" s="12" t="str">
        <f>HYPERLINK("https://twitter.com/habitswellbeing","@habitswellbeing")</f>
        <v>@habitswellbeing</v>
      </c>
      <c r="C319" s="1" t="s">
        <v>1654</v>
      </c>
      <c r="D319" s="1" t="s">
        <v>1655</v>
      </c>
      <c r="E319" s="12" t="str">
        <f>HYPERLINK("https://twitter.com/habitswellbeing/status/1218356846521655297","1218356846521655297")</f>
        <v>1218356846521655297</v>
      </c>
      <c r="F319" s="13" t="s">
        <v>1656</v>
      </c>
      <c r="G319" s="13" t="s">
        <v>1657</v>
      </c>
      <c r="H319" s="14"/>
      <c r="I319" s="15">
        <v>0.0</v>
      </c>
      <c r="J319" s="15">
        <v>1.0</v>
      </c>
      <c r="K319" s="12" t="str">
        <f t="shared" ref="K319:K320" si="35">HYPERLINK("https://buffer.com","Buffer")</f>
        <v>Buffer</v>
      </c>
      <c r="L319" s="16">
        <v>182.0</v>
      </c>
      <c r="M319" s="16">
        <v>82.0</v>
      </c>
      <c r="N319" s="16">
        <v>34.0</v>
      </c>
      <c r="O319" s="17"/>
      <c r="P319" s="18">
        <v>42106.92797453704</v>
      </c>
      <c r="Q319" s="1" t="s">
        <v>51</v>
      </c>
      <c r="R319" s="1" t="s">
        <v>1658</v>
      </c>
      <c r="S319" s="13" t="s">
        <v>1659</v>
      </c>
      <c r="T319" s="14"/>
      <c r="U319" s="19" t="str">
        <f>HYPERLINK("https://pbs.twimg.com/profile_images/587445709403631617/qgbNIiNn.jpg","View")</f>
        <v>View</v>
      </c>
      <c r="V319" s="14"/>
      <c r="W319" s="14"/>
      <c r="X319" s="14"/>
      <c r="Y319" s="14"/>
      <c r="Z319" s="14"/>
    </row>
    <row r="320">
      <c r="A320" s="11">
        <v>43847.88334490741</v>
      </c>
      <c r="B320" s="12" t="str">
        <f>HYPERLINK("https://twitter.com/SupStratNVA","@SupStratNVA")</f>
        <v>@SupStratNVA</v>
      </c>
      <c r="C320" s="1" t="s">
        <v>1660</v>
      </c>
      <c r="D320" s="1" t="s">
        <v>1661</v>
      </c>
      <c r="E320" s="12" t="str">
        <f>HYPERLINK("https://twitter.com/SupStratNVA/status/1218355332122128385","1218355332122128385")</f>
        <v>1218355332122128385</v>
      </c>
      <c r="F320" s="13" t="s">
        <v>1662</v>
      </c>
      <c r="G320" s="13" t="s">
        <v>1663</v>
      </c>
      <c r="H320" s="14"/>
      <c r="I320" s="15">
        <v>0.0</v>
      </c>
      <c r="J320" s="15">
        <v>1.0</v>
      </c>
      <c r="K320" s="12" t="str">
        <f t="shared" si="35"/>
        <v>Buffer</v>
      </c>
      <c r="L320" s="16">
        <v>903.0</v>
      </c>
      <c r="M320" s="16">
        <v>855.0</v>
      </c>
      <c r="N320" s="16">
        <v>80.0</v>
      </c>
      <c r="O320" s="17"/>
      <c r="P320" s="18">
        <v>42308.89534722222</v>
      </c>
      <c r="Q320" s="1" t="s">
        <v>1664</v>
      </c>
      <c r="R320" s="1" t="s">
        <v>1665</v>
      </c>
      <c r="S320" s="13" t="s">
        <v>1666</v>
      </c>
      <c r="T320" s="14"/>
      <c r="U320" s="19" t="str">
        <f>HYPERLINK("https://pbs.twimg.com/profile_images/660630043429834752/9Le1a-TZ.png","View")</f>
        <v>View</v>
      </c>
      <c r="V320" s="14"/>
      <c r="W320" s="14"/>
      <c r="X320" s="14"/>
      <c r="Y320" s="14"/>
      <c r="Z320" s="14"/>
    </row>
    <row r="321">
      <c r="A321" s="11">
        <v>43847.87569444445</v>
      </c>
      <c r="B321" s="12" t="str">
        <f>HYPERLINK("https://twitter.com/GorzNot","@GorzNot")</f>
        <v>@GorzNot</v>
      </c>
      <c r="C321" s="1" t="s">
        <v>1667</v>
      </c>
      <c r="D321" s="1" t="s">
        <v>1668</v>
      </c>
      <c r="E321" s="12" t="str">
        <f>HYPERLINK("https://twitter.com/GorzNot/status/1218352556998565888","1218352556998565888")</f>
        <v>1218352556998565888</v>
      </c>
      <c r="F321" s="14"/>
      <c r="G321" s="14"/>
      <c r="H321" s="14"/>
      <c r="I321" s="15">
        <v>0.0</v>
      </c>
      <c r="J321" s="15">
        <v>0.0</v>
      </c>
      <c r="K321" s="12" t="str">
        <f>HYPERLINK("http://twitter.com/download/iphone","Twitter for iPhone")</f>
        <v>Twitter for iPhone</v>
      </c>
      <c r="L321" s="16">
        <v>3.0</v>
      </c>
      <c r="M321" s="16">
        <v>7.0</v>
      </c>
      <c r="N321" s="16">
        <v>0.0</v>
      </c>
      <c r="O321" s="17"/>
      <c r="P321" s="18">
        <v>43540.55306712963</v>
      </c>
      <c r="Q321" s="14"/>
      <c r="R321" s="14"/>
      <c r="S321" s="14"/>
      <c r="T321" s="14"/>
      <c r="U321" s="19" t="str">
        <f>HYPERLINK("https://pbs.twimg.com/profile_images/1106967662603706369/JjOeNYLf.jpg","View")</f>
        <v>View</v>
      </c>
      <c r="V321" s="14"/>
      <c r="W321" s="14"/>
      <c r="X321" s="14"/>
      <c r="Y321" s="14"/>
      <c r="Z321" s="14"/>
    </row>
    <row r="322">
      <c r="A322" s="11">
        <v>43847.869351851856</v>
      </c>
      <c r="B322" s="12" t="str">
        <f>HYPERLINK("https://twitter.com/Dancingshaman2","@Dancingshaman2")</f>
        <v>@Dancingshaman2</v>
      </c>
      <c r="C322" s="1" t="s">
        <v>1669</v>
      </c>
      <c r="D322" s="1" t="s">
        <v>1670</v>
      </c>
      <c r="E322" s="12" t="str">
        <f>HYPERLINK("https://twitter.com/Dancingshaman2/status/1218350258314305536","1218350258314305536")</f>
        <v>1218350258314305536</v>
      </c>
      <c r="F322" s="13" t="s">
        <v>1671</v>
      </c>
      <c r="G322" s="14"/>
      <c r="H322" s="14"/>
      <c r="I322" s="15">
        <v>0.0</v>
      </c>
      <c r="J322" s="15">
        <v>0.0</v>
      </c>
      <c r="K322" s="12" t="str">
        <f>HYPERLINK("http://twitter.com","Twitter Web Client")</f>
        <v>Twitter Web Client</v>
      </c>
      <c r="L322" s="16">
        <v>199.0</v>
      </c>
      <c r="M322" s="16">
        <v>640.0</v>
      </c>
      <c r="N322" s="16">
        <v>2.0</v>
      </c>
      <c r="O322" s="17"/>
      <c r="P322" s="18">
        <v>41757.616689814815</v>
      </c>
      <c r="Q322" s="1" t="s">
        <v>1672</v>
      </c>
      <c r="R322" s="1" t="s">
        <v>1673</v>
      </c>
      <c r="S322" s="14"/>
      <c r="T322" s="14"/>
      <c r="U322" s="19" t="str">
        <f>HYPERLINK("https://pbs.twimg.com/profile_images/1196493169203920896/-2B5I6CS.jpg","View")</f>
        <v>View</v>
      </c>
      <c r="V322" s="14"/>
      <c r="W322" s="14"/>
      <c r="X322" s="14"/>
      <c r="Y322" s="14"/>
      <c r="Z322" s="14"/>
    </row>
    <row r="323">
      <c r="A323" s="11">
        <v>43847.868055555555</v>
      </c>
      <c r="B323" s="12" t="str">
        <f>HYPERLINK("https://twitter.com/TrainingMindful","@TrainingMindful")</f>
        <v>@TrainingMindful</v>
      </c>
      <c r="C323" s="1" t="s">
        <v>94</v>
      </c>
      <c r="D323" s="1" t="s">
        <v>1674</v>
      </c>
      <c r="E323" s="12" t="str">
        <f>HYPERLINK("https://twitter.com/TrainingMindful/status/1218349791207444487","1218349791207444487")</f>
        <v>1218349791207444487</v>
      </c>
      <c r="F323" s="13" t="s">
        <v>1675</v>
      </c>
      <c r="G323" s="14"/>
      <c r="H323" s="14"/>
      <c r="I323" s="15">
        <v>1.0</v>
      </c>
      <c r="J323" s="15">
        <v>2.0</v>
      </c>
      <c r="K323" s="12" t="str">
        <f>HYPERLINK("https://www.socialoomph.com","SocialOomph")</f>
        <v>SocialOomph</v>
      </c>
      <c r="L323" s="16">
        <v>185303.0</v>
      </c>
      <c r="M323" s="16">
        <v>43980.0</v>
      </c>
      <c r="N323" s="16">
        <v>2800.0</v>
      </c>
      <c r="O323" s="17"/>
      <c r="P323" s="18">
        <v>41286.039305555554</v>
      </c>
      <c r="Q323" s="1" t="s">
        <v>97</v>
      </c>
      <c r="R323" s="1" t="s">
        <v>98</v>
      </c>
      <c r="S323" s="13" t="s">
        <v>99</v>
      </c>
      <c r="T323" s="14"/>
      <c r="U323" s="19" t="str">
        <f>HYPERLINK("https://pbs.twimg.com/profile_images/566526924059459584/gdMxDA9x.jpeg","View")</f>
        <v>View</v>
      </c>
      <c r="V323" s="14"/>
      <c r="W323" s="14"/>
      <c r="X323" s="14"/>
      <c r="Y323" s="14"/>
      <c r="Z323" s="14"/>
    </row>
    <row r="324">
      <c r="A324" s="11">
        <v>43847.863229166665</v>
      </c>
      <c r="B324" s="12" t="str">
        <f>HYPERLINK("https://twitter.com/Ecogold1","@Ecogold1")</f>
        <v>@Ecogold1</v>
      </c>
      <c r="C324" s="1" t="s">
        <v>1676</v>
      </c>
      <c r="D324" s="1" t="s">
        <v>1677</v>
      </c>
      <c r="E324" s="12" t="str">
        <f>HYPERLINK("https://twitter.com/Ecogold1/status/1218348039812911104","1218348039812911104")</f>
        <v>1218348039812911104</v>
      </c>
      <c r="F324" s="14"/>
      <c r="G324" s="13" t="s">
        <v>1678</v>
      </c>
      <c r="H324" s="14"/>
      <c r="I324" s="15">
        <v>0.0</v>
      </c>
      <c r="J324" s="15">
        <v>0.0</v>
      </c>
      <c r="K324" s="12" t="str">
        <f>HYPERLINK("https://sproutsocial.com","Sprout Social")</f>
        <v>Sprout Social</v>
      </c>
      <c r="L324" s="16">
        <v>1219.0</v>
      </c>
      <c r="M324" s="16">
        <v>4856.0</v>
      </c>
      <c r="N324" s="16">
        <v>33.0</v>
      </c>
      <c r="O324" s="17"/>
      <c r="P324" s="18">
        <v>41450.65550925926</v>
      </c>
      <c r="Q324" s="1" t="s">
        <v>809</v>
      </c>
      <c r="R324" s="1" t="s">
        <v>1679</v>
      </c>
      <c r="S324" s="13" t="s">
        <v>1680</v>
      </c>
      <c r="T324" s="14"/>
      <c r="U324" s="19" t="str">
        <f>HYPERLINK("https://pbs.twimg.com/profile_images/378800000045528781/e6c7af63cd46bcc4c2820bce1270e5ef.jpeg","View")</f>
        <v>View</v>
      </c>
      <c r="V324" s="14"/>
      <c r="W324" s="14"/>
      <c r="X324" s="14"/>
      <c r="Y324" s="14"/>
      <c r="Z324" s="14"/>
    </row>
    <row r="325">
      <c r="A325" s="11">
        <v>43847.84767361111</v>
      </c>
      <c r="B325" s="12" t="str">
        <f>HYPERLINK("https://twitter.com/sostostress","@sostostress")</f>
        <v>@sostostress</v>
      </c>
      <c r="C325" s="1" t="s">
        <v>1042</v>
      </c>
      <c r="D325" s="1" t="s">
        <v>1681</v>
      </c>
      <c r="E325" s="12" t="str">
        <f>HYPERLINK("https://twitter.com/sostostress/status/1218342405130182656","1218342405130182656")</f>
        <v>1218342405130182656</v>
      </c>
      <c r="F325" s="13" t="s">
        <v>1682</v>
      </c>
      <c r="G325" s="14"/>
      <c r="H325" s="14"/>
      <c r="I325" s="15">
        <v>0.0</v>
      </c>
      <c r="J325" s="15">
        <v>0.0</v>
      </c>
      <c r="K325" s="12" t="str">
        <f>HYPERLINK("http://twitter.com","Twitter Web Client")</f>
        <v>Twitter Web Client</v>
      </c>
      <c r="L325" s="16">
        <v>333.0</v>
      </c>
      <c r="M325" s="16">
        <v>171.0</v>
      </c>
      <c r="N325" s="16">
        <v>46.0</v>
      </c>
      <c r="O325" s="17"/>
      <c r="P325" s="18">
        <v>40529.642071759255</v>
      </c>
      <c r="Q325" s="1" t="s">
        <v>143</v>
      </c>
      <c r="R325" s="1" t="s">
        <v>1046</v>
      </c>
      <c r="S325" s="13" t="s">
        <v>1047</v>
      </c>
      <c r="T325" s="14"/>
      <c r="U325" s="19" t="str">
        <f>HYPERLINK("https://pbs.twimg.com/profile_images/1192953737/image006_pp_-_2__2_.jpg","View")</f>
        <v>View</v>
      </c>
      <c r="V325" s="14"/>
      <c r="W325" s="14"/>
      <c r="X325" s="14"/>
      <c r="Y325" s="14"/>
      <c r="Z325" s="14"/>
    </row>
    <row r="326">
      <c r="A326" s="11">
        <v>43847.84548611111</v>
      </c>
      <c r="B326" s="12" t="str">
        <f>HYPERLINK("https://twitter.com/GunrajSagoo","@GunrajSagoo")</f>
        <v>@GunrajSagoo</v>
      </c>
      <c r="C326" s="1" t="s">
        <v>1683</v>
      </c>
      <c r="D326" s="1" t="s">
        <v>1684</v>
      </c>
      <c r="E326" s="12" t="str">
        <f>HYPERLINK("https://twitter.com/GunrajSagoo/status/1218341611580477441","1218341611580477441")</f>
        <v>1218341611580477441</v>
      </c>
      <c r="F326" s="14"/>
      <c r="G326" s="14"/>
      <c r="H326" s="14"/>
      <c r="I326" s="15">
        <v>0.0</v>
      </c>
      <c r="J326" s="15">
        <v>0.0</v>
      </c>
      <c r="K326" s="12" t="str">
        <f>HYPERLINK("http://twitter.com/download/iphone","Twitter for iPhone")</f>
        <v>Twitter for iPhone</v>
      </c>
      <c r="L326" s="16">
        <v>7.0</v>
      </c>
      <c r="M326" s="16">
        <v>19.0</v>
      </c>
      <c r="N326" s="16">
        <v>0.0</v>
      </c>
      <c r="O326" s="17"/>
      <c r="P326" s="18">
        <v>43618.97907407407</v>
      </c>
      <c r="Q326" s="1" t="s">
        <v>143</v>
      </c>
      <c r="R326" s="1" t="s">
        <v>1685</v>
      </c>
      <c r="S326" s="14"/>
      <c r="T326" s="14"/>
      <c r="U326" s="19" t="str">
        <f>HYPERLINK("https://pbs.twimg.com/profile_images/1213671352500019200/Uezrc_ag.jpg","View")</f>
        <v>View</v>
      </c>
      <c r="V326" s="14"/>
      <c r="W326" s="14"/>
      <c r="X326" s="14"/>
      <c r="Y326" s="14"/>
      <c r="Z326" s="14"/>
    </row>
    <row r="327">
      <c r="A327" s="11">
        <v>43847.842881944445</v>
      </c>
      <c r="B327" s="12" t="str">
        <f>HYPERLINK("https://twitter.com/qwikad","@qwikad")</f>
        <v>@qwikad</v>
      </c>
      <c r="C327" s="1" t="s">
        <v>597</v>
      </c>
      <c r="D327" s="1" t="s">
        <v>1686</v>
      </c>
      <c r="E327" s="12" t="str">
        <f>HYPERLINK("https://twitter.com/qwikad/status/1218340667564462080","1218340667564462080")</f>
        <v>1218340667564462080</v>
      </c>
      <c r="F327" s="13" t="s">
        <v>1687</v>
      </c>
      <c r="G327" s="14"/>
      <c r="H327" s="14"/>
      <c r="I327" s="15">
        <v>0.0</v>
      </c>
      <c r="J327" s="15">
        <v>0.0</v>
      </c>
      <c r="K327" s="12" t="str">
        <f>HYPERLINK("http://twitter.com","Twitter Web Client")</f>
        <v>Twitter Web Client</v>
      </c>
      <c r="L327" s="16">
        <v>92771.0</v>
      </c>
      <c r="M327" s="16">
        <v>88718.0</v>
      </c>
      <c r="N327" s="16">
        <v>2798.0</v>
      </c>
      <c r="O327" s="17"/>
      <c r="P327" s="18">
        <v>40937.940358796295</v>
      </c>
      <c r="Q327" s="1" t="s">
        <v>56</v>
      </c>
      <c r="R327" s="1" t="s">
        <v>600</v>
      </c>
      <c r="S327" s="13" t="s">
        <v>601</v>
      </c>
      <c r="T327" s="14"/>
      <c r="U327" s="19" t="str">
        <f>HYPERLINK("https://pbs.twimg.com/profile_images/1191723528246235137/larfZktn.jpg","View")</f>
        <v>View</v>
      </c>
      <c r="V327" s="14"/>
      <c r="W327" s="14"/>
      <c r="X327" s="14"/>
      <c r="Y327" s="14"/>
      <c r="Z327" s="14"/>
    </row>
    <row r="328">
      <c r="A328" s="11">
        <v>43847.84138888889</v>
      </c>
      <c r="B328" s="12" t="str">
        <f>HYPERLINK("https://twitter.com/DrJackieWalters","@DrJackieWalters")</f>
        <v>@DrJackieWalters</v>
      </c>
      <c r="C328" s="1" t="s">
        <v>1688</v>
      </c>
      <c r="D328" s="1" t="s">
        <v>1689</v>
      </c>
      <c r="E328" s="12" t="str">
        <f>HYPERLINK("https://twitter.com/DrJackieWalters/status/1218340124733399043","1218340124733399043")</f>
        <v>1218340124733399043</v>
      </c>
      <c r="F328" s="13" t="s">
        <v>1690</v>
      </c>
      <c r="G328" s="14"/>
      <c r="H328" s="12" t="str">
        <f>HYPERLINK("https://ctrlq.org/maps/address/#33.7566,-84.3889","Map")</f>
        <v>Map</v>
      </c>
      <c r="I328" s="15">
        <v>1.0</v>
      </c>
      <c r="J328" s="15">
        <v>8.0</v>
      </c>
      <c r="K328" s="12" t="str">
        <f>HYPERLINK("http://instagram.com","Instagram")</f>
        <v>Instagram</v>
      </c>
      <c r="L328" s="16">
        <v>79393.0</v>
      </c>
      <c r="M328" s="16">
        <v>460.0</v>
      </c>
      <c r="N328" s="16">
        <v>236.0</v>
      </c>
      <c r="O328" s="20" t="s">
        <v>38</v>
      </c>
      <c r="P328" s="18">
        <v>41198.78121527778</v>
      </c>
      <c r="Q328" s="1" t="s">
        <v>1691</v>
      </c>
      <c r="R328" s="1" t="s">
        <v>1692</v>
      </c>
      <c r="S328" s="13" t="s">
        <v>1693</v>
      </c>
      <c r="T328" s="14"/>
      <c r="U328" s="19" t="str">
        <f>HYPERLINK("https://pbs.twimg.com/profile_images/1207831717379076098/P8HtRc86.jpg","View")</f>
        <v>View</v>
      </c>
      <c r="V328" s="14"/>
      <c r="W328" s="14"/>
      <c r="X328" s="14"/>
      <c r="Y328" s="14"/>
      <c r="Z328" s="14"/>
    </row>
    <row r="329">
      <c r="A329" s="11">
        <v>43847.84028935185</v>
      </c>
      <c r="B329" s="12" t="str">
        <f>HYPERLINK("https://twitter.com/BoironUSA","@BoironUSA")</f>
        <v>@BoironUSA</v>
      </c>
      <c r="C329" s="1" t="s">
        <v>1694</v>
      </c>
      <c r="D329" s="1" t="s">
        <v>1695</v>
      </c>
      <c r="E329" s="12" t="str">
        <f>HYPERLINK("https://twitter.com/BoironUSA/status/1218339728258367488","1218339728258367488")</f>
        <v>1218339728258367488</v>
      </c>
      <c r="F329" s="13" t="s">
        <v>1696</v>
      </c>
      <c r="G329" s="13" t="s">
        <v>1697</v>
      </c>
      <c r="H329" s="14"/>
      <c r="I329" s="15">
        <v>1.0</v>
      </c>
      <c r="J329" s="15">
        <v>2.0</v>
      </c>
      <c r="K329" s="12" t="str">
        <f>HYPERLINK("https://sproutsocial.com","Sprout Social")</f>
        <v>Sprout Social</v>
      </c>
      <c r="L329" s="16">
        <v>12012.0</v>
      </c>
      <c r="M329" s="16">
        <v>419.0</v>
      </c>
      <c r="N329" s="16">
        <v>313.0</v>
      </c>
      <c r="O329" s="20" t="s">
        <v>38</v>
      </c>
      <c r="P329" s="18">
        <v>39963.09447916667</v>
      </c>
      <c r="Q329" s="1" t="s">
        <v>1698</v>
      </c>
      <c r="R329" s="1" t="s">
        <v>1699</v>
      </c>
      <c r="S329" s="13" t="s">
        <v>1700</v>
      </c>
      <c r="T329" s="14"/>
      <c r="U329" s="19" t="str">
        <f>HYPERLINK("https://pbs.twimg.com/profile_images/378800000044570512/793423b7f9b447772b20a25ce82946ca.jpeg","View")</f>
        <v>View</v>
      </c>
      <c r="V329" s="14"/>
      <c r="W329" s="14"/>
      <c r="X329" s="14"/>
      <c r="Y329" s="14"/>
      <c r="Z329" s="14"/>
    </row>
    <row r="330">
      <c r="A330" s="11">
        <v>43847.838587962964</v>
      </c>
      <c r="B330" s="12" t="str">
        <f>HYPERLINK("https://twitter.com/OOICQ","@OOICQ")</f>
        <v>@OOICQ</v>
      </c>
      <c r="C330" s="1" t="s">
        <v>1701</v>
      </c>
      <c r="D330" s="1" t="s">
        <v>1702</v>
      </c>
      <c r="E330" s="12" t="str">
        <f>HYPERLINK("https://twitter.com/OOICQ/status/1218339111339057152","1218339111339057152")</f>
        <v>1218339111339057152</v>
      </c>
      <c r="F330" s="14"/>
      <c r="G330" s="14"/>
      <c r="H330" s="14"/>
      <c r="I330" s="15">
        <v>0.0</v>
      </c>
      <c r="J330" s="15">
        <v>0.0</v>
      </c>
      <c r="K330" s="12" t="str">
        <f>HYPERLINK("http://twittbot.net/","twittbot.net")</f>
        <v>twittbot.net</v>
      </c>
      <c r="L330" s="16">
        <v>1470.0</v>
      </c>
      <c r="M330" s="16">
        <v>60.0</v>
      </c>
      <c r="N330" s="16">
        <v>337.0</v>
      </c>
      <c r="O330" s="17"/>
      <c r="P330" s="18">
        <v>40074.42597222222</v>
      </c>
      <c r="Q330" s="1" t="s">
        <v>1703</v>
      </c>
      <c r="R330" s="1" t="s">
        <v>1704</v>
      </c>
      <c r="S330" s="14"/>
      <c r="T330" s="14"/>
      <c r="U330" s="19" t="str">
        <f>HYPERLINK("https://pbs.twimg.com/profile_images/422336155/____.jpg","View")</f>
        <v>View</v>
      </c>
      <c r="V330" s="14"/>
      <c r="W330" s="14"/>
      <c r="X330" s="14"/>
      <c r="Y330" s="14"/>
      <c r="Z330" s="14"/>
    </row>
    <row r="331">
      <c r="A331" s="11">
        <v>43847.836180555554</v>
      </c>
      <c r="B331" s="12" t="str">
        <f>HYPERLINK("https://twitter.com/monkeycomics","@monkeycomics")</f>
        <v>@monkeycomics</v>
      </c>
      <c r="C331" s="1" t="s">
        <v>1705</v>
      </c>
      <c r="D331" s="1" t="s">
        <v>1706</v>
      </c>
      <c r="E331" s="12" t="str">
        <f>HYPERLINK("https://twitter.com/monkeycomics/status/1218338237451657216","1218338237451657216")</f>
        <v>1218338237451657216</v>
      </c>
      <c r="F331" s="13" t="s">
        <v>1707</v>
      </c>
      <c r="G331" s="14"/>
      <c r="H331" s="14"/>
      <c r="I331" s="15">
        <v>1.0</v>
      </c>
      <c r="J331" s="15">
        <v>2.0</v>
      </c>
      <c r="K331" s="12" t="str">
        <f>HYPERLINK("https://mobile.twitter.com","Twitter Web App")</f>
        <v>Twitter Web App</v>
      </c>
      <c r="L331" s="16">
        <v>222.0</v>
      </c>
      <c r="M331" s="16">
        <v>87.0</v>
      </c>
      <c r="N331" s="16">
        <v>78.0</v>
      </c>
      <c r="O331" s="17"/>
      <c r="P331" s="18">
        <v>40578.43579861111</v>
      </c>
      <c r="Q331" s="1" t="s">
        <v>1708</v>
      </c>
      <c r="R331" s="1" t="s">
        <v>1709</v>
      </c>
      <c r="S331" s="13" t="s">
        <v>1710</v>
      </c>
      <c r="T331" s="14"/>
      <c r="U331" s="19" t="str">
        <f>HYPERLINK("https://pbs.twimg.com/profile_images/3326553165/28d7b63e495209ea514aa2d4680a5137.jpeg","View")</f>
        <v>View</v>
      </c>
      <c r="V331" s="14"/>
      <c r="W331" s="14"/>
      <c r="X331" s="14"/>
      <c r="Y331" s="14"/>
      <c r="Z331" s="14"/>
    </row>
    <row r="332">
      <c r="A332" s="11">
        <v>43847.83615740741</v>
      </c>
      <c r="B332" s="12" t="str">
        <f>HYPERLINK("https://twitter.com/YWCnaturopath","@YWCnaturopath")</f>
        <v>@YWCnaturopath</v>
      </c>
      <c r="C332" s="1" t="s">
        <v>1711</v>
      </c>
      <c r="D332" s="1" t="s">
        <v>1712</v>
      </c>
      <c r="E332" s="12" t="str">
        <f>HYPERLINK("https://twitter.com/YWCnaturopath/status/1218338229147131904","1218338229147131904")</f>
        <v>1218338229147131904</v>
      </c>
      <c r="F332" s="14"/>
      <c r="G332" s="13" t="s">
        <v>1713</v>
      </c>
      <c r="H332" s="14"/>
      <c r="I332" s="15">
        <v>0.0</v>
      </c>
      <c r="J332" s="15">
        <v>0.0</v>
      </c>
      <c r="K332" s="12" t="str">
        <f>HYPERLINK("https://buffer.com","Buffer")</f>
        <v>Buffer</v>
      </c>
      <c r="L332" s="16">
        <v>349.0</v>
      </c>
      <c r="M332" s="16">
        <v>312.0</v>
      </c>
      <c r="N332" s="16">
        <v>40.0</v>
      </c>
      <c r="O332" s="17"/>
      <c r="P332" s="18">
        <v>41301.028125</v>
      </c>
      <c r="Q332" s="1" t="s">
        <v>1714</v>
      </c>
      <c r="R332" s="1" t="s">
        <v>1715</v>
      </c>
      <c r="S332" s="13" t="s">
        <v>1716</v>
      </c>
      <c r="T332" s="14"/>
      <c r="U332" s="19" t="str">
        <f>HYPERLINK("https://pbs.twimg.com/profile_images/720919143722037248/efMOMw6T.jpg","View")</f>
        <v>View</v>
      </c>
      <c r="V332" s="14"/>
      <c r="W332" s="14"/>
      <c r="X332" s="14"/>
      <c r="Y332" s="14"/>
      <c r="Z332" s="14"/>
    </row>
    <row r="333">
      <c r="A333" s="11">
        <v>43847.83473379629</v>
      </c>
      <c r="B333" s="12" t="str">
        <f>HYPERLINK("https://twitter.com/Lynn_Van_Noy","@Lynn_Van_Noy")</f>
        <v>@Lynn_Van_Noy</v>
      </c>
      <c r="C333" s="1" t="s">
        <v>1717</v>
      </c>
      <c r="D333" s="1" t="s">
        <v>1718</v>
      </c>
      <c r="E333" s="12" t="str">
        <f>HYPERLINK("https://twitter.com/Lynn_Van_Noy/status/1218337715244208128","1218337715244208128")</f>
        <v>1218337715244208128</v>
      </c>
      <c r="F333" s="14"/>
      <c r="G333" s="13" t="s">
        <v>1719</v>
      </c>
      <c r="H333" s="14"/>
      <c r="I333" s="15">
        <v>0.0</v>
      </c>
      <c r="J333" s="15">
        <v>0.0</v>
      </c>
      <c r="K333" s="12" t="str">
        <f>HYPERLINK("https://mobile.twitter.com","Twitter Web App")</f>
        <v>Twitter Web App</v>
      </c>
      <c r="L333" s="16">
        <v>1147.0</v>
      </c>
      <c r="M333" s="16">
        <v>4696.0</v>
      </c>
      <c r="N333" s="16">
        <v>3.0</v>
      </c>
      <c r="O333" s="17"/>
      <c r="P333" s="18">
        <v>42029.599652777775</v>
      </c>
      <c r="Q333" s="1" t="s">
        <v>1720</v>
      </c>
      <c r="R333" s="1" t="s">
        <v>1721</v>
      </c>
      <c r="S333" s="13" t="s">
        <v>1722</v>
      </c>
      <c r="T333" s="14"/>
      <c r="U333" s="19" t="str">
        <f>HYPERLINK("https://pbs.twimg.com/profile_images/559440939471499265/culqNXQb.jpeg","View")</f>
        <v>View</v>
      </c>
      <c r="V333" s="14"/>
      <c r="W333" s="14"/>
      <c r="X333" s="14"/>
      <c r="Y333" s="14"/>
      <c r="Z333" s="14"/>
    </row>
    <row r="334">
      <c r="A334" s="11">
        <v>43847.83347222222</v>
      </c>
      <c r="B334" s="12" t="str">
        <f>HYPERLINK("https://twitter.com/EastWingRufford","@EastWingRufford")</f>
        <v>@EastWingRufford</v>
      </c>
      <c r="C334" s="1" t="s">
        <v>1002</v>
      </c>
      <c r="D334" s="1" t="s">
        <v>1003</v>
      </c>
      <c r="E334" s="12" t="str">
        <f>HYPERLINK("https://twitter.com/EastWingRufford/status/1218337259025567744","1218337259025567744")</f>
        <v>1218337259025567744</v>
      </c>
      <c r="F334" s="13" t="s">
        <v>1004</v>
      </c>
      <c r="G334" s="13" t="s">
        <v>1723</v>
      </c>
      <c r="H334" s="14"/>
      <c r="I334" s="15">
        <v>0.0</v>
      </c>
      <c r="J334" s="15">
        <v>1.0</v>
      </c>
      <c r="K334" s="12" t="str">
        <f>HYPERLINK("https://socialposterfire.com","Social Poster Fire")</f>
        <v>Social Poster Fire</v>
      </c>
      <c r="L334" s="16">
        <v>342.0</v>
      </c>
      <c r="M334" s="16">
        <v>524.0</v>
      </c>
      <c r="N334" s="16">
        <v>4.0</v>
      </c>
      <c r="O334" s="17"/>
      <c r="P334" s="18">
        <v>43141.54956018519</v>
      </c>
      <c r="Q334" s="1" t="s">
        <v>1006</v>
      </c>
      <c r="R334" s="1" t="s">
        <v>1007</v>
      </c>
      <c r="S334" s="13" t="s">
        <v>1008</v>
      </c>
      <c r="T334" s="14"/>
      <c r="U334" s="19" t="str">
        <f>HYPERLINK("https://pbs.twimg.com/profile_images/962404982984241158/u2bomX09.jpg","View")</f>
        <v>View</v>
      </c>
      <c r="V334" s="14"/>
      <c r="W334" s="14"/>
      <c r="X334" s="14"/>
      <c r="Y334" s="14"/>
      <c r="Z334" s="14"/>
    </row>
    <row r="335">
      <c r="A335" s="11">
        <v>43847.833449074074</v>
      </c>
      <c r="B335" s="12" t="str">
        <f>HYPERLINK("https://twitter.com/BosnarHealth","@BosnarHealth")</f>
        <v>@BosnarHealth</v>
      </c>
      <c r="C335" s="1" t="s">
        <v>1724</v>
      </c>
      <c r="D335" s="1" t="s">
        <v>1725</v>
      </c>
      <c r="E335" s="12" t="str">
        <f>HYPERLINK("https://twitter.com/BosnarHealth/status/1218337249751756800","1218337249751756800")</f>
        <v>1218337249751756800</v>
      </c>
      <c r="F335" s="14"/>
      <c r="G335" s="13" t="s">
        <v>1726</v>
      </c>
      <c r="H335" s="14"/>
      <c r="I335" s="15">
        <v>0.0</v>
      </c>
      <c r="J335" s="15">
        <v>1.0</v>
      </c>
      <c r="K335" s="12" t="str">
        <f>HYPERLINK("https://www.synduit.com","SYNDUIT Movement")</f>
        <v>SYNDUIT Movement</v>
      </c>
      <c r="L335" s="16">
        <v>81.0</v>
      </c>
      <c r="M335" s="16">
        <v>92.0</v>
      </c>
      <c r="N335" s="16">
        <v>8.0</v>
      </c>
      <c r="O335" s="17"/>
      <c r="P335" s="18">
        <v>41134.70049768519</v>
      </c>
      <c r="Q335" s="1" t="s">
        <v>1727</v>
      </c>
      <c r="R335" s="1" t="s">
        <v>1728</v>
      </c>
      <c r="S335" s="13" t="s">
        <v>1729</v>
      </c>
      <c r="T335" s="14"/>
      <c r="U335" s="19" t="str">
        <f>HYPERLINK("https://pbs.twimg.com/profile_images/1088138833751752706/y5q1YO_7.jpg","View")</f>
        <v>View</v>
      </c>
      <c r="V335" s="14"/>
      <c r="W335" s="14"/>
      <c r="X335" s="14"/>
      <c r="Y335" s="14"/>
      <c r="Z335" s="14"/>
    </row>
    <row r="336">
      <c r="A336" s="11">
        <v>43847.818402777775</v>
      </c>
      <c r="B336" s="12" t="str">
        <f>HYPERLINK("https://twitter.com/AnandVaishnov","@AnandVaishnov")</f>
        <v>@AnandVaishnov</v>
      </c>
      <c r="C336" s="1" t="s">
        <v>1730</v>
      </c>
      <c r="D336" s="1" t="s">
        <v>1731</v>
      </c>
      <c r="E336" s="12" t="str">
        <f>HYPERLINK("https://twitter.com/AnandVaishnov/status/1218331797303332865","1218331797303332865")</f>
        <v>1218331797303332865</v>
      </c>
      <c r="F336" s="14"/>
      <c r="G336" s="13" t="s">
        <v>1732</v>
      </c>
      <c r="H336" s="14"/>
      <c r="I336" s="15">
        <v>1.0</v>
      </c>
      <c r="J336" s="15">
        <v>2.0</v>
      </c>
      <c r="K336" s="12" t="str">
        <f>HYPERLINK("https://mobile.twitter.com","Twitter Web App")</f>
        <v>Twitter Web App</v>
      </c>
      <c r="L336" s="16">
        <v>181.0</v>
      </c>
      <c r="M336" s="16">
        <v>900.0</v>
      </c>
      <c r="N336" s="16">
        <v>1.0</v>
      </c>
      <c r="O336" s="17"/>
      <c r="P336" s="18">
        <v>41030.00560185185</v>
      </c>
      <c r="Q336" s="1" t="s">
        <v>1442</v>
      </c>
      <c r="R336" s="1" t="s">
        <v>1733</v>
      </c>
      <c r="S336" s="14"/>
      <c r="T336" s="14"/>
      <c r="U336" s="19" t="str">
        <f>HYPERLINK("https://pbs.twimg.com/profile_images/1153836390225858562/FVc-vD9q.jpg","View")</f>
        <v>View</v>
      </c>
      <c r="V336" s="14"/>
      <c r="W336" s="14"/>
      <c r="X336" s="14"/>
      <c r="Y336" s="14"/>
      <c r="Z336" s="14"/>
    </row>
    <row r="337">
      <c r="A337" s="11">
        <v>43847.81826388889</v>
      </c>
      <c r="B337" s="12" t="str">
        <f>HYPERLINK("https://twitter.com/AltWaysToHeal","@AltWaysToHeal")</f>
        <v>@AltWaysToHeal</v>
      </c>
      <c r="C337" s="1" t="s">
        <v>1734</v>
      </c>
      <c r="D337" s="1" t="s">
        <v>1735</v>
      </c>
      <c r="E337" s="12" t="str">
        <f>HYPERLINK("https://twitter.com/AltWaysToHeal/status/1218331747085180930","1218331747085180930")</f>
        <v>1218331747085180930</v>
      </c>
      <c r="F337" s="13" t="s">
        <v>1736</v>
      </c>
      <c r="G337" s="13" t="s">
        <v>1737</v>
      </c>
      <c r="H337" s="14"/>
      <c r="I337" s="15">
        <v>1.0</v>
      </c>
      <c r="J337" s="15">
        <v>1.0</v>
      </c>
      <c r="K337" s="12" t="str">
        <f>HYPERLINK("https://www.socialjukebox.com","The Social Jukebox")</f>
        <v>The Social Jukebox</v>
      </c>
      <c r="L337" s="16">
        <v>10932.0</v>
      </c>
      <c r="M337" s="16">
        <v>8867.0</v>
      </c>
      <c r="N337" s="16">
        <v>907.0</v>
      </c>
      <c r="O337" s="17"/>
      <c r="P337" s="18">
        <v>42321.46898148148</v>
      </c>
      <c r="Q337" s="1" t="s">
        <v>1738</v>
      </c>
      <c r="R337" s="1" t="s">
        <v>1739</v>
      </c>
      <c r="S337" s="13" t="s">
        <v>1740</v>
      </c>
      <c r="T337" s="14"/>
      <c r="U337" s="19" t="str">
        <f>HYPERLINK("https://pbs.twimg.com/profile_images/802272636768174080/-lXetELr.jpg","View")</f>
        <v>View</v>
      </c>
      <c r="V337" s="14"/>
      <c r="W337" s="14"/>
      <c r="X337" s="14"/>
      <c r="Y337" s="14"/>
      <c r="Z337" s="14"/>
    </row>
    <row r="338">
      <c r="A338" s="11">
        <v>43847.81487268519</v>
      </c>
      <c r="B338" s="12" t="str">
        <f>HYPERLINK("https://twitter.com/LoveShackBoutiq","@LoveShackBoutiq")</f>
        <v>@LoveShackBoutiq</v>
      </c>
      <c r="C338" s="1" t="s">
        <v>1741</v>
      </c>
      <c r="D338" s="1" t="s">
        <v>1742</v>
      </c>
      <c r="E338" s="12" t="str">
        <f>HYPERLINK("https://twitter.com/LoveShackBoutiq/status/1218330517155786752","1218330517155786752")</f>
        <v>1218330517155786752</v>
      </c>
      <c r="F338" s="14"/>
      <c r="G338" s="13" t="s">
        <v>1743</v>
      </c>
      <c r="H338" s="14"/>
      <c r="I338" s="15">
        <v>2.0</v>
      </c>
      <c r="J338" s="15">
        <v>2.0</v>
      </c>
      <c r="K338" s="12" t="str">
        <f>HYPERLINK("http://twitter.com/download/iphone","Twitter for iPhone")</f>
        <v>Twitter for iPhone</v>
      </c>
      <c r="L338" s="16">
        <v>655.0</v>
      </c>
      <c r="M338" s="16">
        <v>505.0</v>
      </c>
      <c r="N338" s="16">
        <v>29.0</v>
      </c>
      <c r="O338" s="17"/>
      <c r="P338" s="18">
        <v>41117.824849537035</v>
      </c>
      <c r="Q338" s="1" t="s">
        <v>1744</v>
      </c>
      <c r="R338" s="1" t="s">
        <v>1745</v>
      </c>
      <c r="S338" s="13" t="s">
        <v>1746</v>
      </c>
      <c r="T338" s="14"/>
      <c r="U338" s="19" t="str">
        <f>HYPERLINK("https://pbs.twimg.com/profile_images/1210994889707667461/TkeOOjbB.jpg","View")</f>
        <v>View</v>
      </c>
      <c r="V338" s="14"/>
      <c r="W338" s="14"/>
      <c r="X338" s="14"/>
      <c r="Y338" s="14"/>
      <c r="Z338" s="14"/>
    </row>
    <row r="339">
      <c r="A339" s="11">
        <v>43847.812581018516</v>
      </c>
      <c r="B339" s="12" t="str">
        <f>HYPERLINK("https://twitter.com/AskDrGanz","@AskDrGanz")</f>
        <v>@AskDrGanz</v>
      </c>
      <c r="C339" s="13" t="s">
        <v>1747</v>
      </c>
      <c r="D339" s="1" t="s">
        <v>1748</v>
      </c>
      <c r="E339" s="12" t="str">
        <f>HYPERLINK("https://twitter.com/AskDrGanz/status/1218329686775869440","1218329686775869440")</f>
        <v>1218329686775869440</v>
      </c>
      <c r="F339" s="13" t="s">
        <v>1749</v>
      </c>
      <c r="G339" s="13" t="s">
        <v>1750</v>
      </c>
      <c r="H339" s="14"/>
      <c r="I339" s="15">
        <v>0.0</v>
      </c>
      <c r="J339" s="15">
        <v>3.0</v>
      </c>
      <c r="K339" s="12" t="str">
        <f>HYPERLINK("https://hiplayapp.com","Hiplay")</f>
        <v>Hiplay</v>
      </c>
      <c r="L339" s="16">
        <v>1112.0</v>
      </c>
      <c r="M339" s="16">
        <v>4975.0</v>
      </c>
      <c r="N339" s="16">
        <v>5.0</v>
      </c>
      <c r="O339" s="17"/>
      <c r="P339" s="18">
        <v>43517.01850694444</v>
      </c>
      <c r="Q339" s="1" t="s">
        <v>1751</v>
      </c>
      <c r="R339" s="1" t="s">
        <v>1752</v>
      </c>
      <c r="S339" s="13" t="s">
        <v>1753</v>
      </c>
      <c r="T339" s="14"/>
      <c r="U339" s="19" t="str">
        <f>HYPERLINK("https://pbs.twimg.com/profile_images/1180437526374301697/0MYADYa_.jpg","View")</f>
        <v>View</v>
      </c>
      <c r="V339" s="14"/>
      <c r="W339" s="14"/>
      <c r="X339" s="14"/>
      <c r="Y339" s="14"/>
      <c r="Z339" s="14"/>
    </row>
    <row r="340">
      <c r="A340" s="11">
        <v>43847.81245370371</v>
      </c>
      <c r="B340" s="12" t="str">
        <f>HYPERLINK("https://twitter.com/americarecss","@americarecss")</f>
        <v>@americarecss</v>
      </c>
      <c r="C340" s="1" t="s">
        <v>1754</v>
      </c>
      <c r="D340" s="1" t="s">
        <v>1755</v>
      </c>
      <c r="E340" s="12" t="str">
        <f>HYPERLINK("https://twitter.com/americarecss/status/1218329640621740032","1218329640621740032")</f>
        <v>1218329640621740032</v>
      </c>
      <c r="F340" s="14"/>
      <c r="G340" s="14"/>
      <c r="H340" s="14"/>
      <c r="I340" s="15">
        <v>1.0</v>
      </c>
      <c r="J340" s="15">
        <v>5.0</v>
      </c>
      <c r="K340" s="12" t="str">
        <f>HYPERLINK("https://ads-api.twitter.com","Twitter for Advertisers")</f>
        <v>Twitter for Advertisers</v>
      </c>
      <c r="L340" s="16">
        <v>795.0</v>
      </c>
      <c r="M340" s="16">
        <v>1079.0</v>
      </c>
      <c r="N340" s="16">
        <v>7.0</v>
      </c>
      <c r="O340" s="17"/>
      <c r="P340" s="18">
        <v>40968.62787037037</v>
      </c>
      <c r="Q340" s="1" t="s">
        <v>1756</v>
      </c>
      <c r="R340" s="1" t="s">
        <v>1757</v>
      </c>
      <c r="S340" s="13" t="s">
        <v>1758</v>
      </c>
      <c r="T340" s="14"/>
      <c r="U340" s="19" t="str">
        <f>HYPERLINK("https://pbs.twimg.com/profile_images/752739255047323648/acBXeqco.jpg","View")</f>
        <v>View</v>
      </c>
      <c r="V340" s="14"/>
      <c r="W340" s="14"/>
      <c r="X340" s="14"/>
      <c r="Y340" s="14"/>
      <c r="Z340" s="14"/>
    </row>
    <row r="341">
      <c r="A341" s="11">
        <v>43847.80972222222</v>
      </c>
      <c r="B341" s="12" t="str">
        <f>HYPERLINK("https://twitter.com/SkeinandStory","@SkeinandStory")</f>
        <v>@SkeinandStory</v>
      </c>
      <c r="C341" s="1" t="s">
        <v>650</v>
      </c>
      <c r="D341" s="1" t="s">
        <v>1759</v>
      </c>
      <c r="E341" s="12" t="str">
        <f>HYPERLINK("https://twitter.com/SkeinandStory/status/1218328649981513728","1218328649981513728")</f>
        <v>1218328649981513728</v>
      </c>
      <c r="F341" s="14"/>
      <c r="G341" s="13" t="s">
        <v>1760</v>
      </c>
      <c r="H341" s="14"/>
      <c r="I341" s="15">
        <v>1.0</v>
      </c>
      <c r="J341" s="15">
        <v>1.0</v>
      </c>
      <c r="K341" s="12" t="str">
        <f>HYPERLINK("https://about.twitter.com/products/tweetdeck","TweetDeck")</f>
        <v>TweetDeck</v>
      </c>
      <c r="L341" s="16">
        <v>683.0</v>
      </c>
      <c r="M341" s="16">
        <v>2889.0</v>
      </c>
      <c r="N341" s="16">
        <v>3.0</v>
      </c>
      <c r="O341" s="17"/>
      <c r="P341" s="18">
        <v>42960.59641203703</v>
      </c>
      <c r="Q341" s="1" t="s">
        <v>654</v>
      </c>
      <c r="R341" s="1" t="s">
        <v>655</v>
      </c>
      <c r="S341" s="13" t="s">
        <v>656</v>
      </c>
      <c r="T341" s="14"/>
      <c r="U341" s="19" t="str">
        <f>HYPERLINK("https://pbs.twimg.com/profile_images/896822059203997696/C3tGXAFp.jpg","View")</f>
        <v>View</v>
      </c>
      <c r="V341" s="14"/>
      <c r="W341" s="14"/>
      <c r="X341" s="14"/>
      <c r="Y341" s="14"/>
      <c r="Z341" s="14"/>
    </row>
    <row r="342">
      <c r="A342" s="11">
        <v>43847.79703703704</v>
      </c>
      <c r="B342" s="12" t="str">
        <f>HYPERLINK("https://twitter.com/RLeHarp","@RLeHarp")</f>
        <v>@RLeHarp</v>
      </c>
      <c r="C342" s="1" t="s">
        <v>1761</v>
      </c>
      <c r="D342" s="1" t="s">
        <v>1762</v>
      </c>
      <c r="E342" s="12" t="str">
        <f>HYPERLINK("https://twitter.com/RLeHarp/status/1218324051975753729","1218324051975753729")</f>
        <v>1218324051975753729</v>
      </c>
      <c r="F342" s="13" t="s">
        <v>1763</v>
      </c>
      <c r="G342" s="14"/>
      <c r="H342" s="14"/>
      <c r="I342" s="15">
        <v>0.0</v>
      </c>
      <c r="J342" s="15">
        <v>0.0</v>
      </c>
      <c r="K342" s="12" t="str">
        <f>HYPERLINK("http://instagram.com","Instagram")</f>
        <v>Instagram</v>
      </c>
      <c r="L342" s="16">
        <v>42.0</v>
      </c>
      <c r="M342" s="16">
        <v>72.0</v>
      </c>
      <c r="N342" s="16">
        <v>1.0</v>
      </c>
      <c r="O342" s="17"/>
      <c r="P342" s="18">
        <v>40646.957337962966</v>
      </c>
      <c r="Q342" s="1" t="s">
        <v>1764</v>
      </c>
      <c r="R342" s="1" t="s">
        <v>1765</v>
      </c>
      <c r="S342" s="13" t="s">
        <v>1766</v>
      </c>
      <c r="T342" s="14"/>
      <c r="U342" s="19" t="str">
        <f>HYPERLINK("https://pbs.twimg.com/profile_images/869775173477650432/thjFFE_K.jpg","View")</f>
        <v>View</v>
      </c>
      <c r="V342" s="14"/>
      <c r="W342" s="14"/>
      <c r="X342" s="14"/>
      <c r="Y342" s="14"/>
      <c r="Z342" s="14"/>
    </row>
    <row r="343">
      <c r="A343" s="11">
        <v>43847.792245370365</v>
      </c>
      <c r="B343" s="12" t="str">
        <f>HYPERLINK("https://twitter.com/Barbclifford","@Barbclifford")</f>
        <v>@Barbclifford</v>
      </c>
      <c r="C343" s="1" t="s">
        <v>1767</v>
      </c>
      <c r="D343" s="1" t="s">
        <v>1768</v>
      </c>
      <c r="E343" s="12" t="str">
        <f>HYPERLINK("https://twitter.com/Barbclifford/status/1218322315630563328","1218322315630563328")</f>
        <v>1218322315630563328</v>
      </c>
      <c r="F343" s="13" t="s">
        <v>1769</v>
      </c>
      <c r="G343" s="14"/>
      <c r="H343" s="14"/>
      <c r="I343" s="15">
        <v>0.0</v>
      </c>
      <c r="J343" s="15">
        <v>0.0</v>
      </c>
      <c r="K343" s="12" t="str">
        <f>HYPERLINK("https://ifttt.com","IFTTT")</f>
        <v>IFTTT</v>
      </c>
      <c r="L343" s="16">
        <v>1379.0</v>
      </c>
      <c r="M343" s="16">
        <v>1345.0</v>
      </c>
      <c r="N343" s="16">
        <v>120.0</v>
      </c>
      <c r="O343" s="17"/>
      <c r="P343" s="18">
        <v>39994.823900462965</v>
      </c>
      <c r="Q343" s="1" t="s">
        <v>1770</v>
      </c>
      <c r="R343" s="1" t="s">
        <v>1771</v>
      </c>
      <c r="S343" s="13" t="s">
        <v>1769</v>
      </c>
      <c r="T343" s="14"/>
      <c r="U343" s="19" t="str">
        <f>HYPERLINK("https://pbs.twimg.com/profile_images/700454886429708288/Eu8Vp5pm.jpg","View")</f>
        <v>View</v>
      </c>
      <c r="V343" s="14"/>
      <c r="W343" s="14"/>
      <c r="X343" s="14"/>
      <c r="Y343" s="14"/>
      <c r="Z343" s="14"/>
    </row>
    <row r="344">
      <c r="A344" s="11">
        <v>43847.79204861111</v>
      </c>
      <c r="B344" s="12" t="str">
        <f>HYPERLINK("https://twitter.com/edynathan1","@edynathan1")</f>
        <v>@edynathan1</v>
      </c>
      <c r="C344" s="1" t="s">
        <v>1112</v>
      </c>
      <c r="D344" s="1" t="s">
        <v>1113</v>
      </c>
      <c r="E344" s="12" t="str">
        <f>HYPERLINK("https://twitter.com/edynathan1/status/1218322247187947521","1218322247187947521")</f>
        <v>1218322247187947521</v>
      </c>
      <c r="F344" s="13" t="s">
        <v>1114</v>
      </c>
      <c r="G344" s="13" t="s">
        <v>1772</v>
      </c>
      <c r="H344" s="14"/>
      <c r="I344" s="15">
        <v>0.0</v>
      </c>
      <c r="J344" s="15">
        <v>1.0</v>
      </c>
      <c r="K344" s="12" t="str">
        <f>HYPERLINK("https://www.hootsuite.com","Hootsuite Inc.")</f>
        <v>Hootsuite Inc.</v>
      </c>
      <c r="L344" s="16">
        <v>1719.0</v>
      </c>
      <c r="M344" s="16">
        <v>984.0</v>
      </c>
      <c r="N344" s="16">
        <v>63.0</v>
      </c>
      <c r="O344" s="17"/>
      <c r="P344" s="18">
        <v>40184.54211805556</v>
      </c>
      <c r="Q344" s="1" t="s">
        <v>1116</v>
      </c>
      <c r="R344" s="1" t="s">
        <v>1117</v>
      </c>
      <c r="S344" s="13" t="s">
        <v>1118</v>
      </c>
      <c r="T344" s="14"/>
      <c r="U344" s="19" t="str">
        <f>HYPERLINK("https://pbs.twimg.com/profile_images/997883145214218241/aJxC-fhT.jpg","View")</f>
        <v>View</v>
      </c>
      <c r="V344" s="14"/>
      <c r="W344" s="14"/>
      <c r="X344" s="14"/>
      <c r="Y344" s="14"/>
      <c r="Z344" s="14"/>
    </row>
    <row r="345">
      <c r="A345" s="11">
        <v>43847.79174768519</v>
      </c>
      <c r="B345" s="12" t="str">
        <f>HYPERLINK("https://twitter.com/CherylJanecky","@CherylJanecky")</f>
        <v>@CherylJanecky</v>
      </c>
      <c r="C345" s="1" t="s">
        <v>1773</v>
      </c>
      <c r="D345" s="1" t="s">
        <v>1774</v>
      </c>
      <c r="E345" s="12" t="str">
        <f>HYPERLINK("https://twitter.com/CherylJanecky/status/1218322137829781505","1218322137829781505")</f>
        <v>1218322137829781505</v>
      </c>
      <c r="F345" s="13" t="s">
        <v>1775</v>
      </c>
      <c r="G345" s="14"/>
      <c r="H345" s="14"/>
      <c r="I345" s="15">
        <v>0.0</v>
      </c>
      <c r="J345" s="15">
        <v>0.0</v>
      </c>
      <c r="K345" s="12" t="str">
        <f>HYPERLINK("https://www.socialoomph.com","SocialOomph")</f>
        <v>SocialOomph</v>
      </c>
      <c r="L345" s="16">
        <v>26291.0</v>
      </c>
      <c r="M345" s="16">
        <v>30413.0</v>
      </c>
      <c r="N345" s="16">
        <v>670.0</v>
      </c>
      <c r="O345" s="17"/>
      <c r="P345" s="18">
        <v>40232.579247685186</v>
      </c>
      <c r="Q345" s="1" t="s">
        <v>1776</v>
      </c>
      <c r="R345" s="1" t="s">
        <v>1777</v>
      </c>
      <c r="S345" s="13" t="s">
        <v>1778</v>
      </c>
      <c r="T345" s="14"/>
      <c r="U345" s="19" t="str">
        <f>HYPERLINK("https://pbs.twimg.com/profile_images/714174290/janecky-80-80.jpg","View")</f>
        <v>View</v>
      </c>
      <c r="V345" s="14"/>
      <c r="W345" s="14"/>
      <c r="X345" s="14"/>
      <c r="Y345" s="14"/>
      <c r="Z345" s="14"/>
    </row>
    <row r="346">
      <c r="A346" s="11">
        <v>43847.789305555554</v>
      </c>
      <c r="B346" s="12" t="str">
        <f>HYPERLINK("https://twitter.com/albertfong98","@albertfong98")</f>
        <v>@albertfong98</v>
      </c>
      <c r="C346" s="1" t="s">
        <v>1779</v>
      </c>
      <c r="D346" s="1" t="s">
        <v>1780</v>
      </c>
      <c r="E346" s="12" t="str">
        <f>HYPERLINK("https://twitter.com/albertfong98/status/1218321250331721728","1218321250331721728")</f>
        <v>1218321250331721728</v>
      </c>
      <c r="F346" s="13" t="s">
        <v>1781</v>
      </c>
      <c r="G346" s="14"/>
      <c r="H346" s="14"/>
      <c r="I346" s="15">
        <v>0.0</v>
      </c>
      <c r="J346" s="15">
        <v>0.0</v>
      </c>
      <c r="K346" s="12" t="str">
        <f t="shared" ref="K346:K347" si="36">HYPERLINK("https://mobile.twitter.com","Twitter Web App")</f>
        <v>Twitter Web App</v>
      </c>
      <c r="L346" s="16">
        <v>791.0</v>
      </c>
      <c r="M346" s="16">
        <v>656.0</v>
      </c>
      <c r="N346" s="16">
        <v>75.0</v>
      </c>
      <c r="O346" s="17"/>
      <c r="P346" s="18">
        <v>40077.477430555555</v>
      </c>
      <c r="Q346" s="1" t="s">
        <v>1782</v>
      </c>
      <c r="R346" s="1" t="s">
        <v>1783</v>
      </c>
      <c r="S346" s="13" t="s">
        <v>1784</v>
      </c>
      <c r="T346" s="14"/>
      <c r="U346" s="19" t="str">
        <f>HYPERLINK("https://pbs.twimg.com/profile_images/461301153557258240/tGS0akef.jpeg","View")</f>
        <v>View</v>
      </c>
      <c r="V346" s="14"/>
      <c r="W346" s="14"/>
      <c r="X346" s="14"/>
      <c r="Y346" s="14"/>
      <c r="Z346" s="14"/>
    </row>
    <row r="347">
      <c r="A347" s="11">
        <v>43847.7822337963</v>
      </c>
      <c r="B347" s="12" t="str">
        <f>HYPERLINK("https://twitter.com/Coy_boye","@Coy_boye")</f>
        <v>@Coy_boye</v>
      </c>
      <c r="C347" s="1" t="s">
        <v>1785</v>
      </c>
      <c r="D347" s="1" t="s">
        <v>1786</v>
      </c>
      <c r="E347" s="12" t="str">
        <f>HYPERLINK("https://twitter.com/Coy_boye/status/1218318691579891717","1218318691579891717")</f>
        <v>1218318691579891717</v>
      </c>
      <c r="F347" s="13" t="s">
        <v>1787</v>
      </c>
      <c r="G347" s="13" t="s">
        <v>1788</v>
      </c>
      <c r="H347" s="14"/>
      <c r="I347" s="15">
        <v>3.0</v>
      </c>
      <c r="J347" s="15">
        <v>5.0</v>
      </c>
      <c r="K347" s="12" t="str">
        <f t="shared" si="36"/>
        <v>Twitter Web App</v>
      </c>
      <c r="L347" s="16">
        <v>39.0</v>
      </c>
      <c r="M347" s="16">
        <v>38.0</v>
      </c>
      <c r="N347" s="16">
        <v>0.0</v>
      </c>
      <c r="O347" s="17"/>
      <c r="P347" s="18">
        <v>43747.492638888885</v>
      </c>
      <c r="Q347" s="1" t="s">
        <v>1789</v>
      </c>
      <c r="R347" s="1" t="s">
        <v>1790</v>
      </c>
      <c r="S347" s="13" t="s">
        <v>1791</v>
      </c>
      <c r="T347" s="14"/>
      <c r="U347" s="19" t="str">
        <f>HYPERLINK("https://pbs.twimg.com/profile_images/1200198247492530176/l4VzZNrq.png","View")</f>
        <v>View</v>
      </c>
      <c r="V347" s="14"/>
      <c r="W347" s="14"/>
      <c r="X347" s="14"/>
      <c r="Y347" s="14"/>
      <c r="Z347" s="14"/>
    </row>
    <row r="348">
      <c r="A348" s="11">
        <v>43847.7816087963</v>
      </c>
      <c r="B348" s="12" t="str">
        <f>HYPERLINK("https://twitter.com/renascencemusic","@renascencemusic")</f>
        <v>@renascencemusic</v>
      </c>
      <c r="C348" s="1" t="s">
        <v>247</v>
      </c>
      <c r="D348" s="1" t="s">
        <v>1792</v>
      </c>
      <c r="E348" s="12" t="str">
        <f>HYPERLINK("https://twitter.com/renascencemusic/status/1218318464521265153","1218318464521265153")</f>
        <v>1218318464521265153</v>
      </c>
      <c r="F348" s="13" t="s">
        <v>1793</v>
      </c>
      <c r="G348" s="13" t="s">
        <v>1794</v>
      </c>
      <c r="H348" s="14"/>
      <c r="I348" s="15">
        <v>0.0</v>
      </c>
      <c r="J348" s="15">
        <v>1.0</v>
      </c>
      <c r="K348" s="12" t="str">
        <f>HYPERLINK("https://www.socialoomph.com","SocialOomph")</f>
        <v>SocialOomph</v>
      </c>
      <c r="L348" s="16">
        <v>13031.0</v>
      </c>
      <c r="M348" s="16">
        <v>11650.0</v>
      </c>
      <c r="N348" s="16">
        <v>219.0</v>
      </c>
      <c r="O348" s="17"/>
      <c r="P348" s="18">
        <v>42470.67052083333</v>
      </c>
      <c r="Q348" s="1" t="s">
        <v>251</v>
      </c>
      <c r="R348" s="1" t="s">
        <v>252</v>
      </c>
      <c r="S348" s="13" t="s">
        <v>253</v>
      </c>
      <c r="T348" s="14"/>
      <c r="U348" s="19" t="str">
        <f>HYPERLINK("https://pbs.twimg.com/profile_images/1123407512743612416/g721ra2J.png","View")</f>
        <v>View</v>
      </c>
      <c r="V348" s="14"/>
      <c r="W348" s="14"/>
      <c r="X348" s="14"/>
      <c r="Y348" s="14"/>
      <c r="Z348" s="14"/>
    </row>
    <row r="349">
      <c r="A349" s="11">
        <v>43847.78128472222</v>
      </c>
      <c r="B349" s="12" t="str">
        <f>HYPERLINK("https://twitter.com/happyhandstoys","@happyhandstoys")</f>
        <v>@happyhandstoys</v>
      </c>
      <c r="C349" s="1" t="s">
        <v>1795</v>
      </c>
      <c r="D349" s="1" t="s">
        <v>1796</v>
      </c>
      <c r="E349" s="12" t="str">
        <f>HYPERLINK("https://twitter.com/happyhandstoys/status/1218318343494602752","1218318343494602752")</f>
        <v>1218318343494602752</v>
      </c>
      <c r="F349" s="13" t="s">
        <v>1797</v>
      </c>
      <c r="G349" s="14"/>
      <c r="H349" s="14"/>
      <c r="I349" s="15">
        <v>1.0</v>
      </c>
      <c r="J349" s="15">
        <v>2.0</v>
      </c>
      <c r="K349" s="12" t="str">
        <f>HYPERLINK("https://www.hootsuite.com","Hootsuite Inc.")</f>
        <v>Hootsuite Inc.</v>
      </c>
      <c r="L349" s="16">
        <v>2541.0</v>
      </c>
      <c r="M349" s="16">
        <v>4752.0</v>
      </c>
      <c r="N349" s="16">
        <v>34.0</v>
      </c>
      <c r="O349" s="17"/>
      <c r="P349" s="18">
        <v>42817.57172453703</v>
      </c>
      <c r="Q349" s="1" t="s">
        <v>1798</v>
      </c>
      <c r="R349" s="1" t="s">
        <v>1799</v>
      </c>
      <c r="S349" s="13" t="s">
        <v>1800</v>
      </c>
      <c r="T349" s="14"/>
      <c r="U349" s="19" t="str">
        <f>HYPERLINK("https://pbs.twimg.com/profile_images/845839282770100224/2YEak1EB.jpg","View")</f>
        <v>View</v>
      </c>
      <c r="V349" s="14"/>
      <c r="W349" s="14"/>
      <c r="X349" s="14"/>
      <c r="Y349" s="14"/>
      <c r="Z349" s="14"/>
    </row>
    <row r="350">
      <c r="A350" s="11">
        <v>43847.777442129634</v>
      </c>
      <c r="B350" s="12" t="str">
        <f>HYPERLINK("https://twitter.com/FleurFantasia","@FleurFantasia")</f>
        <v>@FleurFantasia</v>
      </c>
      <c r="C350" s="1" t="s">
        <v>1801</v>
      </c>
      <c r="D350" s="1" t="s">
        <v>1802</v>
      </c>
      <c r="E350" s="12" t="str">
        <f>HYPERLINK("https://twitter.com/FleurFantasia/status/1218316954471190528","1218316954471190528")</f>
        <v>1218316954471190528</v>
      </c>
      <c r="F350" s="14"/>
      <c r="G350" s="14"/>
      <c r="H350" s="14"/>
      <c r="I350" s="15">
        <v>0.0</v>
      </c>
      <c r="J350" s="15">
        <v>1.0</v>
      </c>
      <c r="K350" s="12" t="str">
        <f>HYPERLINK("http://twitter.com/download/iphone","Twitter for iPhone")</f>
        <v>Twitter for iPhone</v>
      </c>
      <c r="L350" s="16">
        <v>199.0</v>
      </c>
      <c r="M350" s="16">
        <v>424.0</v>
      </c>
      <c r="N350" s="16">
        <v>1.0</v>
      </c>
      <c r="O350" s="17"/>
      <c r="P350" s="18">
        <v>39901.57046296296</v>
      </c>
      <c r="Q350" s="1" t="s">
        <v>263</v>
      </c>
      <c r="R350" s="14"/>
      <c r="S350" s="14"/>
      <c r="T350" s="14"/>
      <c r="U350" s="19" t="str">
        <f>HYPERLINK("https://pbs.twimg.com/profile_images/1206225782676316161/BgDAzul3.jpg","View")</f>
        <v>View</v>
      </c>
      <c r="V350" s="14"/>
      <c r="W350" s="14"/>
      <c r="X350" s="14"/>
      <c r="Y350" s="14"/>
      <c r="Z350" s="14"/>
    </row>
    <row r="351">
      <c r="A351" s="11">
        <v>43847.77085648148</v>
      </c>
      <c r="B351" s="12" t="str">
        <f>HYPERLINK("https://twitter.com/HerbalGardenFL","@HerbalGardenFL")</f>
        <v>@HerbalGardenFL</v>
      </c>
      <c r="C351" s="1" t="s">
        <v>1803</v>
      </c>
      <c r="D351" s="1" t="s">
        <v>1804</v>
      </c>
      <c r="E351" s="12" t="str">
        <f>HYPERLINK("https://twitter.com/HerbalGardenFL/status/1218314564812623873","1218314564812623873")</f>
        <v>1218314564812623873</v>
      </c>
      <c r="F351" s="1" t="s">
        <v>1805</v>
      </c>
      <c r="G351" s="14"/>
      <c r="H351" s="14"/>
      <c r="I351" s="15">
        <v>0.0</v>
      </c>
      <c r="J351" s="15">
        <v>0.0</v>
      </c>
      <c r="K351" s="12" t="str">
        <f>HYPERLINK("https://kuku.io","Link account with KUKU.io")</f>
        <v>Link account with KUKU.io</v>
      </c>
      <c r="L351" s="16">
        <v>129.0</v>
      </c>
      <c r="M351" s="16">
        <v>90.0</v>
      </c>
      <c r="N351" s="16">
        <v>3.0</v>
      </c>
      <c r="O351" s="17"/>
      <c r="P351" s="18">
        <v>41130.93263888889</v>
      </c>
      <c r="Q351" s="1" t="s">
        <v>1806</v>
      </c>
      <c r="R351" s="1" t="s">
        <v>1807</v>
      </c>
      <c r="S351" s="13" t="s">
        <v>1808</v>
      </c>
      <c r="T351" s="14"/>
      <c r="U351" s="19" t="str">
        <f>HYPERLINK("https://pbs.twimg.com/profile_images/713345260160679936/WZnIHWw4.jpg","View")</f>
        <v>View</v>
      </c>
      <c r="V351" s="14"/>
      <c r="W351" s="14"/>
      <c r="X351" s="14"/>
      <c r="Y351" s="14"/>
      <c r="Z351" s="14"/>
    </row>
    <row r="352">
      <c r="A352" s="11">
        <v>43847.76935185185</v>
      </c>
      <c r="B352" s="12" t="str">
        <f>HYPERLINK("https://twitter.com/thelymearmy","@thelymearmy")</f>
        <v>@thelymearmy</v>
      </c>
      <c r="C352" s="1" t="s">
        <v>1809</v>
      </c>
      <c r="D352" s="1" t="s">
        <v>1810</v>
      </c>
      <c r="E352" s="12" t="str">
        <f>HYPERLINK("https://twitter.com/thelymearmy/status/1218314020371030016","1218314020371030016")</f>
        <v>1218314020371030016</v>
      </c>
      <c r="F352" s="13" t="s">
        <v>1811</v>
      </c>
      <c r="G352" s="14"/>
      <c r="H352" s="14"/>
      <c r="I352" s="15">
        <v>1.0</v>
      </c>
      <c r="J352" s="15">
        <v>0.0</v>
      </c>
      <c r="K352" s="12" t="str">
        <f>HYPERLINK("http://instagram.com","Instagram")</f>
        <v>Instagram</v>
      </c>
      <c r="L352" s="16">
        <v>465.0</v>
      </c>
      <c r="M352" s="16">
        <v>815.0</v>
      </c>
      <c r="N352" s="16">
        <v>3.0</v>
      </c>
      <c r="O352" s="17"/>
      <c r="P352" s="18">
        <v>43214.68361111111</v>
      </c>
      <c r="Q352" s="1" t="s">
        <v>56</v>
      </c>
      <c r="R352" s="14"/>
      <c r="S352" s="13" t="s">
        <v>1812</v>
      </c>
      <c r="T352" s="14"/>
      <c r="U352" s="19" t="str">
        <f>HYPERLINK("https://pbs.twimg.com/profile_images/988876890546032640/WEdtZ-uN.jpg","View")</f>
        <v>View</v>
      </c>
      <c r="V352" s="14"/>
      <c r="W352" s="14"/>
      <c r="X352" s="14"/>
      <c r="Y352" s="14"/>
      <c r="Z352" s="14"/>
    </row>
    <row r="353">
      <c r="A353" s="11">
        <v>43847.76528935185</v>
      </c>
      <c r="B353" s="12" t="str">
        <f>HYPERLINK("https://twitter.com/SadCreative","@SadCreative")</f>
        <v>@SadCreative</v>
      </c>
      <c r="C353" s="1" t="s">
        <v>1813</v>
      </c>
      <c r="D353" s="1" t="s">
        <v>1814</v>
      </c>
      <c r="E353" s="12" t="str">
        <f>HYPERLINK("https://twitter.com/SadCreative/status/1218312549558575107","1218312549558575107")</f>
        <v>1218312549558575107</v>
      </c>
      <c r="F353" s="14"/>
      <c r="G353" s="14"/>
      <c r="H353" s="14"/>
      <c r="I353" s="15">
        <v>0.0</v>
      </c>
      <c r="J353" s="15">
        <v>0.0</v>
      </c>
      <c r="K353" s="12" t="str">
        <f>HYPERLINK("http://doyouknowwhatloveis.com","do you know what love is")</f>
        <v>do you know what love is</v>
      </c>
      <c r="L353" s="16">
        <v>1016.0</v>
      </c>
      <c r="M353" s="16">
        <v>0.0</v>
      </c>
      <c r="N353" s="16">
        <v>13.0</v>
      </c>
      <c r="O353" s="17"/>
      <c r="P353" s="18">
        <v>42363.33070601852</v>
      </c>
      <c r="Q353" s="1" t="s">
        <v>1815</v>
      </c>
      <c r="R353" s="1" t="s">
        <v>1816</v>
      </c>
      <c r="S353" s="13" t="s">
        <v>1817</v>
      </c>
      <c r="T353" s="14"/>
      <c r="U353" s="19" t="str">
        <f>HYPERLINK("https://pbs.twimg.com/profile_images/936951396812972033/fOSlCq_R.jpg","View")</f>
        <v>View</v>
      </c>
      <c r="V353" s="14"/>
      <c r="W353" s="14"/>
      <c r="X353" s="14"/>
      <c r="Y353" s="14"/>
      <c r="Z353" s="14"/>
    </row>
    <row r="354">
      <c r="A354" s="11">
        <v>43847.7634837963</v>
      </c>
      <c r="B354" s="12" t="str">
        <f>HYPERLINK("https://twitter.com/ChroniclesCab","@ChroniclesCab")</f>
        <v>@ChroniclesCab</v>
      </c>
      <c r="C354" s="1" t="s">
        <v>1818</v>
      </c>
      <c r="D354" s="1" t="s">
        <v>1819</v>
      </c>
      <c r="E354" s="12" t="str">
        <f>HYPERLINK("https://twitter.com/ChroniclesCab/status/1218311893007454208","1218311893007454208")</f>
        <v>1218311893007454208</v>
      </c>
      <c r="F354" s="14"/>
      <c r="G354" s="14"/>
      <c r="H354" s="14"/>
      <c r="I354" s="15">
        <v>0.0</v>
      </c>
      <c r="J354" s="15">
        <v>0.0</v>
      </c>
      <c r="K354" s="12" t="str">
        <f>HYPERLINK("http://twitter.com/download/iphone","Twitter for iPhone")</f>
        <v>Twitter for iPhone</v>
      </c>
      <c r="L354" s="16">
        <v>90.0</v>
      </c>
      <c r="M354" s="16">
        <v>540.0</v>
      </c>
      <c r="N354" s="16">
        <v>1.0</v>
      </c>
      <c r="O354" s="17"/>
      <c r="P354" s="18">
        <v>43417.485925925925</v>
      </c>
      <c r="Q354" s="1" t="s">
        <v>809</v>
      </c>
      <c r="R354" s="1" t="s">
        <v>1820</v>
      </c>
      <c r="S354" s="14"/>
      <c r="T354" s="14"/>
      <c r="U354" s="19" t="str">
        <f>HYPERLINK("https://pbs.twimg.com/profile_images/1186422937903087619/xL4CRkan.jpg","View")</f>
        <v>View</v>
      </c>
      <c r="V354" s="14"/>
      <c r="W354" s="14"/>
      <c r="X354" s="14"/>
      <c r="Y354" s="14"/>
      <c r="Z354" s="14"/>
    </row>
    <row r="355">
      <c r="A355" s="11">
        <v>43847.763078703705</v>
      </c>
      <c r="B355" s="12" t="str">
        <f>HYPERLINK("https://twitter.com/MacOodles","@MacOodles")</f>
        <v>@MacOodles</v>
      </c>
      <c r="C355" s="1" t="s">
        <v>1821</v>
      </c>
      <c r="D355" s="1" t="s">
        <v>1822</v>
      </c>
      <c r="E355" s="12" t="str">
        <f>HYPERLINK("https://twitter.com/MacOodles/status/1218311745984520192","1218311745984520192")</f>
        <v>1218311745984520192</v>
      </c>
      <c r="F355" s="14"/>
      <c r="G355" s="14"/>
      <c r="H355" s="14"/>
      <c r="I355" s="15">
        <v>0.0</v>
      </c>
      <c r="J355" s="15">
        <v>0.0</v>
      </c>
      <c r="K355" s="12" t="str">
        <f>HYPERLINK("http://twitter.com/download/android","Twitter for Android")</f>
        <v>Twitter for Android</v>
      </c>
      <c r="L355" s="16">
        <v>17.0</v>
      </c>
      <c r="M355" s="16">
        <v>192.0</v>
      </c>
      <c r="N355" s="16">
        <v>0.0</v>
      </c>
      <c r="O355" s="17"/>
      <c r="P355" s="18">
        <v>43770.567291666666</v>
      </c>
      <c r="Q355" s="1" t="s">
        <v>1823</v>
      </c>
      <c r="R355" s="1" t="s">
        <v>1824</v>
      </c>
      <c r="S355" s="14"/>
      <c r="T355" s="14"/>
      <c r="U355" s="19" t="str">
        <f>HYPERLINK("https://pbs.twimg.com/profile_images/1190400894187257856/0X62siSS.jpg","View")</f>
        <v>View</v>
      </c>
      <c r="V355" s="14"/>
      <c r="W355" s="14"/>
      <c r="X355" s="14"/>
      <c r="Y355" s="14"/>
      <c r="Z355" s="14"/>
    </row>
    <row r="356">
      <c r="A356" s="11">
        <v>43847.76216435185</v>
      </c>
      <c r="B356" s="12" t="str">
        <f>HYPERLINK("https://twitter.com/PCOSVitality","@PCOSVitality")</f>
        <v>@PCOSVitality</v>
      </c>
      <c r="C356" s="1" t="s">
        <v>1825</v>
      </c>
      <c r="D356" s="1" t="s">
        <v>1826</v>
      </c>
      <c r="E356" s="12" t="str">
        <f>HYPERLINK("https://twitter.com/PCOSVitality/status/1218311414785413120","1218311414785413120")</f>
        <v>1218311414785413120</v>
      </c>
      <c r="F356" s="14"/>
      <c r="G356" s="13" t="s">
        <v>1827</v>
      </c>
      <c r="H356" s="14"/>
      <c r="I356" s="15">
        <v>0.0</v>
      </c>
      <c r="J356" s="15">
        <v>4.0</v>
      </c>
      <c r="K356" s="12" t="str">
        <f>HYPERLINK("http://twitter.com/#!/download/ipad","Twitter for iPad")</f>
        <v>Twitter for iPad</v>
      </c>
      <c r="L356" s="16">
        <v>2123.0</v>
      </c>
      <c r="M356" s="16">
        <v>5001.0</v>
      </c>
      <c r="N356" s="16">
        <v>48.0</v>
      </c>
      <c r="O356" s="17"/>
      <c r="P356" s="18">
        <v>41168.85356481482</v>
      </c>
      <c r="Q356" s="1" t="s">
        <v>263</v>
      </c>
      <c r="R356" s="1" t="s">
        <v>1828</v>
      </c>
      <c r="S356" s="13" t="s">
        <v>1829</v>
      </c>
      <c r="T356" s="14"/>
      <c r="U356" s="19" t="str">
        <f>HYPERLINK("https://pbs.twimg.com/profile_images/1182407870895345664/5UXmQyyP.jpg","View")</f>
        <v>View</v>
      </c>
      <c r="V356" s="14"/>
      <c r="W356" s="14"/>
      <c r="X356" s="14"/>
      <c r="Y356" s="14"/>
      <c r="Z356" s="14"/>
    </row>
    <row r="357">
      <c r="A357" s="11">
        <v>43847.75980324074</v>
      </c>
      <c r="B357" s="12" t="str">
        <f>HYPERLINK("https://twitter.com/snscourses","@snscourses")</f>
        <v>@snscourses</v>
      </c>
      <c r="C357" s="1" t="s">
        <v>1830</v>
      </c>
      <c r="D357" s="1" t="s">
        <v>1831</v>
      </c>
      <c r="E357" s="12" t="str">
        <f>HYPERLINK("https://twitter.com/snscourses/status/1218310560908886017","1218310560908886017")</f>
        <v>1218310560908886017</v>
      </c>
      <c r="F357" s="14"/>
      <c r="G357" s="14"/>
      <c r="H357" s="14"/>
      <c r="I357" s="15">
        <v>0.0</v>
      </c>
      <c r="J357" s="15">
        <v>1.0</v>
      </c>
      <c r="K357" s="12" t="str">
        <f>HYPERLINK("https://mobile.twitter.com","Twitter Web App")</f>
        <v>Twitter Web App</v>
      </c>
      <c r="L357" s="16">
        <v>10.0</v>
      </c>
      <c r="M357" s="16">
        <v>31.0</v>
      </c>
      <c r="N357" s="16">
        <v>0.0</v>
      </c>
      <c r="O357" s="17"/>
      <c r="P357" s="18">
        <v>43728.24667824074</v>
      </c>
      <c r="Q357" s="1" t="s">
        <v>1832</v>
      </c>
      <c r="R357" s="1" t="s">
        <v>1833</v>
      </c>
      <c r="S357" s="13" t="s">
        <v>1834</v>
      </c>
      <c r="T357" s="14"/>
      <c r="U357" s="19" t="str">
        <f>HYPERLINK("https://pbs.twimg.com/profile_images/1216753061508440070/S_TlVLzN.jpg","View")</f>
        <v>View</v>
      </c>
      <c r="V357" s="14"/>
      <c r="W357" s="14"/>
      <c r="X357" s="14"/>
      <c r="Y357" s="14"/>
      <c r="Z357" s="14"/>
    </row>
    <row r="358">
      <c r="A358" s="11">
        <v>43847.75939814815</v>
      </c>
      <c r="B358" s="12" t="str">
        <f>HYPERLINK("https://twitter.com/RayzasTravels","@RayzasTravels")</f>
        <v>@RayzasTravels</v>
      </c>
      <c r="C358" s="1" t="s">
        <v>1835</v>
      </c>
      <c r="D358" s="1" t="s">
        <v>1836</v>
      </c>
      <c r="E358" s="12" t="str">
        <f>HYPERLINK("https://twitter.com/RayzasTravels/status/1218310412468477952","1218310412468477952")</f>
        <v>1218310412468477952</v>
      </c>
      <c r="F358" s="13" t="s">
        <v>1837</v>
      </c>
      <c r="G358" s="14"/>
      <c r="H358" s="14"/>
      <c r="I358" s="15">
        <v>0.0</v>
      </c>
      <c r="J358" s="15">
        <v>0.0</v>
      </c>
      <c r="K358" s="12" t="str">
        <f>HYPERLINK("http://instagram.com","Instagram")</f>
        <v>Instagram</v>
      </c>
      <c r="L358" s="16">
        <v>42.0</v>
      </c>
      <c r="M358" s="16">
        <v>65.0</v>
      </c>
      <c r="N358" s="16">
        <v>0.0</v>
      </c>
      <c r="O358" s="17"/>
      <c r="P358" s="18">
        <v>43762.3371875</v>
      </c>
      <c r="Q358" s="1" t="s">
        <v>1838</v>
      </c>
      <c r="R358" s="1" t="s">
        <v>1839</v>
      </c>
      <c r="S358" s="13" t="s">
        <v>1840</v>
      </c>
      <c r="T358" s="14"/>
      <c r="U358" s="19" t="str">
        <f>HYPERLINK("https://pbs.twimg.com/profile_images/1210273672956542976/moFaMfIn.jpg","View")</f>
        <v>View</v>
      </c>
      <c r="V358" s="14"/>
      <c r="W358" s="14"/>
      <c r="X358" s="14"/>
      <c r="Y358" s="14"/>
      <c r="Z358" s="14"/>
    </row>
    <row r="359">
      <c r="A359" s="11">
        <v>43847.75476851852</v>
      </c>
      <c r="B359" s="12" t="str">
        <f>HYPERLINK("https://twitter.com/naturalhealthbl","@naturalhealthbl")</f>
        <v>@naturalhealthbl</v>
      </c>
      <c r="C359" s="1" t="s">
        <v>259</v>
      </c>
      <c r="D359" s="1" t="s">
        <v>1841</v>
      </c>
      <c r="E359" s="12" t="str">
        <f>HYPERLINK("https://twitter.com/naturalhealthbl/status/1218308735434731520","1218308735434731520")</f>
        <v>1218308735434731520</v>
      </c>
      <c r="F359" s="13" t="s">
        <v>1842</v>
      </c>
      <c r="G359" s="14"/>
      <c r="H359" s="14"/>
      <c r="I359" s="15">
        <v>1.0</v>
      </c>
      <c r="J359" s="15">
        <v>1.0</v>
      </c>
      <c r="K359" s="12" t="str">
        <f>HYPERLINK("https://mobile.twitter.com","Twitter Web App")</f>
        <v>Twitter Web App</v>
      </c>
      <c r="L359" s="16">
        <v>1793.0</v>
      </c>
      <c r="M359" s="16">
        <v>1569.0</v>
      </c>
      <c r="N359" s="16">
        <v>180.0</v>
      </c>
      <c r="O359" s="17"/>
      <c r="P359" s="18">
        <v>41475.38408564815</v>
      </c>
      <c r="Q359" s="1" t="s">
        <v>263</v>
      </c>
      <c r="R359" s="1" t="s">
        <v>264</v>
      </c>
      <c r="S359" s="13" t="s">
        <v>265</v>
      </c>
      <c r="T359" s="14"/>
      <c r="U359" s="19" t="str">
        <f>HYPERLINK("https://pbs.twimg.com/profile_images/1217967343135023105/rnonJTby.jpg","View")</f>
        <v>View</v>
      </c>
      <c r="V359" s="14"/>
      <c r="W359" s="14"/>
      <c r="X359" s="14"/>
      <c r="Y359" s="14"/>
      <c r="Z359" s="14"/>
    </row>
    <row r="360">
      <c r="A360" s="11">
        <v>43847.75359953704</v>
      </c>
      <c r="B360" s="12" t="str">
        <f>HYPERLINK("https://twitter.com/BoostHLTH","@BoostHLTH")</f>
        <v>@BoostHLTH</v>
      </c>
      <c r="C360" s="1" t="s">
        <v>1843</v>
      </c>
      <c r="D360" s="1" t="s">
        <v>1844</v>
      </c>
      <c r="E360" s="12" t="str">
        <f>HYPERLINK("https://twitter.com/BoostHLTH/status/1218308310828560384","1218308310828560384")</f>
        <v>1218308310828560384</v>
      </c>
      <c r="F360" s="13" t="s">
        <v>1845</v>
      </c>
      <c r="G360" s="13" t="s">
        <v>1846</v>
      </c>
      <c r="H360" s="14"/>
      <c r="I360" s="15">
        <v>1.0</v>
      </c>
      <c r="J360" s="15">
        <v>1.0</v>
      </c>
      <c r="K360" s="12" t="str">
        <f>HYPERLINK("https://www.socialoomph.com","SocialOomph")</f>
        <v>SocialOomph</v>
      </c>
      <c r="L360" s="16">
        <v>2513.0</v>
      </c>
      <c r="M360" s="16">
        <v>4158.0</v>
      </c>
      <c r="N360" s="16">
        <v>15.0</v>
      </c>
      <c r="O360" s="17"/>
      <c r="P360" s="18">
        <v>42682.184432870374</v>
      </c>
      <c r="Q360" s="14"/>
      <c r="R360" s="1" t="s">
        <v>1847</v>
      </c>
      <c r="S360" s="13" t="s">
        <v>1848</v>
      </c>
      <c r="T360" s="14"/>
      <c r="U360" s="19" t="str">
        <f>HYPERLINK("https://pbs.twimg.com/profile_images/795920785969795072/xzogUftN.jpg","View")</f>
        <v>View</v>
      </c>
      <c r="V360" s="14"/>
      <c r="W360" s="14"/>
      <c r="X360" s="14"/>
      <c r="Y360" s="14"/>
      <c r="Z360" s="14"/>
    </row>
    <row r="361">
      <c r="A361" s="11">
        <v>43847.75067129629</v>
      </c>
      <c r="B361" s="12" t="str">
        <f>HYPERLINK("https://twitter.com/TheBigMac75","@TheBigMac75")</f>
        <v>@TheBigMac75</v>
      </c>
      <c r="C361" s="1" t="s">
        <v>1849</v>
      </c>
      <c r="D361" s="1" t="s">
        <v>1850</v>
      </c>
      <c r="E361" s="12" t="str">
        <f>HYPERLINK("https://twitter.com/TheBigMac75/status/1218307252056207361","1218307252056207361")</f>
        <v>1218307252056207361</v>
      </c>
      <c r="F361" s="14"/>
      <c r="G361" s="14"/>
      <c r="H361" s="14"/>
      <c r="I361" s="15">
        <v>0.0</v>
      </c>
      <c r="J361" s="15">
        <v>0.0</v>
      </c>
      <c r="K361" s="12" t="str">
        <f>HYPERLINK("http://twitter.com/download/android","Twitter for Android")</f>
        <v>Twitter for Android</v>
      </c>
      <c r="L361" s="16">
        <v>30.0</v>
      </c>
      <c r="M361" s="16">
        <v>733.0</v>
      </c>
      <c r="N361" s="16">
        <v>0.0</v>
      </c>
      <c r="O361" s="17"/>
      <c r="P361" s="18">
        <v>43268.60045138889</v>
      </c>
      <c r="Q361" s="14"/>
      <c r="R361" s="1" t="s">
        <v>1851</v>
      </c>
      <c r="S361" s="14"/>
      <c r="T361" s="14"/>
      <c r="U361" s="19" t="str">
        <f>HYPERLINK("https://pbs.twimg.com/profile_images/1213243189609390080/7w9SuVqe.jpg","View")</f>
        <v>View</v>
      </c>
      <c r="V361" s="14"/>
      <c r="W361" s="14"/>
      <c r="X361" s="14"/>
      <c r="Y361" s="14"/>
      <c r="Z361" s="14"/>
    </row>
    <row r="362">
      <c r="A362" s="11">
        <v>43847.75023148148</v>
      </c>
      <c r="B362" s="12" t="str">
        <f>HYPERLINK("https://twitter.com/kyliezeal7","@kyliezeal7")</f>
        <v>@kyliezeal7</v>
      </c>
      <c r="C362" s="1" t="s">
        <v>1852</v>
      </c>
      <c r="D362" s="1" t="s">
        <v>1853</v>
      </c>
      <c r="E362" s="12" t="str">
        <f>HYPERLINK("https://twitter.com/kyliezeal7/status/1218307092630724608","1218307092630724608")</f>
        <v>1218307092630724608</v>
      </c>
      <c r="F362" s="13" t="s">
        <v>1854</v>
      </c>
      <c r="G362" s="14"/>
      <c r="H362" s="14"/>
      <c r="I362" s="15">
        <v>0.0</v>
      </c>
      <c r="J362" s="15">
        <v>0.0</v>
      </c>
      <c r="K362" s="12" t="str">
        <f>HYPERLINK("https://smarterqueue.com","SmarterQueue")</f>
        <v>SmarterQueue</v>
      </c>
      <c r="L362" s="16">
        <v>21182.0</v>
      </c>
      <c r="M362" s="16">
        <v>10000.0</v>
      </c>
      <c r="N362" s="16">
        <v>295.0</v>
      </c>
      <c r="O362" s="17"/>
      <c r="P362" s="18">
        <v>40108.18791666666</v>
      </c>
      <c r="Q362" s="1" t="s">
        <v>1855</v>
      </c>
      <c r="R362" s="1" t="s">
        <v>1856</v>
      </c>
      <c r="S362" s="13" t="s">
        <v>1857</v>
      </c>
      <c r="T362" s="14"/>
      <c r="U362" s="19" t="str">
        <f>HYPERLINK("https://pbs.twimg.com/profile_images/939687915902320642/7VwlT4bn.jpg","View")</f>
        <v>View</v>
      </c>
      <c r="V362" s="14"/>
      <c r="W362" s="14"/>
      <c r="X362" s="14"/>
      <c r="Y362" s="14"/>
      <c r="Z362" s="14"/>
    </row>
    <row r="363">
      <c r="A363" s="11">
        <v>43847.750081018516</v>
      </c>
      <c r="B363" s="12" t="str">
        <f>HYPERLINK("https://twitter.com/Tap_In2_U","@Tap_In2_U")</f>
        <v>@Tap_In2_U</v>
      </c>
      <c r="C363" s="1" t="s">
        <v>1576</v>
      </c>
      <c r="D363" s="1" t="s">
        <v>1858</v>
      </c>
      <c r="E363" s="12" t="str">
        <f>HYPERLINK("https://twitter.com/Tap_In2_U/status/1218307037462962181","1218307037462962181")</f>
        <v>1218307037462962181</v>
      </c>
      <c r="F363" s="13" t="s">
        <v>1859</v>
      </c>
      <c r="G363" s="14"/>
      <c r="H363" s="14"/>
      <c r="I363" s="15">
        <v>0.0</v>
      </c>
      <c r="J363" s="15">
        <v>0.0</v>
      </c>
      <c r="K363" s="12" t="str">
        <f>HYPERLINK("https://www.socialoomph.com","SocialOomph")</f>
        <v>SocialOomph</v>
      </c>
      <c r="L363" s="16">
        <v>21140.0</v>
      </c>
      <c r="M363" s="16">
        <v>24508.0</v>
      </c>
      <c r="N363" s="16">
        <v>429.0</v>
      </c>
      <c r="O363" s="17"/>
      <c r="P363" s="18">
        <v>40340.859293981484</v>
      </c>
      <c r="Q363" s="1" t="s">
        <v>1579</v>
      </c>
      <c r="R363" s="1" t="s">
        <v>1580</v>
      </c>
      <c r="S363" s="13" t="s">
        <v>1581</v>
      </c>
      <c r="T363" s="14"/>
      <c r="U363" s="19" t="str">
        <f>HYPERLINK("https://pbs.twimg.com/profile_images/981805531/law-gold-thought-radiate.jpg","View")</f>
        <v>View</v>
      </c>
      <c r="V363" s="14"/>
      <c r="W363" s="14"/>
      <c r="X363" s="14"/>
      <c r="Y363" s="14"/>
      <c r="Z363" s="14"/>
    </row>
    <row r="364">
      <c r="A364" s="11">
        <v>43847.74997685185</v>
      </c>
      <c r="B364" s="12" t="str">
        <f>HYPERLINK("https://twitter.com/isrgrajan","@isrgrajan")</f>
        <v>@isrgrajan</v>
      </c>
      <c r="C364" s="1" t="s">
        <v>146</v>
      </c>
      <c r="D364" s="1" t="s">
        <v>1860</v>
      </c>
      <c r="E364" s="12" t="str">
        <f>HYPERLINK("https://twitter.com/isrgrajan/status/1218307001605705728","1218307001605705728")</f>
        <v>1218307001605705728</v>
      </c>
      <c r="F364" s="13" t="s">
        <v>1861</v>
      </c>
      <c r="G364" s="13" t="s">
        <v>1862</v>
      </c>
      <c r="H364" s="14"/>
      <c r="I364" s="15">
        <v>0.0</v>
      </c>
      <c r="J364" s="15">
        <v>0.0</v>
      </c>
      <c r="K364" s="12" t="str">
        <f>HYPERLINK("http://www.isrg.in/","Isrg")</f>
        <v>Isrg</v>
      </c>
      <c r="L364" s="16">
        <v>3300.0</v>
      </c>
      <c r="M364" s="16">
        <v>80.0</v>
      </c>
      <c r="N364" s="16">
        <v>45.0</v>
      </c>
      <c r="O364" s="17"/>
      <c r="P364" s="18">
        <v>40108.413819444446</v>
      </c>
      <c r="Q364" s="1" t="s">
        <v>150</v>
      </c>
      <c r="R364" s="1" t="s">
        <v>151</v>
      </c>
      <c r="S364" s="13" t="s">
        <v>152</v>
      </c>
      <c r="T364" s="14"/>
      <c r="U364" s="19" t="str">
        <f>HYPERLINK("https://pbs.twimg.com/profile_images/1190988064765743106/FJrzpCN1.jpg","View")</f>
        <v>View</v>
      </c>
      <c r="V364" s="14"/>
      <c r="W364" s="14"/>
      <c r="X364" s="14"/>
      <c r="Y364" s="14"/>
      <c r="Z364" s="14"/>
    </row>
    <row r="365">
      <c r="A365" s="11">
        <v>43847.7466087963</v>
      </c>
      <c r="B365" s="12" t="str">
        <f>HYPERLINK("https://twitter.com/HealthyandFitn6","@HealthyandFitn6")</f>
        <v>@HealthyandFitn6</v>
      </c>
      <c r="C365" s="1" t="s">
        <v>787</v>
      </c>
      <c r="D365" s="1" t="s">
        <v>1863</v>
      </c>
      <c r="E365" s="12" t="str">
        <f>HYPERLINK("https://twitter.com/HealthyandFitn6/status/1218305779998044160","1218305779998044160")</f>
        <v>1218305779998044160</v>
      </c>
      <c r="F365" s="13" t="s">
        <v>1864</v>
      </c>
      <c r="G365" s="13" t="s">
        <v>1865</v>
      </c>
      <c r="H365" s="14"/>
      <c r="I365" s="15">
        <v>1.0</v>
      </c>
      <c r="J365" s="15">
        <v>1.0</v>
      </c>
      <c r="K365" s="12" t="str">
        <f>HYPERLINK("https://crowdfireapp.com","Crowdfire App")</f>
        <v>Crowdfire App</v>
      </c>
      <c r="L365" s="16">
        <v>121.0</v>
      </c>
      <c r="M365" s="16">
        <v>51.0</v>
      </c>
      <c r="N365" s="16">
        <v>0.0</v>
      </c>
      <c r="O365" s="17"/>
      <c r="P365" s="18">
        <v>43752.99784722222</v>
      </c>
      <c r="Q365" s="14"/>
      <c r="R365" s="1" t="s">
        <v>791</v>
      </c>
      <c r="S365" s="13" t="s">
        <v>792</v>
      </c>
      <c r="T365" s="14"/>
      <c r="U365" s="19" t="str">
        <f>HYPERLINK("https://pbs.twimg.com/profile_images/1183954983550513152/LlRQvdFF.jpg","View")</f>
        <v>View</v>
      </c>
      <c r="V365" s="14"/>
      <c r="W365" s="14"/>
      <c r="X365" s="14"/>
      <c r="Y365" s="14"/>
      <c r="Z365" s="14"/>
    </row>
    <row r="366">
      <c r="A366" s="11">
        <v>43847.743055555555</v>
      </c>
      <c r="B366" s="12" t="str">
        <f>HYPERLINK("https://twitter.com/TrainingMindful","@TrainingMindful")</f>
        <v>@TrainingMindful</v>
      </c>
      <c r="C366" s="1" t="s">
        <v>94</v>
      </c>
      <c r="D366" s="1" t="s">
        <v>1866</v>
      </c>
      <c r="E366" s="12" t="str">
        <f>HYPERLINK("https://twitter.com/TrainingMindful/status/1218304493101645829","1218304493101645829")</f>
        <v>1218304493101645829</v>
      </c>
      <c r="F366" s="13" t="s">
        <v>1867</v>
      </c>
      <c r="G366" s="14"/>
      <c r="H366" s="14"/>
      <c r="I366" s="15">
        <v>1.0</v>
      </c>
      <c r="J366" s="15">
        <v>3.0</v>
      </c>
      <c r="K366" s="12" t="str">
        <f>HYPERLINK("https://www.socialoomph.com","SocialOomph")</f>
        <v>SocialOomph</v>
      </c>
      <c r="L366" s="16">
        <v>185303.0</v>
      </c>
      <c r="M366" s="16">
        <v>43980.0</v>
      </c>
      <c r="N366" s="16">
        <v>2800.0</v>
      </c>
      <c r="O366" s="17"/>
      <c r="P366" s="18">
        <v>41286.039305555554</v>
      </c>
      <c r="Q366" s="1" t="s">
        <v>97</v>
      </c>
      <c r="R366" s="1" t="s">
        <v>98</v>
      </c>
      <c r="S366" s="13" t="s">
        <v>99</v>
      </c>
      <c r="T366" s="14"/>
      <c r="U366" s="19" t="str">
        <f>HYPERLINK("https://pbs.twimg.com/profile_images/566526924059459584/gdMxDA9x.jpeg","View")</f>
        <v>View</v>
      </c>
      <c r="V366" s="14"/>
      <c r="W366" s="14"/>
      <c r="X366" s="14"/>
      <c r="Y366" s="14"/>
      <c r="Z366" s="14"/>
    </row>
    <row r="367">
      <c r="A367" s="11">
        <v>43847.74260416666</v>
      </c>
      <c r="B367" s="12" t="str">
        <f>HYPERLINK("https://twitter.com/CredibleMind","@CredibleMind")</f>
        <v>@CredibleMind</v>
      </c>
      <c r="C367" s="1" t="s">
        <v>1868</v>
      </c>
      <c r="D367" s="1" t="s">
        <v>1869</v>
      </c>
      <c r="E367" s="12" t="str">
        <f>HYPERLINK("https://twitter.com/CredibleMind/status/1218304327954993153","1218304327954993153")</f>
        <v>1218304327954993153</v>
      </c>
      <c r="F367" s="13" t="s">
        <v>1870</v>
      </c>
      <c r="G367" s="14"/>
      <c r="H367" s="14"/>
      <c r="I367" s="15">
        <v>0.0</v>
      </c>
      <c r="J367" s="15">
        <v>0.0</v>
      </c>
      <c r="K367" s="12" t="str">
        <f>HYPERLINK("https://mobile.twitter.com","Twitter Web App")</f>
        <v>Twitter Web App</v>
      </c>
      <c r="L367" s="16">
        <v>42.0</v>
      </c>
      <c r="M367" s="16">
        <v>10.0</v>
      </c>
      <c r="N367" s="16">
        <v>0.0</v>
      </c>
      <c r="O367" s="17"/>
      <c r="P367" s="18">
        <v>43531.679861111115</v>
      </c>
      <c r="Q367" s="14"/>
      <c r="R367" s="1" t="s">
        <v>1871</v>
      </c>
      <c r="S367" s="14"/>
      <c r="T367" s="14"/>
      <c r="U367" s="19" t="str">
        <f>HYPERLINK("https://pbs.twimg.com/profile_images/1131322403664015360/e6c3gIvH.png","View")</f>
        <v>View</v>
      </c>
      <c r="V367" s="14"/>
      <c r="W367" s="14"/>
      <c r="X367" s="14"/>
      <c r="Y367" s="14"/>
      <c r="Z367" s="14"/>
    </row>
    <row r="368">
      <c r="A368" s="11">
        <v>43847.742268518516</v>
      </c>
      <c r="B368" s="12" t="str">
        <f>HYPERLINK("https://twitter.com/paddie6969","@paddie6969")</f>
        <v>@paddie6969</v>
      </c>
      <c r="C368" s="1" t="s">
        <v>1872</v>
      </c>
      <c r="D368" s="1" t="s">
        <v>1873</v>
      </c>
      <c r="E368" s="12" t="str">
        <f>HYPERLINK("https://twitter.com/paddie6969/status/1218304207683538945","1218304207683538945")</f>
        <v>1218304207683538945</v>
      </c>
      <c r="F368" s="14"/>
      <c r="G368" s="14"/>
      <c r="H368" s="14"/>
      <c r="I368" s="15">
        <v>0.0</v>
      </c>
      <c r="J368" s="15">
        <v>0.0</v>
      </c>
      <c r="K368" s="12" t="str">
        <f>HYPERLINK("http://twitter.com/download/android","Twitter for Android")</f>
        <v>Twitter for Android</v>
      </c>
      <c r="L368" s="16">
        <v>32.0</v>
      </c>
      <c r="M368" s="16">
        <v>549.0</v>
      </c>
      <c r="N368" s="16">
        <v>0.0</v>
      </c>
      <c r="O368" s="17"/>
      <c r="P368" s="18">
        <v>40605.661620370374</v>
      </c>
      <c r="Q368" s="14"/>
      <c r="R368" s="14"/>
      <c r="S368" s="14"/>
      <c r="T368" s="14"/>
      <c r="U368" s="19" t="str">
        <f>HYPERLINK("https://pbs.twimg.com/profile_images/1948974834/5810UsrH","View")</f>
        <v>View</v>
      </c>
      <c r="V368" s="14"/>
      <c r="W368" s="14"/>
      <c r="X368" s="14"/>
      <c r="Y368" s="14"/>
      <c r="Z368" s="14"/>
    </row>
    <row r="369">
      <c r="A369" s="11">
        <v>43847.74184027778</v>
      </c>
      <c r="B369" s="12" t="str">
        <f>HYPERLINK("https://twitter.com/mentalhealthMD","@mentalhealthMD")</f>
        <v>@mentalhealthMD</v>
      </c>
      <c r="C369" s="1" t="s">
        <v>1874</v>
      </c>
      <c r="D369" s="1" t="s">
        <v>1875</v>
      </c>
      <c r="E369" s="12" t="str">
        <f>HYPERLINK("https://twitter.com/mentalhealthMD/status/1218304050141286403","1218304050141286403")</f>
        <v>1218304050141286403</v>
      </c>
      <c r="F369" s="13" t="s">
        <v>1876</v>
      </c>
      <c r="G369" s="13" t="s">
        <v>1877</v>
      </c>
      <c r="H369" s="14"/>
      <c r="I369" s="15">
        <v>0.0</v>
      </c>
      <c r="J369" s="15">
        <v>3.0</v>
      </c>
      <c r="K369" s="12" t="str">
        <f>HYPERLINK("http://twitter.com/download/iphone","Twitter for iPhone")</f>
        <v>Twitter for iPhone</v>
      </c>
      <c r="L369" s="16">
        <v>1507.0</v>
      </c>
      <c r="M369" s="16">
        <v>882.0</v>
      </c>
      <c r="N369" s="16">
        <v>34.0</v>
      </c>
      <c r="O369" s="17"/>
      <c r="P369" s="18">
        <v>41613.43127314815</v>
      </c>
      <c r="Q369" s="1" t="s">
        <v>1878</v>
      </c>
      <c r="R369" s="1" t="s">
        <v>1879</v>
      </c>
      <c r="S369" s="13" t="s">
        <v>1880</v>
      </c>
      <c r="T369" s="14"/>
      <c r="U369" s="19" t="str">
        <f>HYPERLINK("https://pbs.twimg.com/profile_images/804342829048799232/k-mFNRdy.jpg","View")</f>
        <v>View</v>
      </c>
      <c r="V369" s="14"/>
      <c r="W369" s="14"/>
      <c r="X369" s="14"/>
      <c r="Y369" s="14"/>
      <c r="Z369" s="14"/>
    </row>
    <row r="370">
      <c r="A370" s="11">
        <v>43847.73994212963</v>
      </c>
      <c r="B370" s="12" t="str">
        <f>HYPERLINK("https://twitter.com/grand_financial","@grand_financial")</f>
        <v>@grand_financial</v>
      </c>
      <c r="C370" s="1" t="s">
        <v>1881</v>
      </c>
      <c r="D370" s="1" t="s">
        <v>1882</v>
      </c>
      <c r="E370" s="12" t="str">
        <f>HYPERLINK("https://twitter.com/grand_financial/status/1218303362719981569","1218303362719981569")</f>
        <v>1218303362719981569</v>
      </c>
      <c r="F370" s="13" t="s">
        <v>1883</v>
      </c>
      <c r="G370" s="13" t="s">
        <v>1884</v>
      </c>
      <c r="H370" s="14"/>
      <c r="I370" s="15">
        <v>0.0</v>
      </c>
      <c r="J370" s="15">
        <v>0.0</v>
      </c>
      <c r="K370" s="12" t="str">
        <f>HYPERLINK("https://missinglettr.com","Missinglettr")</f>
        <v>Missinglettr</v>
      </c>
      <c r="L370" s="16">
        <v>40.0</v>
      </c>
      <c r="M370" s="16">
        <v>157.0</v>
      </c>
      <c r="N370" s="16">
        <v>2.0</v>
      </c>
      <c r="O370" s="17"/>
      <c r="P370" s="18">
        <v>42987.10177083334</v>
      </c>
      <c r="Q370" s="1" t="s">
        <v>1885</v>
      </c>
      <c r="R370" s="14"/>
      <c r="S370" s="14"/>
      <c r="T370" s="14"/>
      <c r="U370" s="19" t="str">
        <f>HYPERLINK("https://pbs.twimg.com/profile_images/910074123484672000/t_HmPC-w.jpg","View")</f>
        <v>View</v>
      </c>
      <c r="V370" s="14"/>
      <c r="W370" s="14"/>
      <c r="X370" s="14"/>
      <c r="Y370" s="14"/>
      <c r="Z370" s="14"/>
    </row>
    <row r="371">
      <c r="A371" s="11">
        <v>43847.73961805555</v>
      </c>
      <c r="B371" s="12" t="str">
        <f>HYPERLINK("https://twitter.com/thestressclinic","@thestressclinic")</f>
        <v>@thestressclinic</v>
      </c>
      <c r="C371" s="1" t="s">
        <v>282</v>
      </c>
      <c r="D371" s="1" t="s">
        <v>1886</v>
      </c>
      <c r="E371" s="12" t="str">
        <f>HYPERLINK("https://twitter.com/thestressclinic/status/1218303246617497600","1218303246617497600")</f>
        <v>1218303246617497600</v>
      </c>
      <c r="F371" s="14"/>
      <c r="G371" s="14"/>
      <c r="H371" s="14"/>
      <c r="I371" s="15">
        <v>0.0</v>
      </c>
      <c r="J371" s="15">
        <v>0.0</v>
      </c>
      <c r="K371" s="12" t="str">
        <f>HYPERLINK("https://www.hootsuite.com","Hootsuite Inc.")</f>
        <v>Hootsuite Inc.</v>
      </c>
      <c r="L371" s="16">
        <v>548.0</v>
      </c>
      <c r="M371" s="16">
        <v>148.0</v>
      </c>
      <c r="N371" s="16">
        <v>21.0</v>
      </c>
      <c r="O371" s="17"/>
      <c r="P371" s="18">
        <v>40837.51666666666</v>
      </c>
      <c r="Q371" s="1" t="s">
        <v>284</v>
      </c>
      <c r="R371" s="1" t="s">
        <v>285</v>
      </c>
      <c r="S371" s="13" t="s">
        <v>286</v>
      </c>
      <c r="T371" s="14"/>
      <c r="U371" s="19" t="str">
        <f>HYPERLINK("https://pbs.twimg.com/profile_images/1786841943/RelaxButton.jpg","View")</f>
        <v>View</v>
      </c>
      <c r="V371" s="14"/>
      <c r="W371" s="14"/>
      <c r="X371" s="14"/>
      <c r="Y371" s="14"/>
      <c r="Z371" s="14"/>
    </row>
    <row r="372">
      <c r="A372" s="11">
        <v>43847.73636574074</v>
      </c>
      <c r="B372" s="12" t="str">
        <f>HYPERLINK("https://twitter.com/DennisRSumlin","@DennisRSumlin")</f>
        <v>@DennisRSumlin</v>
      </c>
      <c r="C372" s="1" t="s">
        <v>1887</v>
      </c>
      <c r="D372" s="1" t="s">
        <v>1888</v>
      </c>
      <c r="E372" s="12" t="str">
        <f>HYPERLINK("https://twitter.com/DennisRSumlin/status/1218302065631539202","1218302065631539202")</f>
        <v>1218302065631539202</v>
      </c>
      <c r="F372" s="14"/>
      <c r="G372" s="14"/>
      <c r="H372" s="14"/>
      <c r="I372" s="15">
        <v>0.0</v>
      </c>
      <c r="J372" s="15">
        <v>0.0</v>
      </c>
      <c r="K372" s="12" t="str">
        <f>HYPERLINK("https://mobile.twitter.com","Mobile Web (M2)")</f>
        <v>Mobile Web (M2)</v>
      </c>
      <c r="L372" s="16">
        <v>819.0</v>
      </c>
      <c r="M372" s="16">
        <v>1638.0</v>
      </c>
      <c r="N372" s="16">
        <v>63.0</v>
      </c>
      <c r="O372" s="17"/>
      <c r="P372" s="18">
        <v>41326.40274305556</v>
      </c>
      <c r="Q372" s="1" t="s">
        <v>921</v>
      </c>
      <c r="R372" s="1" t="s">
        <v>1889</v>
      </c>
      <c r="S372" s="13" t="s">
        <v>1890</v>
      </c>
      <c r="T372" s="14"/>
      <c r="U372" s="19" t="str">
        <f>HYPERLINK("https://pbs.twimg.com/profile_images/506088398893744129/uNPGxVwQ.jpeg","View")</f>
        <v>View</v>
      </c>
      <c r="V372" s="14"/>
      <c r="W372" s="14"/>
      <c r="X372" s="14"/>
      <c r="Y372" s="14"/>
      <c r="Z372" s="14"/>
    </row>
    <row r="373">
      <c r="A373" s="11">
        <v>43847.736238425925</v>
      </c>
      <c r="B373" s="12" t="str">
        <f>HYPERLINK("https://twitter.com/SachinBDMotwani","@SachinBDMotwani")</f>
        <v>@SachinBDMotwani</v>
      </c>
      <c r="C373" s="1" t="s">
        <v>1891</v>
      </c>
      <c r="D373" s="1" t="s">
        <v>1892</v>
      </c>
      <c r="E373" s="12" t="str">
        <f>HYPERLINK("https://twitter.com/SachinBDMotwani/status/1218302022966894593","1218302022966894593")</f>
        <v>1218302022966894593</v>
      </c>
      <c r="F373" s="14"/>
      <c r="G373" s="14"/>
      <c r="H373" s="14"/>
      <c r="I373" s="15">
        <v>0.0</v>
      </c>
      <c r="J373" s="15">
        <v>1.0</v>
      </c>
      <c r="K373" s="12" t="str">
        <f>HYPERLINK("http://twitter.com/download/android","Twitter for Android")</f>
        <v>Twitter for Android</v>
      </c>
      <c r="L373" s="16">
        <v>27.0</v>
      </c>
      <c r="M373" s="16">
        <v>236.0</v>
      </c>
      <c r="N373" s="16">
        <v>0.0</v>
      </c>
      <c r="O373" s="17"/>
      <c r="P373" s="18">
        <v>43211.10125</v>
      </c>
      <c r="Q373" s="14"/>
      <c r="R373" s="1" t="s">
        <v>1893</v>
      </c>
      <c r="S373" s="13" t="s">
        <v>1894</v>
      </c>
      <c r="T373" s="14"/>
      <c r="U373" s="19" t="str">
        <f>HYPERLINK("https://pbs.twimg.com/profile_images/1078544182581571584/SCKEgAdN.jpg","View")</f>
        <v>View</v>
      </c>
      <c r="V373" s="14"/>
      <c r="W373" s="14"/>
      <c r="X373" s="14"/>
      <c r="Y373" s="14"/>
      <c r="Z373" s="14"/>
    </row>
    <row r="374">
      <c r="A374" s="11">
        <v>43847.73296296297</v>
      </c>
      <c r="B374" s="12" t="str">
        <f>HYPERLINK("https://twitter.com/TreitnerS","@TreitnerS")</f>
        <v>@TreitnerS</v>
      </c>
      <c r="C374" s="1" t="s">
        <v>1895</v>
      </c>
      <c r="D374" s="1" t="s">
        <v>1896</v>
      </c>
      <c r="E374" s="12" t="str">
        <f>HYPERLINK("https://twitter.com/TreitnerS/status/1218300832485203968","1218300832485203968")</f>
        <v>1218300832485203968</v>
      </c>
      <c r="F374" s="13" t="s">
        <v>1897</v>
      </c>
      <c r="G374" s="14"/>
      <c r="H374" s="14"/>
      <c r="I374" s="15">
        <v>1.0</v>
      </c>
      <c r="J374" s="15">
        <v>1.0</v>
      </c>
      <c r="K374" s="12" t="str">
        <f>HYPERLINK("http://twitter.com","Twitter Web Client")</f>
        <v>Twitter Web Client</v>
      </c>
      <c r="L374" s="16">
        <v>1952.0</v>
      </c>
      <c r="M374" s="16">
        <v>4960.0</v>
      </c>
      <c r="N374" s="16">
        <v>0.0</v>
      </c>
      <c r="O374" s="17"/>
      <c r="P374" s="18">
        <v>41269.2980787037</v>
      </c>
      <c r="Q374" s="1" t="s">
        <v>1898</v>
      </c>
      <c r="R374" s="1" t="s">
        <v>1899</v>
      </c>
      <c r="S374" s="14"/>
      <c r="T374" s="14"/>
      <c r="U374" s="19" t="str">
        <f>HYPERLINK("https://pbs.twimg.com/profile_images/3024903235/d1e166a7ddf74367a954dea811c9b96e.jpeg","View")</f>
        <v>View</v>
      </c>
      <c r="V374" s="14"/>
      <c r="W374" s="14"/>
      <c r="X374" s="14"/>
      <c r="Y374" s="14"/>
      <c r="Z374" s="14"/>
    </row>
    <row r="375">
      <c r="A375" s="11">
        <v>43847.72851851852</v>
      </c>
      <c r="B375" s="12" t="str">
        <f>HYPERLINK("https://twitter.com/EricMcRoy","@EricMcRoy")</f>
        <v>@EricMcRoy</v>
      </c>
      <c r="C375" s="1" t="s">
        <v>1900</v>
      </c>
      <c r="D375" s="1" t="s">
        <v>1901</v>
      </c>
      <c r="E375" s="12" t="str">
        <f>HYPERLINK("https://twitter.com/EricMcRoy/status/1218299222157557766","1218299222157557766")</f>
        <v>1218299222157557766</v>
      </c>
      <c r="F375" s="13" t="s">
        <v>1902</v>
      </c>
      <c r="G375" s="13" t="s">
        <v>1903</v>
      </c>
      <c r="H375" s="14"/>
      <c r="I375" s="15">
        <v>0.0</v>
      </c>
      <c r="J375" s="15">
        <v>0.0</v>
      </c>
      <c r="K375" s="12" t="str">
        <f t="shared" ref="K375:K376" si="37">HYPERLINK("https://buffer.com","Buffer")</f>
        <v>Buffer</v>
      </c>
      <c r="L375" s="16">
        <v>191.0</v>
      </c>
      <c r="M375" s="16">
        <v>333.0</v>
      </c>
      <c r="N375" s="16">
        <v>278.0</v>
      </c>
      <c r="O375" s="17"/>
      <c r="P375" s="18">
        <v>39764.9684837963</v>
      </c>
      <c r="Q375" s="1" t="s">
        <v>56</v>
      </c>
      <c r="R375" s="1" t="s">
        <v>1904</v>
      </c>
      <c r="S375" s="13" t="s">
        <v>1905</v>
      </c>
      <c r="T375" s="14"/>
      <c r="U375" s="19" t="str">
        <f>HYPERLINK("https://pbs.twimg.com/profile_images/1470121219/image.jpg","View")</f>
        <v>View</v>
      </c>
      <c r="V375" s="14"/>
      <c r="W375" s="14"/>
      <c r="X375" s="14"/>
      <c r="Y375" s="14"/>
      <c r="Z375" s="14"/>
    </row>
    <row r="376">
      <c r="A376" s="11">
        <v>43847.71638888889</v>
      </c>
      <c r="B376" s="12" t="str">
        <f>HYPERLINK("https://twitter.com/markfrisk","@markfrisk")</f>
        <v>@markfrisk</v>
      </c>
      <c r="C376" s="1" t="s">
        <v>1906</v>
      </c>
      <c r="D376" s="1" t="s">
        <v>1907</v>
      </c>
      <c r="E376" s="12" t="str">
        <f>HYPERLINK("https://twitter.com/markfrisk/status/1218294829500837888","1218294829500837888")</f>
        <v>1218294829500837888</v>
      </c>
      <c r="F376" s="13" t="s">
        <v>1908</v>
      </c>
      <c r="G376" s="13" t="s">
        <v>1909</v>
      </c>
      <c r="H376" s="14"/>
      <c r="I376" s="15">
        <v>0.0</v>
      </c>
      <c r="J376" s="15">
        <v>1.0</v>
      </c>
      <c r="K376" s="12" t="str">
        <f t="shared" si="37"/>
        <v>Buffer</v>
      </c>
      <c r="L376" s="16">
        <v>4162.0</v>
      </c>
      <c r="M376" s="16">
        <v>3233.0</v>
      </c>
      <c r="N376" s="16">
        <v>256.0</v>
      </c>
      <c r="O376" s="17"/>
      <c r="P376" s="18">
        <v>39323.47405092593</v>
      </c>
      <c r="Q376" s="1" t="s">
        <v>1910</v>
      </c>
      <c r="R376" s="1" t="s">
        <v>1911</v>
      </c>
      <c r="S376" s="13" t="s">
        <v>1912</v>
      </c>
      <c r="T376" s="14"/>
      <c r="U376" s="19" t="str">
        <f>HYPERLINK("https://pbs.twimg.com/profile_images/776196669473972224/3UnA82kw.jpg","View")</f>
        <v>View</v>
      </c>
      <c r="V376" s="14"/>
      <c r="W376" s="14"/>
      <c r="X376" s="14"/>
      <c r="Y376" s="14"/>
      <c r="Z376" s="14"/>
    </row>
    <row r="377">
      <c r="A377" s="11">
        <v>43847.71045138889</v>
      </c>
      <c r="B377" s="12" t="str">
        <f>HYPERLINK("https://twitter.com/InsightsTS","@InsightsTS")</f>
        <v>@InsightsTS</v>
      </c>
      <c r="C377" s="1" t="s">
        <v>1913</v>
      </c>
      <c r="D377" s="1" t="s">
        <v>1914</v>
      </c>
      <c r="E377" s="12" t="str">
        <f>HYPERLINK("https://twitter.com/InsightsTS/status/1218292676937818112","1218292676937818112")</f>
        <v>1218292676937818112</v>
      </c>
      <c r="F377" s="14"/>
      <c r="G377" s="13" t="s">
        <v>1915</v>
      </c>
      <c r="H377" s="14"/>
      <c r="I377" s="15">
        <v>0.0</v>
      </c>
      <c r="J377" s="15">
        <v>2.0</v>
      </c>
      <c r="K377" s="12" t="str">
        <f>HYPERLINK("https://www.socialreport.com","SocialReport.com")</f>
        <v>SocialReport.com</v>
      </c>
      <c r="L377" s="16">
        <v>122.0</v>
      </c>
      <c r="M377" s="16">
        <v>617.0</v>
      </c>
      <c r="N377" s="16">
        <v>1.0</v>
      </c>
      <c r="O377" s="17"/>
      <c r="P377" s="18">
        <v>41237.42704861111</v>
      </c>
      <c r="Q377" s="1" t="s">
        <v>1916</v>
      </c>
      <c r="R377" s="1" t="s">
        <v>1917</v>
      </c>
      <c r="S377" s="13" t="s">
        <v>1918</v>
      </c>
      <c r="T377" s="14"/>
      <c r="U377" s="19" t="str">
        <f>HYPERLINK("https://pbs.twimg.com/profile_images/895106405379788801/1WwqSgK-.jpg","View")</f>
        <v>View</v>
      </c>
      <c r="V377" s="14"/>
      <c r="W377" s="14"/>
      <c r="X377" s="14"/>
      <c r="Y377" s="14"/>
      <c r="Z377" s="14"/>
    </row>
    <row r="378">
      <c r="A378" s="11">
        <v>43847.70905092593</v>
      </c>
      <c r="B378" s="12" t="str">
        <f>HYPERLINK("https://twitter.com/WomansHospital","@WomansHospital")</f>
        <v>@WomansHospital</v>
      </c>
      <c r="C378" s="1" t="s">
        <v>1919</v>
      </c>
      <c r="D378" s="1" t="s">
        <v>1920</v>
      </c>
      <c r="E378" s="12" t="str">
        <f>HYPERLINK("https://twitter.com/WomansHospital/status/1218292168986693632","1218292168986693632")</f>
        <v>1218292168986693632</v>
      </c>
      <c r="F378" s="13" t="s">
        <v>1921</v>
      </c>
      <c r="G378" s="13" t="s">
        <v>1922</v>
      </c>
      <c r="H378" s="14"/>
      <c r="I378" s="15">
        <v>0.0</v>
      </c>
      <c r="J378" s="15">
        <v>0.0</v>
      </c>
      <c r="K378" s="12" t="str">
        <f>HYPERLINK("https://www.meltwater.com/","Meltwater Social")</f>
        <v>Meltwater Social</v>
      </c>
      <c r="L378" s="16">
        <v>2609.0</v>
      </c>
      <c r="M378" s="16">
        <v>415.0</v>
      </c>
      <c r="N378" s="16">
        <v>74.0</v>
      </c>
      <c r="O378" s="17"/>
      <c r="P378" s="18">
        <v>39854.58267361111</v>
      </c>
      <c r="Q378" s="1" t="s">
        <v>1923</v>
      </c>
      <c r="R378" s="1" t="s">
        <v>1924</v>
      </c>
      <c r="S378" s="13" t="s">
        <v>1925</v>
      </c>
      <c r="T378" s="14"/>
      <c r="U378" s="19" t="str">
        <f>HYPERLINK("https://pbs.twimg.com/profile_images/905525622578880512/1FiZC9_Q.jpg","View")</f>
        <v>View</v>
      </c>
      <c r="V378" s="14"/>
      <c r="W378" s="14"/>
      <c r="X378" s="14"/>
      <c r="Y378" s="14"/>
      <c r="Z378" s="14"/>
    </row>
    <row r="379">
      <c r="A379" s="11">
        <v>43847.70888888889</v>
      </c>
      <c r="B379" s="12" t="str">
        <f>HYPERLINK("https://twitter.com/WomanReadyBlog","@WomanReadyBlog")</f>
        <v>@WomanReadyBlog</v>
      </c>
      <c r="C379" s="1" t="s">
        <v>1926</v>
      </c>
      <c r="D379" s="1" t="s">
        <v>1927</v>
      </c>
      <c r="E379" s="12" t="str">
        <f>HYPERLINK("https://twitter.com/WomanReadyBlog/status/1218292112250359809","1218292112250359809")</f>
        <v>1218292112250359809</v>
      </c>
      <c r="F379" s="13" t="s">
        <v>1928</v>
      </c>
      <c r="G379" s="14"/>
      <c r="H379" s="14"/>
      <c r="I379" s="15">
        <v>0.0</v>
      </c>
      <c r="J379" s="15">
        <v>2.0</v>
      </c>
      <c r="K379" s="12" t="str">
        <f>HYPERLINK("https://www.socialjukebox.com","The Social Jukebox")</f>
        <v>The Social Jukebox</v>
      </c>
      <c r="L379" s="16">
        <v>2380.0</v>
      </c>
      <c r="M379" s="16">
        <v>2931.0</v>
      </c>
      <c r="N379" s="16">
        <v>25.0</v>
      </c>
      <c r="O379" s="17"/>
      <c r="P379" s="18">
        <v>41389.48752314815</v>
      </c>
      <c r="Q379" s="1" t="s">
        <v>303</v>
      </c>
      <c r="R379" s="1" t="s">
        <v>1929</v>
      </c>
      <c r="S379" s="13" t="s">
        <v>1930</v>
      </c>
      <c r="T379" s="14"/>
      <c r="U379" s="19" t="str">
        <f>HYPERLINK("https://pbs.twimg.com/profile_images/1101157585342865408/c0PxgK9P.png","View")</f>
        <v>View</v>
      </c>
      <c r="V379" s="14"/>
      <c r="W379" s="14"/>
      <c r="X379" s="14"/>
      <c r="Y379" s="14"/>
      <c r="Z379" s="14"/>
    </row>
    <row r="380">
      <c r="A380" s="11">
        <v>43847.70857638889</v>
      </c>
      <c r="B380" s="12" t="str">
        <f>HYPERLINK("https://twitter.com/GetInControl","@GetInControl")</f>
        <v>@GetInControl</v>
      </c>
      <c r="C380" s="1" t="s">
        <v>141</v>
      </c>
      <c r="D380" s="1" t="s">
        <v>1931</v>
      </c>
      <c r="E380" s="12" t="str">
        <f>HYPERLINK("https://twitter.com/GetInControl/status/1218291997410283520","1218291997410283520")</f>
        <v>1218291997410283520</v>
      </c>
      <c r="F380" s="14"/>
      <c r="G380" s="14"/>
      <c r="H380" s="14"/>
      <c r="I380" s="15">
        <v>0.0</v>
      </c>
      <c r="J380" s="15">
        <v>2.0</v>
      </c>
      <c r="K380" s="12" t="str">
        <f>HYPERLINK("https://www.hootsuite.com","Hootsuite Inc.")</f>
        <v>Hootsuite Inc.</v>
      </c>
      <c r="L380" s="16">
        <v>22186.0</v>
      </c>
      <c r="M380" s="16">
        <v>21835.0</v>
      </c>
      <c r="N380" s="16">
        <v>445.0</v>
      </c>
      <c r="O380" s="17"/>
      <c r="P380" s="18">
        <v>42227.6969212963</v>
      </c>
      <c r="Q380" s="1" t="s">
        <v>143</v>
      </c>
      <c r="R380" s="1" t="s">
        <v>144</v>
      </c>
      <c r="S380" s="13" t="s">
        <v>145</v>
      </c>
      <c r="T380" s="14"/>
      <c r="U380" s="19" t="str">
        <f>HYPERLINK("https://pbs.twimg.com/profile_images/631206513269325824/kbwx8-DF.png","View")</f>
        <v>View</v>
      </c>
      <c r="V380" s="14"/>
      <c r="W380" s="14"/>
      <c r="X380" s="14"/>
      <c r="Y380" s="14"/>
      <c r="Z380" s="14"/>
    </row>
    <row r="381">
      <c r="A381" s="11">
        <v>43847.7084837963</v>
      </c>
      <c r="B381" s="12" t="str">
        <f>HYPERLINK("https://twitter.com/EACPDS","@EACPDS")</f>
        <v>@EACPDS</v>
      </c>
      <c r="C381" s="1" t="s">
        <v>1932</v>
      </c>
      <c r="D381" s="1" t="s">
        <v>1933</v>
      </c>
      <c r="E381" s="12" t="str">
        <f>HYPERLINK("https://twitter.com/EACPDS/status/1218291962371018752","1218291962371018752")</f>
        <v>1218291962371018752</v>
      </c>
      <c r="F381" s="13" t="s">
        <v>1934</v>
      </c>
      <c r="G381" s="14"/>
      <c r="H381" s="14"/>
      <c r="I381" s="15">
        <v>0.0</v>
      </c>
      <c r="J381" s="15">
        <v>1.0</v>
      </c>
      <c r="K381" s="12" t="str">
        <f>HYPERLINK("https://www.oktopost.com","Oktopost")</f>
        <v>Oktopost</v>
      </c>
      <c r="L381" s="16">
        <v>465.0</v>
      </c>
      <c r="M381" s="16">
        <v>173.0</v>
      </c>
      <c r="N381" s="16">
        <v>53.0</v>
      </c>
      <c r="O381" s="17"/>
      <c r="P381" s="18">
        <v>39926.478726851856</v>
      </c>
      <c r="Q381" s="1" t="s">
        <v>1935</v>
      </c>
      <c r="R381" s="1" t="s">
        <v>1936</v>
      </c>
      <c r="S381" s="13" t="s">
        <v>1937</v>
      </c>
      <c r="T381" s="14"/>
      <c r="U381" s="19" t="str">
        <f>HYPERLINK("https://pbs.twimg.com/profile_images/693093455724048385/_jP5TKaR.png","View")</f>
        <v>View</v>
      </c>
      <c r="V381" s="14"/>
      <c r="W381" s="14"/>
      <c r="X381" s="14"/>
      <c r="Y381" s="14"/>
      <c r="Z381" s="14"/>
    </row>
    <row r="382">
      <c r="A382" s="11">
        <v>43847.708449074074</v>
      </c>
      <c r="B382" s="12" t="str">
        <f>HYPERLINK("https://twitter.com/SoundHealth","@SoundHealth")</f>
        <v>@SoundHealth</v>
      </c>
      <c r="C382" s="1" t="s">
        <v>1938</v>
      </c>
      <c r="D382" s="1" t="s">
        <v>1939</v>
      </c>
      <c r="E382" s="12" t="str">
        <f>HYPERLINK("https://twitter.com/SoundHealth/status/1218291949809127424","1218291949809127424")</f>
        <v>1218291949809127424</v>
      </c>
      <c r="F382" s="13" t="s">
        <v>1940</v>
      </c>
      <c r="G382" s="13" t="s">
        <v>1941</v>
      </c>
      <c r="H382" s="14"/>
      <c r="I382" s="15">
        <v>0.0</v>
      </c>
      <c r="J382" s="15">
        <v>1.0</v>
      </c>
      <c r="K382" s="12" t="str">
        <f>HYPERLINK("https://friendsplus.me","Friends Me")</f>
        <v>Friends Me</v>
      </c>
      <c r="L382" s="16">
        <v>1343.0</v>
      </c>
      <c r="M382" s="16">
        <v>2467.0</v>
      </c>
      <c r="N382" s="16">
        <v>44.0</v>
      </c>
      <c r="O382" s="17"/>
      <c r="P382" s="18">
        <v>39904.4437962963</v>
      </c>
      <c r="Q382" s="1" t="s">
        <v>1942</v>
      </c>
      <c r="R382" s="1" t="s">
        <v>1943</v>
      </c>
      <c r="S382" s="13" t="s">
        <v>1944</v>
      </c>
      <c r="T382" s="14"/>
      <c r="U382" s="19" t="str">
        <f>HYPERLINK("https://pbs.twimg.com/profile_images/527108347502145536/pIUFBpdP.jpeg","View")</f>
        <v>View</v>
      </c>
      <c r="V382" s="14"/>
      <c r="W382" s="14"/>
      <c r="X382" s="14"/>
      <c r="Y382" s="14"/>
      <c r="Z382" s="14"/>
    </row>
    <row r="383">
      <c r="A383" s="11">
        <v>43847.69609953703</v>
      </c>
      <c r="B383" s="12" t="str">
        <f>HYPERLINK("https://twitter.com/the_kotho","@the_kotho")</f>
        <v>@the_kotho</v>
      </c>
      <c r="C383" s="1" t="s">
        <v>1945</v>
      </c>
      <c r="D383" s="1" t="s">
        <v>1946</v>
      </c>
      <c r="E383" s="12" t="str">
        <f>HYPERLINK("https://twitter.com/the_kotho/status/1218287476432953345","1218287476432953345")</f>
        <v>1218287476432953345</v>
      </c>
      <c r="F383" s="14"/>
      <c r="G383" s="13" t="s">
        <v>1947</v>
      </c>
      <c r="H383" s="14"/>
      <c r="I383" s="15">
        <v>0.0</v>
      </c>
      <c r="J383" s="15">
        <v>2.0</v>
      </c>
      <c r="K383" s="12" t="str">
        <f>HYPERLINK("http://twitter.com/download/android","Twitter for Android")</f>
        <v>Twitter for Android</v>
      </c>
      <c r="L383" s="16">
        <v>48.0</v>
      </c>
      <c r="M383" s="16">
        <v>14.0</v>
      </c>
      <c r="N383" s="16">
        <v>0.0</v>
      </c>
      <c r="O383" s="17"/>
      <c r="P383" s="18">
        <v>43811.870844907404</v>
      </c>
      <c r="Q383" s="1" t="s">
        <v>1059</v>
      </c>
      <c r="R383" s="1" t="s">
        <v>1948</v>
      </c>
      <c r="S383" s="13" t="s">
        <v>1949</v>
      </c>
      <c r="T383" s="14"/>
      <c r="U383" s="19" t="str">
        <f>HYPERLINK("https://pbs.twimg.com/profile_images/1205304893029994498/Ap2r6blH.jpg","View")</f>
        <v>View</v>
      </c>
      <c r="V383" s="14"/>
      <c r="W383" s="14"/>
      <c r="X383" s="14"/>
      <c r="Y383" s="14"/>
      <c r="Z383" s="14"/>
    </row>
    <row r="384">
      <c r="A384" s="11">
        <v>43847.69384259259</v>
      </c>
      <c r="B384" s="12" t="str">
        <f>HYPERLINK("https://twitter.com/OceanPatriot9","@OceanPatriot9")</f>
        <v>@OceanPatriot9</v>
      </c>
      <c r="C384" s="1" t="s">
        <v>1950</v>
      </c>
      <c r="D384" s="1" t="s">
        <v>1951</v>
      </c>
      <c r="E384" s="12" t="str">
        <f>HYPERLINK("https://twitter.com/OceanPatriot9/status/1218286655582457856","1218286655582457856")</f>
        <v>1218286655582457856</v>
      </c>
      <c r="F384" s="14"/>
      <c r="G384" s="13" t="s">
        <v>1952</v>
      </c>
      <c r="H384" s="14"/>
      <c r="I384" s="15">
        <v>0.0</v>
      </c>
      <c r="J384" s="15">
        <v>0.0</v>
      </c>
      <c r="K384" s="12" t="str">
        <f>HYPERLINK("https://mobile.twitter.com","Twitter Web App")</f>
        <v>Twitter Web App</v>
      </c>
      <c r="L384" s="16">
        <v>21481.0</v>
      </c>
      <c r="M384" s="16">
        <v>17915.0</v>
      </c>
      <c r="N384" s="16">
        <v>39.0</v>
      </c>
      <c r="O384" s="17"/>
      <c r="P384" s="18">
        <v>42667.516377314816</v>
      </c>
      <c r="Q384" s="1" t="s">
        <v>1953</v>
      </c>
      <c r="R384" s="1" t="s">
        <v>1954</v>
      </c>
      <c r="S384" s="14"/>
      <c r="T384" s="14"/>
      <c r="U384" s="19" t="str">
        <f>HYPERLINK("https://pbs.twimg.com/profile_images/1218596670734098432/6m-QioWI.jpg","View")</f>
        <v>View</v>
      </c>
      <c r="V384" s="14"/>
      <c r="W384" s="14"/>
      <c r="X384" s="14"/>
      <c r="Y384" s="14"/>
      <c r="Z384" s="14"/>
    </row>
    <row r="385">
      <c r="A385" s="11">
        <v>43847.68755787037</v>
      </c>
      <c r="B385" s="12" t="str">
        <f>HYPERLINK("https://twitter.com/suefirthstress","@suefirthstress")</f>
        <v>@suefirthstress</v>
      </c>
      <c r="C385" s="1" t="s">
        <v>1955</v>
      </c>
      <c r="D385" s="1" t="s">
        <v>1956</v>
      </c>
      <c r="E385" s="12" t="str">
        <f>HYPERLINK("https://twitter.com/suefirthstress/status/1218284378360631296","1218284378360631296")</f>
        <v>1218284378360631296</v>
      </c>
      <c r="F385" s="13" t="s">
        <v>1957</v>
      </c>
      <c r="G385" s="14"/>
      <c r="H385" s="14"/>
      <c r="I385" s="15">
        <v>0.0</v>
      </c>
      <c r="J385" s="15">
        <v>0.0</v>
      </c>
      <c r="K385" s="12" t="str">
        <f>HYPERLINK("https://twittimer.com","Twittimer")</f>
        <v>Twittimer</v>
      </c>
      <c r="L385" s="16">
        <v>1177.0</v>
      </c>
      <c r="M385" s="16">
        <v>2092.0</v>
      </c>
      <c r="N385" s="16">
        <v>150.0</v>
      </c>
      <c r="O385" s="17"/>
      <c r="P385" s="18">
        <v>39838.33070601852</v>
      </c>
      <c r="Q385" s="1" t="s">
        <v>1958</v>
      </c>
      <c r="R385" s="1" t="s">
        <v>1959</v>
      </c>
      <c r="S385" s="13" t="s">
        <v>1960</v>
      </c>
      <c r="T385" s="14"/>
      <c r="U385" s="19" t="str">
        <f>HYPERLINK("https://pbs.twimg.com/profile_images/75671563/400_87240010.jpg","View")</f>
        <v>View</v>
      </c>
      <c r="V385" s="14"/>
      <c r="W385" s="14"/>
      <c r="X385" s="14"/>
      <c r="Y385" s="14"/>
      <c r="Z385" s="14"/>
    </row>
    <row r="386">
      <c r="A386" s="11">
        <v>43847.68650462963</v>
      </c>
      <c r="B386" s="12" t="str">
        <f>HYPERLINK("https://twitter.com/MahiraK12128172","@MahiraK12128172")</f>
        <v>@MahiraK12128172</v>
      </c>
      <c r="C386" s="1" t="s">
        <v>1961</v>
      </c>
      <c r="D386" s="1" t="s">
        <v>1962</v>
      </c>
      <c r="E386" s="12" t="str">
        <f>HYPERLINK("https://twitter.com/MahiraK12128172/status/1218284000063709186","1218284000063709186")</f>
        <v>1218284000063709186</v>
      </c>
      <c r="F386" s="14"/>
      <c r="G386" s="14"/>
      <c r="H386" s="14"/>
      <c r="I386" s="15">
        <v>0.0</v>
      </c>
      <c r="J386" s="15">
        <v>0.0</v>
      </c>
      <c r="K386" s="12" t="str">
        <f>HYPERLINK("http://twitter.com/download/android","Twitter for Android")</f>
        <v>Twitter for Android</v>
      </c>
      <c r="L386" s="16">
        <v>7.0</v>
      </c>
      <c r="M386" s="16">
        <v>6.0</v>
      </c>
      <c r="N386" s="16">
        <v>0.0</v>
      </c>
      <c r="O386" s="17"/>
      <c r="P386" s="18">
        <v>43828.45667824074</v>
      </c>
      <c r="Q386" s="14"/>
      <c r="R386" s="1" t="s">
        <v>1963</v>
      </c>
      <c r="S386" s="14"/>
      <c r="T386" s="14"/>
      <c r="U386" s="19" t="str">
        <f>HYPERLINK("https://pbs.twimg.com/profile_images/1215238874550632448/rjhz6sRR.jpg","View")</f>
        <v>View</v>
      </c>
      <c r="V386" s="14"/>
      <c r="W386" s="14"/>
      <c r="X386" s="14"/>
      <c r="Y386" s="14"/>
      <c r="Z386" s="14"/>
    </row>
    <row r="387">
      <c r="A387" s="11">
        <v>43847.68078703704</v>
      </c>
      <c r="B387" s="12" t="str">
        <f>HYPERLINK("https://twitter.com/thecrowdview","@thecrowdview")</f>
        <v>@thecrowdview</v>
      </c>
      <c r="C387" s="1" t="s">
        <v>178</v>
      </c>
      <c r="D387" s="1" t="s">
        <v>1964</v>
      </c>
      <c r="E387" s="12" t="str">
        <f>HYPERLINK("https://twitter.com/thecrowdview/status/1218281926206713856","1218281926206713856")</f>
        <v>1218281926206713856</v>
      </c>
      <c r="F387" s="13" t="s">
        <v>1965</v>
      </c>
      <c r="G387" s="14"/>
      <c r="H387" s="14"/>
      <c r="I387" s="15">
        <v>0.0</v>
      </c>
      <c r="J387" s="15">
        <v>0.0</v>
      </c>
      <c r="K387" s="12" t="str">
        <f>HYPERLINK("http://www.thecrowdview.com","thecrowdview")</f>
        <v>thecrowdview</v>
      </c>
      <c r="L387" s="16">
        <v>4272.0</v>
      </c>
      <c r="M387" s="16">
        <v>1051.0</v>
      </c>
      <c r="N387" s="16">
        <v>126.0</v>
      </c>
      <c r="O387" s="17"/>
      <c r="P387" s="18">
        <v>41470.69158564815</v>
      </c>
      <c r="Q387" s="14"/>
      <c r="R387" s="1" t="s">
        <v>181</v>
      </c>
      <c r="S387" s="14"/>
      <c r="T387" s="14"/>
      <c r="U387" s="19" t="str">
        <f>HYPERLINK("https://pbs.twimg.com/profile_images/923017387221270529/WH_TgSUD.jpg","View")</f>
        <v>View</v>
      </c>
      <c r="V387" s="14"/>
      <c r="W387" s="14"/>
      <c r="X387" s="14"/>
      <c r="Y387" s="14"/>
      <c r="Z387" s="14"/>
    </row>
    <row r="388">
      <c r="A388" s="11">
        <v>43847.67915509259</v>
      </c>
      <c r="B388" s="12" t="str">
        <f>HYPERLINK("https://twitter.com/Healthytarian","@Healthytarian")</f>
        <v>@Healthytarian</v>
      </c>
      <c r="C388" s="1" t="s">
        <v>1966</v>
      </c>
      <c r="D388" s="1" t="s">
        <v>1967</v>
      </c>
      <c r="E388" s="12" t="str">
        <f>HYPERLINK("https://twitter.com/Healthytarian/status/1218281336491905024","1218281336491905024")</f>
        <v>1218281336491905024</v>
      </c>
      <c r="F388" s="13" t="s">
        <v>1968</v>
      </c>
      <c r="G388" s="14"/>
      <c r="H388" s="14"/>
      <c r="I388" s="15">
        <v>0.0</v>
      </c>
      <c r="J388" s="15">
        <v>2.0</v>
      </c>
      <c r="K388" s="12" t="str">
        <f>HYPERLINK("https://about.twitter.com/products/tweetdeck","TweetDeck")</f>
        <v>TweetDeck</v>
      </c>
      <c r="L388" s="16">
        <v>1119.0</v>
      </c>
      <c r="M388" s="16">
        <v>613.0</v>
      </c>
      <c r="N388" s="16">
        <v>118.0</v>
      </c>
      <c r="O388" s="17"/>
      <c r="P388" s="18">
        <v>40922.78337962963</v>
      </c>
      <c r="Q388" s="1" t="s">
        <v>1969</v>
      </c>
      <c r="R388" s="1" t="s">
        <v>1970</v>
      </c>
      <c r="S388" s="13" t="s">
        <v>1971</v>
      </c>
      <c r="T388" s="14"/>
      <c r="U388" s="19" t="str">
        <f>HYPERLINK("https://pbs.twimg.com/profile_images/692460512227930112/VbpB2Pi2.png","View")</f>
        <v>View</v>
      </c>
      <c r="V388" s="14"/>
      <c r="W388" s="14"/>
      <c r="X388" s="14"/>
      <c r="Y388" s="14"/>
      <c r="Z388" s="14"/>
    </row>
    <row r="389">
      <c r="A389" s="11">
        <v>43847.6775462963</v>
      </c>
      <c r="B389" s="12" t="str">
        <f>HYPERLINK("https://twitter.com/DHWDenver","@DHWDenver")</f>
        <v>@DHWDenver</v>
      </c>
      <c r="C389" s="1" t="s">
        <v>1972</v>
      </c>
      <c r="D389" s="1" t="s">
        <v>1973</v>
      </c>
      <c r="E389" s="12" t="str">
        <f>HYPERLINK("https://twitter.com/DHWDenver/status/1218280751189258240","1218280751189258240")</f>
        <v>1218280751189258240</v>
      </c>
      <c r="F389" s="14"/>
      <c r="G389" s="13" t="s">
        <v>1974</v>
      </c>
      <c r="H389" s="14"/>
      <c r="I389" s="15">
        <v>0.0</v>
      </c>
      <c r="J389" s="15">
        <v>8.0</v>
      </c>
      <c r="K389" s="12" t="str">
        <f t="shared" ref="K389:K391" si="38">HYPERLINK("https://mobile.twitter.com","Twitter Web App")</f>
        <v>Twitter Web App</v>
      </c>
      <c r="L389" s="16">
        <v>73.0</v>
      </c>
      <c r="M389" s="16">
        <v>136.0</v>
      </c>
      <c r="N389" s="16">
        <v>0.0</v>
      </c>
      <c r="O389" s="17"/>
      <c r="P389" s="18">
        <v>42990.295578703706</v>
      </c>
      <c r="Q389" s="1" t="s">
        <v>1975</v>
      </c>
      <c r="R389" s="1" t="s">
        <v>1976</v>
      </c>
      <c r="S389" s="13" t="s">
        <v>1977</v>
      </c>
      <c r="T389" s="14"/>
      <c r="U389" s="19" t="str">
        <f>HYPERLINK("https://pbs.twimg.com/profile_images/907563207702626304/1bjOgCWs.jpg","View")</f>
        <v>View</v>
      </c>
      <c r="V389" s="14"/>
      <c r="W389" s="14"/>
      <c r="X389" s="14"/>
      <c r="Y389" s="14"/>
      <c r="Z389" s="14"/>
    </row>
    <row r="390">
      <c r="A390" s="11">
        <v>43847.67585648148</v>
      </c>
      <c r="B390" s="12" t="str">
        <f>HYPERLINK("https://twitter.com/DHWBroomfield","@DHWBroomfield")</f>
        <v>@DHWBroomfield</v>
      </c>
      <c r="C390" s="1" t="s">
        <v>1978</v>
      </c>
      <c r="D390" s="1" t="s">
        <v>1979</v>
      </c>
      <c r="E390" s="12" t="str">
        <f>HYPERLINK("https://twitter.com/DHWBroomfield/status/1218280138409795584","1218280138409795584")</f>
        <v>1218280138409795584</v>
      </c>
      <c r="F390" s="14"/>
      <c r="G390" s="13" t="s">
        <v>1980</v>
      </c>
      <c r="H390" s="14"/>
      <c r="I390" s="15">
        <v>0.0</v>
      </c>
      <c r="J390" s="15">
        <v>9.0</v>
      </c>
      <c r="K390" s="12" t="str">
        <f t="shared" si="38"/>
        <v>Twitter Web App</v>
      </c>
      <c r="L390" s="16">
        <v>73.0</v>
      </c>
      <c r="M390" s="16">
        <v>143.0</v>
      </c>
      <c r="N390" s="16">
        <v>0.0</v>
      </c>
      <c r="O390" s="17"/>
      <c r="P390" s="18">
        <v>43056.404965277776</v>
      </c>
      <c r="Q390" s="1" t="s">
        <v>1981</v>
      </c>
      <c r="R390" s="1" t="s">
        <v>1982</v>
      </c>
      <c r="S390" s="13" t="s">
        <v>1983</v>
      </c>
      <c r="T390" s="14"/>
      <c r="U390" s="19" t="str">
        <f>HYPERLINK("https://pbs.twimg.com/profile_images/1128720512744476672/1qbnwYQG.png","View")</f>
        <v>View</v>
      </c>
      <c r="V390" s="14"/>
      <c r="W390" s="14"/>
      <c r="X390" s="14"/>
      <c r="Y390" s="14"/>
      <c r="Z390" s="14"/>
    </row>
    <row r="391">
      <c r="A391" s="11">
        <v>43847.6715625</v>
      </c>
      <c r="B391" s="12" t="str">
        <f>HYPERLINK("https://twitter.com/naturalhealthbl","@naturalhealthbl")</f>
        <v>@naturalhealthbl</v>
      </c>
      <c r="C391" s="1" t="s">
        <v>259</v>
      </c>
      <c r="D391" s="1" t="s">
        <v>1984</v>
      </c>
      <c r="E391" s="12" t="str">
        <f>HYPERLINK("https://twitter.com/naturalhealthbl/status/1218278581857669136","1218278581857669136")</f>
        <v>1218278581857669136</v>
      </c>
      <c r="F391" s="13" t="s">
        <v>1985</v>
      </c>
      <c r="G391" s="14"/>
      <c r="H391" s="14"/>
      <c r="I391" s="15">
        <v>0.0</v>
      </c>
      <c r="J391" s="15">
        <v>0.0</v>
      </c>
      <c r="K391" s="12" t="str">
        <f t="shared" si="38"/>
        <v>Twitter Web App</v>
      </c>
      <c r="L391" s="16">
        <v>1793.0</v>
      </c>
      <c r="M391" s="16">
        <v>1569.0</v>
      </c>
      <c r="N391" s="16">
        <v>180.0</v>
      </c>
      <c r="O391" s="17"/>
      <c r="P391" s="18">
        <v>41475.38408564815</v>
      </c>
      <c r="Q391" s="1" t="s">
        <v>263</v>
      </c>
      <c r="R391" s="1" t="s">
        <v>264</v>
      </c>
      <c r="S391" s="13" t="s">
        <v>265</v>
      </c>
      <c r="T391" s="14"/>
      <c r="U391" s="19" t="str">
        <f>HYPERLINK("https://pbs.twimg.com/profile_images/1217967343135023105/rnonJTby.jpg","View")</f>
        <v>View</v>
      </c>
      <c r="V391" s="14"/>
      <c r="W391" s="14"/>
      <c r="X391" s="14"/>
      <c r="Y391" s="14"/>
      <c r="Z391" s="14"/>
    </row>
    <row r="392">
      <c r="A392" s="11">
        <v>43847.67122685185</v>
      </c>
      <c r="B392" s="12" t="str">
        <f>HYPERLINK("https://twitter.com/DrJimBright","@DrJimBright")</f>
        <v>@DrJimBright</v>
      </c>
      <c r="C392" s="1" t="s">
        <v>1986</v>
      </c>
      <c r="D392" s="1" t="s">
        <v>1987</v>
      </c>
      <c r="E392" s="12" t="str">
        <f>HYPERLINK("https://twitter.com/DrJimBright/status/1218278462437412865","1218278462437412865")</f>
        <v>1218278462437412865</v>
      </c>
      <c r="F392" s="13" t="s">
        <v>1988</v>
      </c>
      <c r="G392" s="14"/>
      <c r="H392" s="14"/>
      <c r="I392" s="15">
        <v>3.0</v>
      </c>
      <c r="J392" s="15">
        <v>2.0</v>
      </c>
      <c r="K392" s="12" t="str">
        <f>HYPERLINK("http://www.linkedin.com/","LinkedIn")</f>
        <v>LinkedIn</v>
      </c>
      <c r="L392" s="16">
        <v>2829.0</v>
      </c>
      <c r="M392" s="16">
        <v>537.0</v>
      </c>
      <c r="N392" s="16">
        <v>124.0</v>
      </c>
      <c r="O392" s="17"/>
      <c r="P392" s="18">
        <v>39974.84553240741</v>
      </c>
      <c r="Q392" s="1" t="s">
        <v>33</v>
      </c>
      <c r="R392" s="1" t="s">
        <v>1989</v>
      </c>
      <c r="S392" s="13" t="s">
        <v>1990</v>
      </c>
      <c r="T392" s="14"/>
      <c r="U392" s="19" t="str">
        <f>HYPERLINK("https://pbs.twimg.com/profile_images/871321650154700800/pae-JSdN.jpg","View")</f>
        <v>View</v>
      </c>
      <c r="V392" s="14"/>
      <c r="W392" s="14"/>
      <c r="X392" s="14"/>
      <c r="Y392" s="14"/>
      <c r="Z392" s="14"/>
    </row>
    <row r="393">
      <c r="A393" s="11">
        <v>43847.67049768519</v>
      </c>
      <c r="B393" s="12" t="str">
        <f>HYPERLINK("https://twitter.com/renascencemusic","@renascencemusic")</f>
        <v>@renascencemusic</v>
      </c>
      <c r="C393" s="1" t="s">
        <v>247</v>
      </c>
      <c r="D393" s="1" t="s">
        <v>1991</v>
      </c>
      <c r="E393" s="12" t="str">
        <f>HYPERLINK("https://twitter.com/renascencemusic/status/1218278195860004865","1218278195860004865")</f>
        <v>1218278195860004865</v>
      </c>
      <c r="F393" s="13" t="s">
        <v>1992</v>
      </c>
      <c r="G393" s="13" t="s">
        <v>1993</v>
      </c>
      <c r="H393" s="14"/>
      <c r="I393" s="15">
        <v>0.0</v>
      </c>
      <c r="J393" s="15">
        <v>0.0</v>
      </c>
      <c r="K393" s="12" t="str">
        <f>HYPERLINK("https://www.socialoomph.com","SocialOomph")</f>
        <v>SocialOomph</v>
      </c>
      <c r="L393" s="16">
        <v>13031.0</v>
      </c>
      <c r="M393" s="16">
        <v>11650.0</v>
      </c>
      <c r="N393" s="16">
        <v>219.0</v>
      </c>
      <c r="O393" s="17"/>
      <c r="P393" s="18">
        <v>42470.67052083333</v>
      </c>
      <c r="Q393" s="1" t="s">
        <v>251</v>
      </c>
      <c r="R393" s="1" t="s">
        <v>252</v>
      </c>
      <c r="S393" s="13" t="s">
        <v>253</v>
      </c>
      <c r="T393" s="14"/>
      <c r="U393" s="19" t="str">
        <f>HYPERLINK("https://pbs.twimg.com/profile_images/1123407512743612416/g721ra2J.png","View")</f>
        <v>View</v>
      </c>
      <c r="V393" s="14"/>
      <c r="W393" s="14"/>
      <c r="X393" s="14"/>
      <c r="Y393" s="14"/>
      <c r="Z393" s="14"/>
    </row>
    <row r="394">
      <c r="A394" s="11">
        <v>43847.66945601851</v>
      </c>
      <c r="B394" s="12" t="str">
        <f>HYPERLINK("https://twitter.com/WEworkplace","@WEworkplace")</f>
        <v>@WEworkplace</v>
      </c>
      <c r="C394" s="1" t="s">
        <v>1994</v>
      </c>
      <c r="D394" s="1" t="s">
        <v>1995</v>
      </c>
      <c r="E394" s="12" t="str">
        <f>HYPERLINK("https://twitter.com/WEworkplace/status/1218277818506907649","1218277818506907649")</f>
        <v>1218277818506907649</v>
      </c>
      <c r="F394" s="13" t="s">
        <v>1996</v>
      </c>
      <c r="G394" s="14"/>
      <c r="H394" s="14"/>
      <c r="I394" s="15">
        <v>0.0</v>
      </c>
      <c r="J394" s="15">
        <v>0.0</v>
      </c>
      <c r="K394" s="12" t="str">
        <f>HYPERLINK("https://sproutsocial.com","Sprout Social")</f>
        <v>Sprout Social</v>
      </c>
      <c r="L394" s="16">
        <v>2107.0</v>
      </c>
      <c r="M394" s="16">
        <v>1168.0</v>
      </c>
      <c r="N394" s="16">
        <v>81.0</v>
      </c>
      <c r="O394" s="17"/>
      <c r="P394" s="18">
        <v>41332.50011574074</v>
      </c>
      <c r="Q394" s="1" t="s">
        <v>1997</v>
      </c>
      <c r="R394" s="1" t="s">
        <v>1998</v>
      </c>
      <c r="S394" s="13" t="s">
        <v>1999</v>
      </c>
      <c r="T394" s="14"/>
      <c r="U394" s="19" t="str">
        <f>HYPERLINK("https://pbs.twimg.com/profile_images/1141133148706635777/Gl3hsEGH.png","View")</f>
        <v>View</v>
      </c>
      <c r="V394" s="14"/>
      <c r="W394" s="14"/>
      <c r="X394" s="14"/>
      <c r="Y394" s="14"/>
      <c r="Z394" s="14"/>
    </row>
    <row r="395">
      <c r="A395" s="11">
        <v>43847.669328703705</v>
      </c>
      <c r="B395" s="12" t="str">
        <f>HYPERLINK("https://twitter.com/NWPRUTeacher","@NWPRUTeacher")</f>
        <v>@NWPRUTeacher</v>
      </c>
      <c r="C395" s="1" t="s">
        <v>2000</v>
      </c>
      <c r="D395" s="1" t="s">
        <v>2001</v>
      </c>
      <c r="E395" s="12" t="str">
        <f>HYPERLINK("https://twitter.com/NWPRUTeacher/status/1218277775011930113","1218277775011930113")</f>
        <v>1218277775011930113</v>
      </c>
      <c r="F395" s="14"/>
      <c r="G395" s="14"/>
      <c r="H395" s="14"/>
      <c r="I395" s="15">
        <v>0.0</v>
      </c>
      <c r="J395" s="15">
        <v>16.0</v>
      </c>
      <c r="K395" s="12" t="str">
        <f>HYPERLINK("http://twitter.com/download/iphone","Twitter for iPhone")</f>
        <v>Twitter for iPhone</v>
      </c>
      <c r="L395" s="16">
        <v>1852.0</v>
      </c>
      <c r="M395" s="16">
        <v>1901.0</v>
      </c>
      <c r="N395" s="16">
        <v>28.0</v>
      </c>
      <c r="O395" s="17"/>
      <c r="P395" s="18">
        <v>39919.58353009259</v>
      </c>
      <c r="Q395" s="1" t="s">
        <v>2002</v>
      </c>
      <c r="R395" s="1" t="s">
        <v>2003</v>
      </c>
      <c r="S395" s="14"/>
      <c r="T395" s="14"/>
      <c r="U395" s="19" t="str">
        <f>HYPERLINK("https://pbs.twimg.com/profile_images/1190771239939387397/pO-QSJbQ.jpg","View")</f>
        <v>View</v>
      </c>
      <c r="V395" s="14"/>
      <c r="W395" s="14"/>
      <c r="X395" s="14"/>
      <c r="Y395" s="14"/>
      <c r="Z395" s="14"/>
    </row>
    <row r="396">
      <c r="A396" s="11">
        <v>43847.66769675926</v>
      </c>
      <c r="B396" s="12" t="str">
        <f>HYPERLINK("https://twitter.com/staysure","@staysure")</f>
        <v>@staysure</v>
      </c>
      <c r="C396" s="1" t="s">
        <v>2004</v>
      </c>
      <c r="D396" s="1" t="s">
        <v>2005</v>
      </c>
      <c r="E396" s="12" t="str">
        <f>HYPERLINK("https://twitter.com/staysure/status/1218277181211783169","1218277181211783169")</f>
        <v>1218277181211783169</v>
      </c>
      <c r="F396" s="13" t="s">
        <v>2006</v>
      </c>
      <c r="G396" s="13" t="s">
        <v>2007</v>
      </c>
      <c r="H396" s="14"/>
      <c r="I396" s="15">
        <v>0.0</v>
      </c>
      <c r="J396" s="15">
        <v>0.0</v>
      </c>
      <c r="K396" s="12" t="str">
        <f t="shared" ref="K396:K398" si="39">HYPERLINK("https://www.hootsuite.com","Hootsuite Inc.")</f>
        <v>Hootsuite Inc.</v>
      </c>
      <c r="L396" s="16">
        <v>8399.0</v>
      </c>
      <c r="M396" s="16">
        <v>1214.0</v>
      </c>
      <c r="N396" s="16">
        <v>301.0</v>
      </c>
      <c r="O396" s="17"/>
      <c r="P396" s="18">
        <v>39839.22292824074</v>
      </c>
      <c r="Q396" s="1" t="s">
        <v>2008</v>
      </c>
      <c r="R396" s="1" t="s">
        <v>2009</v>
      </c>
      <c r="S396" s="13" t="s">
        <v>2010</v>
      </c>
      <c r="T396" s="14"/>
      <c r="U396" s="19" t="str">
        <f>HYPERLINK("https://pbs.twimg.com/profile_images/993885476481372160/PhyM_0WO.jpg","View")</f>
        <v>View</v>
      </c>
      <c r="V396" s="14"/>
      <c r="W396" s="14"/>
      <c r="X396" s="14"/>
      <c r="Y396" s="14"/>
      <c r="Z396" s="14"/>
    </row>
    <row r="397">
      <c r="A397" s="11">
        <v>43847.66767361111</v>
      </c>
      <c r="B397" s="12" t="str">
        <f>HYPERLINK("https://twitter.com/DMentalHProject","@DMentalHProject")</f>
        <v>@DMentalHProject</v>
      </c>
      <c r="C397" s="1" t="s">
        <v>2011</v>
      </c>
      <c r="D397" s="1" t="s">
        <v>2012</v>
      </c>
      <c r="E397" s="12" t="str">
        <f>HYPERLINK("https://twitter.com/DMentalHProject/status/1218277173473218560","1218277173473218560")</f>
        <v>1218277173473218560</v>
      </c>
      <c r="F397" s="13" t="s">
        <v>2013</v>
      </c>
      <c r="G397" s="13" t="s">
        <v>2014</v>
      </c>
      <c r="H397" s="14"/>
      <c r="I397" s="15">
        <v>0.0</v>
      </c>
      <c r="J397" s="15">
        <v>0.0</v>
      </c>
      <c r="K397" s="12" t="str">
        <f t="shared" si="39"/>
        <v>Hootsuite Inc.</v>
      </c>
      <c r="L397" s="16">
        <v>169.0</v>
      </c>
      <c r="M397" s="16">
        <v>166.0</v>
      </c>
      <c r="N397" s="16">
        <v>1.0</v>
      </c>
      <c r="O397" s="17"/>
      <c r="P397" s="18">
        <v>43012.106192129635</v>
      </c>
      <c r="Q397" s="1" t="s">
        <v>2015</v>
      </c>
      <c r="R397" s="1" t="s">
        <v>2016</v>
      </c>
      <c r="S397" s="13" t="s">
        <v>2017</v>
      </c>
      <c r="T397" s="14"/>
      <c r="U397" s="19" t="str">
        <f>HYPERLINK("https://pbs.twimg.com/profile_images/915466744130502656/eFZjnzYG.jpg","View")</f>
        <v>View</v>
      </c>
      <c r="V397" s="14"/>
      <c r="W397" s="14"/>
      <c r="X397" s="14"/>
      <c r="Y397" s="14"/>
      <c r="Z397" s="14"/>
    </row>
    <row r="398">
      <c r="A398" s="11">
        <v>43847.66748842593</v>
      </c>
      <c r="B398" s="12" t="str">
        <f>HYPERLINK("https://twitter.com/cadelarge","@cadelarge")</f>
        <v>@cadelarge</v>
      </c>
      <c r="C398" s="1" t="s">
        <v>2018</v>
      </c>
      <c r="D398" s="1" t="s">
        <v>2012</v>
      </c>
      <c r="E398" s="12" t="str">
        <f>HYPERLINK("https://twitter.com/cadelarge/status/1218277106850893825","1218277106850893825")</f>
        <v>1218277106850893825</v>
      </c>
      <c r="F398" s="13" t="s">
        <v>2013</v>
      </c>
      <c r="G398" s="13" t="s">
        <v>2019</v>
      </c>
      <c r="H398" s="14"/>
      <c r="I398" s="15">
        <v>0.0</v>
      </c>
      <c r="J398" s="15">
        <v>1.0</v>
      </c>
      <c r="K398" s="12" t="str">
        <f t="shared" si="39"/>
        <v>Hootsuite Inc.</v>
      </c>
      <c r="L398" s="16">
        <v>3780.0</v>
      </c>
      <c r="M398" s="16">
        <v>2721.0</v>
      </c>
      <c r="N398" s="16">
        <v>313.0</v>
      </c>
      <c r="O398" s="17"/>
      <c r="P398" s="18">
        <v>39617.287256944444</v>
      </c>
      <c r="Q398" s="1" t="s">
        <v>2020</v>
      </c>
      <c r="R398" s="1" t="s">
        <v>2021</v>
      </c>
      <c r="S398" s="13" t="s">
        <v>2022</v>
      </c>
      <c r="T398" s="14"/>
      <c r="U398" s="19" t="str">
        <f>HYPERLINK("https://pbs.twimg.com/profile_images/836877081539710976/3Cj1Bq6I.jpg","View")</f>
        <v>View</v>
      </c>
      <c r="V398" s="14"/>
      <c r="W398" s="14"/>
      <c r="X398" s="14"/>
      <c r="Y398" s="14"/>
      <c r="Z398" s="14"/>
    </row>
    <row r="399">
      <c r="A399" s="11">
        <v>43847.66740740741</v>
      </c>
      <c r="B399" s="12" t="str">
        <f>HYPERLINK("https://twitter.com/TeenaEvert","@TeenaEvert")</f>
        <v>@TeenaEvert</v>
      </c>
      <c r="C399" s="1" t="s">
        <v>2023</v>
      </c>
      <c r="D399" s="1" t="s">
        <v>2024</v>
      </c>
      <c r="E399" s="12" t="str">
        <f>HYPERLINK("https://twitter.com/TeenaEvert/status/1218277077574651904","1218277077574651904")</f>
        <v>1218277077574651904</v>
      </c>
      <c r="F399" s="13" t="s">
        <v>2025</v>
      </c>
      <c r="G399" s="13" t="s">
        <v>2026</v>
      </c>
      <c r="H399" s="14"/>
      <c r="I399" s="15">
        <v>0.0</v>
      </c>
      <c r="J399" s="15">
        <v>0.0</v>
      </c>
      <c r="K399" s="12" t="str">
        <f>HYPERLINK("https://smarterqueue.com","SmarterQueue")</f>
        <v>SmarterQueue</v>
      </c>
      <c r="L399" s="16">
        <v>1798.0</v>
      </c>
      <c r="M399" s="16">
        <v>2010.0</v>
      </c>
      <c r="N399" s="16">
        <v>38.0</v>
      </c>
      <c r="O399" s="17"/>
      <c r="P399" s="18">
        <v>40651.90106481481</v>
      </c>
      <c r="Q399" s="1" t="s">
        <v>1975</v>
      </c>
      <c r="R399" s="1" t="s">
        <v>2027</v>
      </c>
      <c r="S399" s="13" t="s">
        <v>2028</v>
      </c>
      <c r="T399" s="14"/>
      <c r="U399" s="19" t="str">
        <f>HYPERLINK("https://pbs.twimg.com/profile_images/1115448887961985030/cyzqNAVs.png","View")</f>
        <v>View</v>
      </c>
      <c r="V399" s="14"/>
      <c r="W399" s="14"/>
      <c r="X399" s="14"/>
      <c r="Y399" s="14"/>
      <c r="Z399" s="14"/>
    </row>
    <row r="400">
      <c r="A400" s="11">
        <v>43847.66736111111</v>
      </c>
      <c r="B400" s="12" t="str">
        <f>HYPERLINK("https://twitter.com/ALCOSales","@ALCOSales")</f>
        <v>@ALCOSales</v>
      </c>
      <c r="C400" s="1" t="s">
        <v>2029</v>
      </c>
      <c r="D400" s="1" t="s">
        <v>2030</v>
      </c>
      <c r="E400" s="12" t="str">
        <f>HYPERLINK("https://twitter.com/ALCOSales/status/1218277059815931908","1218277059815931908")</f>
        <v>1218277059815931908</v>
      </c>
      <c r="F400" s="13" t="s">
        <v>2031</v>
      </c>
      <c r="G400" s="14"/>
      <c r="H400" s="14"/>
      <c r="I400" s="15">
        <v>0.0</v>
      </c>
      <c r="J400" s="15">
        <v>0.0</v>
      </c>
      <c r="K400" s="12" t="str">
        <f t="shared" ref="K400:K401" si="40">HYPERLINK("https://www.hootsuite.com","Hootsuite Inc.")</f>
        <v>Hootsuite Inc.</v>
      </c>
      <c r="L400" s="16">
        <v>911.0</v>
      </c>
      <c r="M400" s="16">
        <v>1110.0</v>
      </c>
      <c r="N400" s="16">
        <v>88.0</v>
      </c>
      <c r="O400" s="17"/>
      <c r="P400" s="18">
        <v>40716.65993055556</v>
      </c>
      <c r="Q400" s="1" t="s">
        <v>2032</v>
      </c>
      <c r="R400" s="1" t="s">
        <v>2033</v>
      </c>
      <c r="S400" s="13" t="s">
        <v>2034</v>
      </c>
      <c r="T400" s="14"/>
      <c r="U400" s="19" t="str">
        <f>HYPERLINK("https://pbs.twimg.com/profile_images/458693724256477184/3VA3Zupp.jpeg","View")</f>
        <v>View</v>
      </c>
      <c r="V400" s="14"/>
      <c r="W400" s="14"/>
      <c r="X400" s="14"/>
      <c r="Y400" s="14"/>
      <c r="Z400" s="14"/>
    </row>
    <row r="401">
      <c r="A401" s="11">
        <v>43847.66704861111</v>
      </c>
      <c r="B401" s="12" t="str">
        <f>HYPERLINK("https://twitter.com/murraymarisa","@murraymarisa")</f>
        <v>@murraymarisa</v>
      </c>
      <c r="C401" s="1" t="s">
        <v>2035</v>
      </c>
      <c r="D401" s="1" t="s">
        <v>2036</v>
      </c>
      <c r="E401" s="12" t="str">
        <f>HYPERLINK("https://twitter.com/murraymarisa/status/1218276946011992064","1218276946011992064")</f>
        <v>1218276946011992064</v>
      </c>
      <c r="F401" s="13" t="s">
        <v>2037</v>
      </c>
      <c r="G401" s="13" t="s">
        <v>2038</v>
      </c>
      <c r="H401" s="14"/>
      <c r="I401" s="15">
        <v>2.0</v>
      </c>
      <c r="J401" s="15">
        <v>2.0</v>
      </c>
      <c r="K401" s="12" t="str">
        <f t="shared" si="40"/>
        <v>Hootsuite Inc.</v>
      </c>
      <c r="L401" s="16">
        <v>114.0</v>
      </c>
      <c r="M401" s="16">
        <v>332.0</v>
      </c>
      <c r="N401" s="16">
        <v>1.0</v>
      </c>
      <c r="O401" s="17"/>
      <c r="P401" s="18">
        <v>39892.527916666666</v>
      </c>
      <c r="Q401" s="14"/>
      <c r="R401" s="14"/>
      <c r="S401" s="14"/>
      <c r="T401" s="14"/>
      <c r="U401" s="19" t="str">
        <f>HYPERLINK("https://pbs.twimg.com/profile_images/657303956553494528/gowqYgg8.jpg","View")</f>
        <v>View</v>
      </c>
      <c r="V401" s="14"/>
      <c r="W401" s="14"/>
      <c r="X401" s="14"/>
      <c r="Y401" s="14"/>
      <c r="Z401" s="14"/>
    </row>
    <row r="402">
      <c r="A402" s="11">
        <v>43847.666967592595</v>
      </c>
      <c r="B402" s="12" t="str">
        <f>HYPERLINK("https://twitter.com/Meyer13Randy","@Meyer13Randy")</f>
        <v>@Meyer13Randy</v>
      </c>
      <c r="C402" s="1" t="s">
        <v>2039</v>
      </c>
      <c r="D402" s="1" t="s">
        <v>2040</v>
      </c>
      <c r="E402" s="12" t="str">
        <f>HYPERLINK("https://twitter.com/Meyer13Randy/status/1218276919000461313","1218276919000461313")</f>
        <v>1218276919000461313</v>
      </c>
      <c r="F402" s="14"/>
      <c r="G402" s="13" t="s">
        <v>2041</v>
      </c>
      <c r="H402" s="14"/>
      <c r="I402" s="15">
        <v>0.0</v>
      </c>
      <c r="J402" s="15">
        <v>0.0</v>
      </c>
      <c r="K402" s="12" t="str">
        <f>HYPERLINK("http://twitter.com/download/android","Twitter for Android")</f>
        <v>Twitter for Android</v>
      </c>
      <c r="L402" s="16">
        <v>3.0</v>
      </c>
      <c r="M402" s="16">
        <v>41.0</v>
      </c>
      <c r="N402" s="16">
        <v>0.0</v>
      </c>
      <c r="O402" s="17"/>
      <c r="P402" s="18">
        <v>41312.70101851852</v>
      </c>
      <c r="Q402" s="1" t="s">
        <v>2042</v>
      </c>
      <c r="R402" s="14"/>
      <c r="S402" s="14"/>
      <c r="T402" s="14"/>
      <c r="U402" s="19" t="str">
        <f>HYPERLINK("https://pbs.twimg.com/profile_images/1194079133082554368/uImmUwZa.jpg","View")</f>
        <v>View</v>
      </c>
      <c r="V402" s="14"/>
      <c r="W402" s="14"/>
      <c r="X402" s="14"/>
      <c r="Y402" s="14"/>
      <c r="Z402" s="14"/>
    </row>
    <row r="403">
      <c r="A403" s="11">
        <v>43847.66673611111</v>
      </c>
      <c r="B403" s="12" t="str">
        <f>HYPERLINK("https://twitter.com/PortlandClinic","@PortlandClinic")</f>
        <v>@PortlandClinic</v>
      </c>
      <c r="C403" s="1" t="s">
        <v>2043</v>
      </c>
      <c r="D403" s="1" t="s">
        <v>2044</v>
      </c>
      <c r="E403" s="12" t="str">
        <f>HYPERLINK("https://twitter.com/PortlandClinic/status/1218276833310932992","1218276833310932992")</f>
        <v>1218276833310932992</v>
      </c>
      <c r="F403" s="13" t="s">
        <v>2045</v>
      </c>
      <c r="G403" s="13" t="s">
        <v>2046</v>
      </c>
      <c r="H403" s="14"/>
      <c r="I403" s="15">
        <v>0.0</v>
      </c>
      <c r="J403" s="15">
        <v>0.0</v>
      </c>
      <c r="K403" s="12" t="str">
        <f>HYPERLINK("https://www.heyorca.com","HeyOrca")</f>
        <v>HeyOrca</v>
      </c>
      <c r="L403" s="16">
        <v>2909.0</v>
      </c>
      <c r="M403" s="16">
        <v>400.0</v>
      </c>
      <c r="N403" s="16">
        <v>75.0</v>
      </c>
      <c r="O403" s="17"/>
      <c r="P403" s="18">
        <v>40103.6474537037</v>
      </c>
      <c r="Q403" s="1" t="s">
        <v>475</v>
      </c>
      <c r="R403" s="1" t="s">
        <v>2047</v>
      </c>
      <c r="S403" s="13" t="s">
        <v>2048</v>
      </c>
      <c r="T403" s="14"/>
      <c r="U403" s="19" t="str">
        <f>HYPERLINK("https://pbs.twimg.com/profile_images/922507436895825920/oxWjM-PQ.jpg","View")</f>
        <v>View</v>
      </c>
      <c r="V403" s="14"/>
      <c r="W403" s="14"/>
      <c r="X403" s="14"/>
      <c r="Y403" s="14"/>
      <c r="Z403" s="14"/>
    </row>
    <row r="404">
      <c r="A404" s="11">
        <v>43847.66670138889</v>
      </c>
      <c r="B404" s="12" t="str">
        <f>HYPERLINK("https://twitter.com/ACNPorg","@ACNPorg")</f>
        <v>@ACNPorg</v>
      </c>
      <c r="C404" s="1" t="s">
        <v>2049</v>
      </c>
      <c r="D404" s="1" t="s">
        <v>2050</v>
      </c>
      <c r="E404" s="12" t="str">
        <f>HYPERLINK("https://twitter.com/ACNPorg/status/1218276822682611720","1218276822682611720")</f>
        <v>1218276822682611720</v>
      </c>
      <c r="F404" s="13" t="s">
        <v>2051</v>
      </c>
      <c r="G404" s="13" t="s">
        <v>2052</v>
      </c>
      <c r="H404" s="14"/>
      <c r="I404" s="15">
        <v>1.0</v>
      </c>
      <c r="J404" s="15">
        <v>1.0</v>
      </c>
      <c r="K404" s="12" t="str">
        <f>HYPERLINK("http://twuffer.com","Twuffer")</f>
        <v>Twuffer</v>
      </c>
      <c r="L404" s="16">
        <v>3846.0</v>
      </c>
      <c r="M404" s="16">
        <v>1128.0</v>
      </c>
      <c r="N404" s="16">
        <v>57.0</v>
      </c>
      <c r="O404" s="17"/>
      <c r="P404" s="18">
        <v>40752.918217592596</v>
      </c>
      <c r="Q404" s="14"/>
      <c r="R404" s="1" t="s">
        <v>2053</v>
      </c>
      <c r="S404" s="13" t="s">
        <v>2054</v>
      </c>
      <c r="T404" s="14"/>
      <c r="U404" s="19" t="str">
        <f>HYPERLINK("https://pbs.twimg.com/profile_images/3405933341/e6b4a90bade979c251b39d8d500ad46b.jpeg","View")</f>
        <v>View</v>
      </c>
      <c r="V404" s="14"/>
      <c r="W404" s="14"/>
      <c r="X404" s="14"/>
      <c r="Y404" s="14"/>
      <c r="Z404" s="14"/>
    </row>
    <row r="405">
      <c r="A405" s="11">
        <v>43847.66667824074</v>
      </c>
      <c r="B405" s="12" t="str">
        <f>HYPERLINK("https://twitter.com/RuhiSleep","@RuhiSleep")</f>
        <v>@RuhiSleep</v>
      </c>
      <c r="C405" s="1" t="s">
        <v>2055</v>
      </c>
      <c r="D405" s="1" t="s">
        <v>2056</v>
      </c>
      <c r="E405" s="12" t="str">
        <f>HYPERLINK("https://twitter.com/RuhiSleep/status/1218276811789885440","1218276811789885440")</f>
        <v>1218276811789885440</v>
      </c>
      <c r="F405" s="14"/>
      <c r="G405" s="13" t="s">
        <v>2057</v>
      </c>
      <c r="H405" s="14"/>
      <c r="I405" s="15">
        <v>0.0</v>
      </c>
      <c r="J405" s="15">
        <v>3.0</v>
      </c>
      <c r="K405" s="12" t="str">
        <f>HYPERLINK("https://about.twitter.com/products/tweetdeck","TweetDeck")</f>
        <v>TweetDeck</v>
      </c>
      <c r="L405" s="16">
        <v>66.0</v>
      </c>
      <c r="M405" s="16">
        <v>277.0</v>
      </c>
      <c r="N405" s="16">
        <v>0.0</v>
      </c>
      <c r="O405" s="17"/>
      <c r="P405" s="18">
        <v>43507.51627314815</v>
      </c>
      <c r="Q405" s="1" t="s">
        <v>2058</v>
      </c>
      <c r="R405" s="1" t="s">
        <v>2059</v>
      </c>
      <c r="S405" s="14"/>
      <c r="T405" s="14"/>
      <c r="U405" s="19" t="str">
        <f>HYPERLINK("https://pbs.twimg.com/profile_images/1095010516592820225/5hHwJ7iL.jpg","View")</f>
        <v>View</v>
      </c>
      <c r="V405" s="14"/>
      <c r="W405" s="14"/>
      <c r="X405" s="14"/>
      <c r="Y405" s="14"/>
      <c r="Z405" s="14"/>
    </row>
    <row r="406">
      <c r="A406" s="11">
        <v>43847.66556712963</v>
      </c>
      <c r="B406" s="12" t="str">
        <f>HYPERLINK("https://twitter.com/thegoodnewscafe","@thegoodnewscafe")</f>
        <v>@thegoodnewscafe</v>
      </c>
      <c r="C406" s="1" t="s">
        <v>2060</v>
      </c>
      <c r="D406" s="1" t="s">
        <v>2061</v>
      </c>
      <c r="E406" s="12" t="str">
        <f>HYPERLINK("https://twitter.com/thegoodnewscafe/status/1218276411175243776","1218276411175243776")</f>
        <v>1218276411175243776</v>
      </c>
      <c r="F406" s="13" t="s">
        <v>2062</v>
      </c>
      <c r="G406" s="13" t="s">
        <v>2063</v>
      </c>
      <c r="H406" s="14"/>
      <c r="I406" s="15">
        <v>0.0</v>
      </c>
      <c r="J406" s="15">
        <v>0.0</v>
      </c>
      <c r="K406" s="12" t="str">
        <f>HYPERLINK("https://missinglettr.com","Missinglettr")</f>
        <v>Missinglettr</v>
      </c>
      <c r="L406" s="16">
        <v>4029.0</v>
      </c>
      <c r="M406" s="16">
        <v>1827.0</v>
      </c>
      <c r="N406" s="16">
        <v>59.0</v>
      </c>
      <c r="O406" s="17"/>
      <c r="P406" s="18">
        <v>40420.843877314815</v>
      </c>
      <c r="Q406" s="1" t="s">
        <v>115</v>
      </c>
      <c r="R406" s="1" t="s">
        <v>2064</v>
      </c>
      <c r="S406" s="13" t="s">
        <v>2065</v>
      </c>
      <c r="T406" s="14"/>
      <c r="U406" s="19" t="str">
        <f>HYPERLINK("https://pbs.twimg.com/profile_images/991879588308398081/uS-UjRH1.jpg","View")</f>
        <v>View</v>
      </c>
      <c r="V406" s="14"/>
      <c r="W406" s="14"/>
      <c r="X406" s="14"/>
      <c r="Y406" s="14"/>
      <c r="Z406" s="14"/>
    </row>
    <row r="407">
      <c r="A407" s="11">
        <v>43847.66383101852</v>
      </c>
      <c r="B407" s="12" t="str">
        <f>HYPERLINK("https://twitter.com/OMENSOL","@OMENSOL")</f>
        <v>@OMENSOL</v>
      </c>
      <c r="C407" s="1" t="s">
        <v>472</v>
      </c>
      <c r="D407" s="1" t="s">
        <v>2066</v>
      </c>
      <c r="E407" s="12" t="str">
        <f>HYPERLINK("https://twitter.com/OMENSOL/status/1218275781085990914","1218275781085990914")</f>
        <v>1218275781085990914</v>
      </c>
      <c r="F407" s="13" t="s">
        <v>2067</v>
      </c>
      <c r="G407" s="14"/>
      <c r="H407" s="14"/>
      <c r="I407" s="15">
        <v>0.0</v>
      </c>
      <c r="J407" s="15">
        <v>2.0</v>
      </c>
      <c r="K407" s="12" t="str">
        <f>HYPERLINK("https://buffer.com","Buffer")</f>
        <v>Buffer</v>
      </c>
      <c r="L407" s="16">
        <v>83.0</v>
      </c>
      <c r="M407" s="16">
        <v>1.0</v>
      </c>
      <c r="N407" s="16">
        <v>4.0</v>
      </c>
      <c r="O407" s="17"/>
      <c r="P407" s="18">
        <v>40800.96</v>
      </c>
      <c r="Q407" s="1" t="s">
        <v>475</v>
      </c>
      <c r="R407" s="1" t="s">
        <v>476</v>
      </c>
      <c r="S407" s="13" t="s">
        <v>477</v>
      </c>
      <c r="T407" s="14"/>
      <c r="U407" s="19" t="str">
        <f>HYPERLINK("https://pbs.twimg.com/profile_images/1543462118/JS_OMEN.jpg","View")</f>
        <v>View</v>
      </c>
      <c r="V407" s="14"/>
      <c r="W407" s="14"/>
      <c r="X407" s="14"/>
      <c r="Y407" s="14"/>
      <c r="Z407" s="14"/>
    </row>
    <row r="408">
      <c r="A408" s="11">
        <v>43847.659537037034</v>
      </c>
      <c r="B408" s="12" t="str">
        <f>HYPERLINK("https://twitter.com/AnthonyBoucard","@AnthonyBoucard")</f>
        <v>@AnthonyBoucard</v>
      </c>
      <c r="C408" s="1" t="s">
        <v>2068</v>
      </c>
      <c r="D408" s="1" t="s">
        <v>2069</v>
      </c>
      <c r="E408" s="12" t="str">
        <f>HYPERLINK("https://twitter.com/AnthonyBoucard/status/1218274226081357824","1218274226081357824")</f>
        <v>1218274226081357824</v>
      </c>
      <c r="F408" s="14"/>
      <c r="G408" s="14"/>
      <c r="H408" s="14"/>
      <c r="I408" s="15">
        <v>0.0</v>
      </c>
      <c r="J408" s="15">
        <v>0.0</v>
      </c>
      <c r="K408" s="12" t="str">
        <f>HYPERLINK("https://mobile.twitter.com","Twitter Web App")</f>
        <v>Twitter Web App</v>
      </c>
      <c r="L408" s="16">
        <v>216.0</v>
      </c>
      <c r="M408" s="16">
        <v>1234.0</v>
      </c>
      <c r="N408" s="16">
        <v>1.0</v>
      </c>
      <c r="O408" s="17"/>
      <c r="P408" s="18">
        <v>43605.559953703705</v>
      </c>
      <c r="Q408" s="1" t="s">
        <v>2070</v>
      </c>
      <c r="R408" s="1" t="s">
        <v>2071</v>
      </c>
      <c r="S408" s="13" t="s">
        <v>2072</v>
      </c>
      <c r="T408" s="14"/>
      <c r="U408" s="19" t="str">
        <f>HYPERLINK("https://pbs.twimg.com/profile_images/1212838182829641728/MYcMidc4.jpg","View")</f>
        <v>View</v>
      </c>
      <c r="V408" s="14"/>
      <c r="W408" s="14"/>
      <c r="X408" s="14"/>
      <c r="Y408" s="14"/>
      <c r="Z408" s="14"/>
    </row>
    <row r="409">
      <c r="A409" s="11">
        <v>43847.65399305556</v>
      </c>
      <c r="B409" s="12" t="str">
        <f>HYPERLINK("https://twitter.com/qwikad_buy_sell","@qwikad_buy_sell")</f>
        <v>@qwikad_buy_sell</v>
      </c>
      <c r="C409" s="1" t="s">
        <v>2073</v>
      </c>
      <c r="D409" s="1" t="s">
        <v>2074</v>
      </c>
      <c r="E409" s="12" t="str">
        <f>HYPERLINK("https://twitter.com/qwikad_buy_sell/status/1218272217898934276","1218272217898934276")</f>
        <v>1218272217898934276</v>
      </c>
      <c r="F409" s="13" t="s">
        <v>1454</v>
      </c>
      <c r="G409" s="14"/>
      <c r="H409" s="14"/>
      <c r="I409" s="15">
        <v>0.0</v>
      </c>
      <c r="J409" s="15">
        <v>0.0</v>
      </c>
      <c r="K409" s="12" t="str">
        <f>HYPERLINK("http://twitter.com","Twitter Web Client")</f>
        <v>Twitter Web Client</v>
      </c>
      <c r="L409" s="16">
        <v>16754.0</v>
      </c>
      <c r="M409" s="16">
        <v>18352.0</v>
      </c>
      <c r="N409" s="16">
        <v>1612.0</v>
      </c>
      <c r="O409" s="17"/>
      <c r="P409" s="18">
        <v>42195.40509259259</v>
      </c>
      <c r="Q409" s="1" t="s">
        <v>56</v>
      </c>
      <c r="R409" s="1" t="s">
        <v>2075</v>
      </c>
      <c r="S409" s="13" t="s">
        <v>601</v>
      </c>
      <c r="T409" s="14"/>
      <c r="U409" s="19" t="str">
        <f>HYPERLINK("https://pbs.twimg.com/profile_images/1191724581846958082/b_E1sWv6.jpg","View")</f>
        <v>View</v>
      </c>
      <c r="V409" s="14"/>
      <c r="W409" s="14"/>
      <c r="X409" s="14"/>
      <c r="Y409" s="14"/>
      <c r="Z409" s="14"/>
    </row>
    <row r="410">
      <c r="A410" s="11">
        <v>43847.65282407407</v>
      </c>
      <c r="B410" s="12" t="str">
        <f>HYPERLINK("https://twitter.com/HopeInstilled","@HopeInstilled")</f>
        <v>@HopeInstilled</v>
      </c>
      <c r="C410" s="1" t="s">
        <v>2076</v>
      </c>
      <c r="D410" s="1" t="s">
        <v>2077</v>
      </c>
      <c r="E410" s="12" t="str">
        <f>HYPERLINK("https://twitter.com/HopeInstilled/status/1218271793141731330","1218271793141731330")</f>
        <v>1218271793141731330</v>
      </c>
      <c r="F410" s="13" t="s">
        <v>2078</v>
      </c>
      <c r="G410" s="14"/>
      <c r="H410" s="14"/>
      <c r="I410" s="15">
        <v>0.0</v>
      </c>
      <c r="J410" s="15">
        <v>1.0</v>
      </c>
      <c r="K410" s="12" t="str">
        <f>HYPERLINK("https://www.hootsuite.com","Hootsuite Inc.")</f>
        <v>Hootsuite Inc.</v>
      </c>
      <c r="L410" s="16">
        <v>1348.0</v>
      </c>
      <c r="M410" s="16">
        <v>1123.0</v>
      </c>
      <c r="N410" s="16">
        <v>12.0</v>
      </c>
      <c r="O410" s="17"/>
      <c r="P410" s="18">
        <v>42521.35806712963</v>
      </c>
      <c r="Q410" s="1" t="s">
        <v>2079</v>
      </c>
      <c r="R410" s="1" t="s">
        <v>2080</v>
      </c>
      <c r="S410" s="13" t="s">
        <v>2081</v>
      </c>
      <c r="T410" s="14"/>
      <c r="U410" s="19" t="str">
        <f>HYPERLINK("https://pbs.twimg.com/profile_images/866744897541476354/GRu9wvtJ.jpg","View")</f>
        <v>View</v>
      </c>
      <c r="V410" s="14"/>
      <c r="W410" s="14"/>
      <c r="X410" s="14"/>
      <c r="Y410" s="14"/>
      <c r="Z410" s="14"/>
    </row>
    <row r="411">
      <c r="A411" s="11">
        <v>43847.64740740741</v>
      </c>
      <c r="B411" s="12" t="str">
        <f t="shared" ref="B411:B412" si="41">HYPERLINK("https://twitter.com/DevonWellbeing","@DevonWellbeing")</f>
        <v>@DevonWellbeing</v>
      </c>
      <c r="C411" s="1" t="s">
        <v>2082</v>
      </c>
      <c r="D411" s="1" t="s">
        <v>2083</v>
      </c>
      <c r="E411" s="12" t="str">
        <f>HYPERLINK("https://twitter.com/DevonWellbeing/status/1218269831851577344","1218269831851577344")</f>
        <v>1218269831851577344</v>
      </c>
      <c r="F411" s="14"/>
      <c r="G411" s="13" t="s">
        <v>2084</v>
      </c>
      <c r="H411" s="14"/>
      <c r="I411" s="15">
        <v>0.0</v>
      </c>
      <c r="J411" s="15">
        <v>1.0</v>
      </c>
      <c r="K411" s="12" t="str">
        <f t="shared" ref="K411:K412" si="42">HYPERLINK("http://twitter.com/#!/download/ipad","Twitter for iPad")</f>
        <v>Twitter for iPad</v>
      </c>
      <c r="L411" s="16">
        <v>446.0</v>
      </c>
      <c r="M411" s="16">
        <v>1356.0</v>
      </c>
      <c r="N411" s="16">
        <v>7.0</v>
      </c>
      <c r="O411" s="17"/>
      <c r="P411" s="18">
        <v>42795.463958333334</v>
      </c>
      <c r="Q411" s="1" t="s">
        <v>2085</v>
      </c>
      <c r="R411" s="1" t="s">
        <v>2086</v>
      </c>
      <c r="S411" s="13" t="s">
        <v>2087</v>
      </c>
      <c r="T411" s="14"/>
      <c r="U411" s="19" t="str">
        <f t="shared" ref="U411:U412" si="43">HYPERLINK("https://pbs.twimg.com/profile_images/868172097415254017/JVKs6P_8.jpg","View")</f>
        <v>View</v>
      </c>
      <c r="V411" s="14"/>
      <c r="W411" s="14"/>
      <c r="X411" s="14"/>
      <c r="Y411" s="14"/>
      <c r="Z411" s="14"/>
    </row>
    <row r="412">
      <c r="A412" s="11">
        <v>43847.646469907406</v>
      </c>
      <c r="B412" s="12" t="str">
        <f t="shared" si="41"/>
        <v>@DevonWellbeing</v>
      </c>
      <c r="C412" s="1" t="s">
        <v>2082</v>
      </c>
      <c r="D412" s="1" t="s">
        <v>2088</v>
      </c>
      <c r="E412" s="12" t="str">
        <f>HYPERLINK("https://twitter.com/DevonWellbeing/status/1218269491907506178","1218269491907506178")</f>
        <v>1218269491907506178</v>
      </c>
      <c r="F412" s="14"/>
      <c r="G412" s="13" t="s">
        <v>2089</v>
      </c>
      <c r="H412" s="14"/>
      <c r="I412" s="15">
        <v>0.0</v>
      </c>
      <c r="J412" s="15">
        <v>0.0</v>
      </c>
      <c r="K412" s="12" t="str">
        <f t="shared" si="42"/>
        <v>Twitter for iPad</v>
      </c>
      <c r="L412" s="16">
        <v>446.0</v>
      </c>
      <c r="M412" s="16">
        <v>1356.0</v>
      </c>
      <c r="N412" s="16">
        <v>7.0</v>
      </c>
      <c r="O412" s="17"/>
      <c r="P412" s="18">
        <v>42795.463958333334</v>
      </c>
      <c r="Q412" s="1" t="s">
        <v>2085</v>
      </c>
      <c r="R412" s="1" t="s">
        <v>2086</v>
      </c>
      <c r="S412" s="13" t="s">
        <v>2087</v>
      </c>
      <c r="T412" s="14"/>
      <c r="U412" s="19" t="str">
        <f t="shared" si="43"/>
        <v>View</v>
      </c>
      <c r="V412" s="14"/>
      <c r="W412" s="14"/>
      <c r="X412" s="14"/>
      <c r="Y412" s="14"/>
      <c r="Z412" s="14"/>
    </row>
    <row r="413">
      <c r="A413" s="11">
        <v>43847.646261574075</v>
      </c>
      <c r="B413" s="12" t="str">
        <f>HYPERLINK("https://twitter.com/Meyer13Randy","@Meyer13Randy")</f>
        <v>@Meyer13Randy</v>
      </c>
      <c r="C413" s="1" t="s">
        <v>2039</v>
      </c>
      <c r="D413" s="1" t="s">
        <v>2090</v>
      </c>
      <c r="E413" s="12" t="str">
        <f>HYPERLINK("https://twitter.com/Meyer13Randy/status/1218269413717110784","1218269413717110784")</f>
        <v>1218269413717110784</v>
      </c>
      <c r="F413" s="14"/>
      <c r="G413" s="13" t="s">
        <v>2091</v>
      </c>
      <c r="H413" s="14"/>
      <c r="I413" s="15">
        <v>0.0</v>
      </c>
      <c r="J413" s="15">
        <v>0.0</v>
      </c>
      <c r="K413" s="12" t="str">
        <f>HYPERLINK("http://twitter.com/download/android","Twitter for Android")</f>
        <v>Twitter for Android</v>
      </c>
      <c r="L413" s="16">
        <v>3.0</v>
      </c>
      <c r="M413" s="16">
        <v>41.0</v>
      </c>
      <c r="N413" s="16">
        <v>0.0</v>
      </c>
      <c r="O413" s="17"/>
      <c r="P413" s="18">
        <v>41312.70101851852</v>
      </c>
      <c r="Q413" s="1" t="s">
        <v>2042</v>
      </c>
      <c r="R413" s="14"/>
      <c r="S413" s="14"/>
      <c r="T413" s="14"/>
      <c r="U413" s="19" t="str">
        <f>HYPERLINK("https://pbs.twimg.com/profile_images/1194079133082554368/uImmUwZa.jpg","View")</f>
        <v>View</v>
      </c>
      <c r="V413" s="14"/>
      <c r="W413" s="14"/>
      <c r="X413" s="14"/>
      <c r="Y413" s="14"/>
      <c r="Z413" s="14"/>
    </row>
    <row r="414">
      <c r="A414" s="11">
        <v>43847.64446759259</v>
      </c>
      <c r="B414" s="12" t="str">
        <f>HYPERLINK("https://twitter.com/HaworthArmson","@HaworthArmson")</f>
        <v>@HaworthArmson</v>
      </c>
      <c r="C414" s="1" t="s">
        <v>2092</v>
      </c>
      <c r="D414" s="1" t="s">
        <v>2093</v>
      </c>
      <c r="E414" s="12" t="str">
        <f>HYPERLINK("https://twitter.com/HaworthArmson/status/1218268762958434305","1218268762958434305")</f>
        <v>1218268762958434305</v>
      </c>
      <c r="F414" s="13" t="s">
        <v>2094</v>
      </c>
      <c r="G414" s="13" t="s">
        <v>2095</v>
      </c>
      <c r="H414" s="14"/>
      <c r="I414" s="15">
        <v>0.0</v>
      </c>
      <c r="J414" s="15">
        <v>0.0</v>
      </c>
      <c r="K414" s="12" t="str">
        <f>HYPERLINK("https://buffer.com","Buffer")</f>
        <v>Buffer</v>
      </c>
      <c r="L414" s="16">
        <v>101.0</v>
      </c>
      <c r="M414" s="16">
        <v>89.0</v>
      </c>
      <c r="N414" s="16">
        <v>6.0</v>
      </c>
      <c r="O414" s="17"/>
      <c r="P414" s="18">
        <v>42369.31046296297</v>
      </c>
      <c r="Q414" s="14"/>
      <c r="R414" s="14"/>
      <c r="S414" s="14"/>
      <c r="T414" s="14"/>
      <c r="U414" s="19" t="str">
        <f>HYPERLINK("https://pbs.twimg.com/profile_images/682539799425728512/oowGX52n.png","View")</f>
        <v>View</v>
      </c>
      <c r="V414" s="14"/>
      <c r="W414" s="14"/>
      <c r="X414" s="14"/>
      <c r="Y414" s="14"/>
      <c r="Z414" s="14"/>
    </row>
    <row r="415">
      <c r="A415" s="11">
        <v>43847.64265046296</v>
      </c>
      <c r="B415" s="12" t="str">
        <f>HYPERLINK("https://twitter.com/gaminggirlsays","@gaminggirlsays")</f>
        <v>@gaminggirlsays</v>
      </c>
      <c r="C415" s="1" t="s">
        <v>2096</v>
      </c>
      <c r="D415" s="1" t="s">
        <v>2097</v>
      </c>
      <c r="E415" s="12" t="str">
        <f>HYPERLINK("https://twitter.com/gaminggirlsays/status/1218268105182535680","1218268105182535680")</f>
        <v>1218268105182535680</v>
      </c>
      <c r="F415" s="14"/>
      <c r="G415" s="14"/>
      <c r="H415" s="14"/>
      <c r="I415" s="15">
        <v>0.0</v>
      </c>
      <c r="J415" s="15">
        <v>0.0</v>
      </c>
      <c r="K415" s="12" t="str">
        <f>HYPERLINK("http://twitter.com/download/iphone","Twitter for iPhone")</f>
        <v>Twitter for iPhone</v>
      </c>
      <c r="L415" s="16">
        <v>506.0</v>
      </c>
      <c r="M415" s="16">
        <v>479.0</v>
      </c>
      <c r="N415" s="16">
        <v>2.0</v>
      </c>
      <c r="O415" s="17"/>
      <c r="P415" s="18">
        <v>43047.59300925926</v>
      </c>
      <c r="Q415" s="14"/>
      <c r="R415" s="1" t="s">
        <v>2098</v>
      </c>
      <c r="S415" s="14"/>
      <c r="T415" s="14"/>
      <c r="U415" s="19" t="str">
        <f>HYPERLINK("https://pbs.twimg.com/profile_images/928973914130305024/1WHLOaIu.jpg","View")</f>
        <v>View</v>
      </c>
      <c r="V415" s="14"/>
      <c r="W415" s="14"/>
      <c r="X415" s="14"/>
      <c r="Y415" s="14"/>
      <c r="Z415" s="14"/>
    </row>
    <row r="416">
      <c r="A416" s="11">
        <v>43847.63563657408</v>
      </c>
      <c r="B416" s="12" t="str">
        <f>HYPERLINK("https://twitter.com/HealingSoundsTx","@HealingSoundsTx")</f>
        <v>@HealingSoundsTx</v>
      </c>
      <c r="C416" s="1" t="s">
        <v>587</v>
      </c>
      <c r="D416" s="1" t="s">
        <v>2099</v>
      </c>
      <c r="E416" s="12" t="str">
        <f>HYPERLINK("https://twitter.com/HealingSoundsTx/status/1218265563107151877","1218265563107151877")</f>
        <v>1218265563107151877</v>
      </c>
      <c r="F416" s="13" t="s">
        <v>2100</v>
      </c>
      <c r="G416" s="14"/>
      <c r="H416" s="14"/>
      <c r="I416" s="15">
        <v>2.0</v>
      </c>
      <c r="J416" s="15">
        <v>0.0</v>
      </c>
      <c r="K416" s="12" t="str">
        <f>HYPERLINK("https://smarterqueue.com","SmarterQueue")</f>
        <v>SmarterQueue</v>
      </c>
      <c r="L416" s="16">
        <v>1071.0</v>
      </c>
      <c r="M416" s="16">
        <v>791.0</v>
      </c>
      <c r="N416" s="16">
        <v>170.0</v>
      </c>
      <c r="O416" s="17"/>
      <c r="P416" s="18">
        <v>40752.95190972222</v>
      </c>
      <c r="Q416" s="1" t="s">
        <v>590</v>
      </c>
      <c r="R416" s="1" t="s">
        <v>591</v>
      </c>
      <c r="S416" s="13" t="s">
        <v>592</v>
      </c>
      <c r="T416" s="14"/>
      <c r="U416" s="19" t="str">
        <f>HYPERLINK("https://pbs.twimg.com/profile_images/1039513853443227648/UEQFTVre.jpg","View")</f>
        <v>View</v>
      </c>
      <c r="V416" s="14"/>
      <c r="W416" s="14"/>
      <c r="X416" s="14"/>
      <c r="Y416" s="14"/>
      <c r="Z416" s="14"/>
    </row>
    <row r="417">
      <c r="A417" s="11">
        <v>43847.634247685186</v>
      </c>
      <c r="B417" s="12" t="str">
        <f>HYPERLINK("https://twitter.com/The_Dead_Tex","@The_Dead_Tex")</f>
        <v>@The_Dead_Tex</v>
      </c>
      <c r="C417" s="1" t="s">
        <v>2101</v>
      </c>
      <c r="D417" s="1" t="s">
        <v>2102</v>
      </c>
      <c r="E417" s="12" t="str">
        <f>HYPERLINK("https://twitter.com/The_Dead_Tex/status/1218265062378479620","1218265062378479620")</f>
        <v>1218265062378479620</v>
      </c>
      <c r="F417" s="13" t="s">
        <v>2103</v>
      </c>
      <c r="G417" s="14"/>
      <c r="H417" s="14"/>
      <c r="I417" s="15">
        <v>0.0</v>
      </c>
      <c r="J417" s="15">
        <v>1.0</v>
      </c>
      <c r="K417" s="12" t="str">
        <f>HYPERLINK("https://mobile.twitter.com","Twitter Web App")</f>
        <v>Twitter Web App</v>
      </c>
      <c r="L417" s="16">
        <v>8.0</v>
      </c>
      <c r="M417" s="16">
        <v>42.0</v>
      </c>
      <c r="N417" s="16">
        <v>1.0</v>
      </c>
      <c r="O417" s="17"/>
      <c r="P417" s="18">
        <v>43511.67078703704</v>
      </c>
      <c r="Q417" s="14"/>
      <c r="R417" s="1" t="s">
        <v>2104</v>
      </c>
      <c r="S417" s="14"/>
      <c r="T417" s="14"/>
      <c r="U417" s="19" t="str">
        <f>HYPERLINK("https://pbs.twimg.com/profile_images/1215240078253006848/sq_vMXIK.jpg","View")</f>
        <v>View</v>
      </c>
      <c r="V417" s="14"/>
      <c r="W417" s="14"/>
      <c r="X417" s="14"/>
      <c r="Y417" s="14"/>
      <c r="Z417" s="14"/>
    </row>
    <row r="418">
      <c r="A418" s="11">
        <v>43847.63358796296</v>
      </c>
      <c r="B418" s="12" t="str">
        <f>HYPERLINK("https://twitter.com/stevetheKWagent","@stevetheKWagent")</f>
        <v>@stevetheKWagent</v>
      </c>
      <c r="C418" s="1" t="s">
        <v>2105</v>
      </c>
      <c r="D418" s="1" t="s">
        <v>2106</v>
      </c>
      <c r="E418" s="12" t="str">
        <f>HYPERLINK("https://twitter.com/stevetheKWagent/status/1218264821017333761","1218264821017333761")</f>
        <v>1218264821017333761</v>
      </c>
      <c r="F418" s="13" t="s">
        <v>2107</v>
      </c>
      <c r="G418" s="13" t="s">
        <v>2108</v>
      </c>
      <c r="H418" s="14"/>
      <c r="I418" s="15">
        <v>0.0</v>
      </c>
      <c r="J418" s="15">
        <v>0.0</v>
      </c>
      <c r="K418" s="12" t="str">
        <f>HYPERLINK("https://www.corelistingmachine.com/","CORE ListingMachine")</f>
        <v>CORE ListingMachine</v>
      </c>
      <c r="L418" s="16">
        <v>61.0</v>
      </c>
      <c r="M418" s="16">
        <v>111.0</v>
      </c>
      <c r="N418" s="16">
        <v>1.0</v>
      </c>
      <c r="O418" s="17"/>
      <c r="P418" s="18">
        <v>42720.49695601852</v>
      </c>
      <c r="Q418" s="1" t="s">
        <v>2109</v>
      </c>
      <c r="R418" s="1" t="s">
        <v>2110</v>
      </c>
      <c r="S418" s="14"/>
      <c r="T418" s="14"/>
      <c r="U418" s="19" t="str">
        <f>HYPERLINK("https://pbs.twimg.com/profile_images/881977663266672641/zOYSZRLB.jpg","View")</f>
        <v>View</v>
      </c>
      <c r="V418" s="14"/>
      <c r="W418" s="14"/>
      <c r="X418" s="14"/>
      <c r="Y418" s="14"/>
      <c r="Z418" s="14"/>
    </row>
    <row r="419">
      <c r="A419" s="11">
        <v>43847.63332175926</v>
      </c>
      <c r="B419" s="12" t="str">
        <f>HYPERLINK("https://twitter.com/Netchex","@Netchex")</f>
        <v>@Netchex</v>
      </c>
      <c r="C419" s="1" t="s">
        <v>2111</v>
      </c>
      <c r="D419" s="1" t="s">
        <v>2112</v>
      </c>
      <c r="E419" s="12" t="str">
        <f>HYPERLINK("https://twitter.com/Netchex/status/1218264724523175936","1218264724523175936")</f>
        <v>1218264724523175936</v>
      </c>
      <c r="F419" s="13" t="s">
        <v>2113</v>
      </c>
      <c r="G419" s="14"/>
      <c r="H419" s="14"/>
      <c r="I419" s="15">
        <v>0.0</v>
      </c>
      <c r="J419" s="15">
        <v>0.0</v>
      </c>
      <c r="K419" s="12" t="str">
        <f>HYPERLINK("http://www.hubspot.com/","HubSpot")</f>
        <v>HubSpot</v>
      </c>
      <c r="L419" s="16">
        <v>755.0</v>
      </c>
      <c r="M419" s="16">
        <v>627.0</v>
      </c>
      <c r="N419" s="16">
        <v>25.0</v>
      </c>
      <c r="O419" s="17"/>
      <c r="P419" s="18">
        <v>40403.50403935185</v>
      </c>
      <c r="Q419" s="1" t="s">
        <v>2114</v>
      </c>
      <c r="R419" s="1" t="s">
        <v>2115</v>
      </c>
      <c r="S419" s="13" t="s">
        <v>2116</v>
      </c>
      <c r="T419" s="14"/>
      <c r="U419" s="19" t="str">
        <f>HYPERLINK("https://pbs.twimg.com/profile_images/988850352870035457/XVVgXckp.jpg","View")</f>
        <v>View</v>
      </c>
      <c r="V419" s="14"/>
      <c r="W419" s="14"/>
      <c r="X419" s="14"/>
      <c r="Y419" s="14"/>
      <c r="Z419" s="14"/>
    </row>
    <row r="420">
      <c r="A420" s="11">
        <v>43847.632152777776</v>
      </c>
      <c r="B420" s="12" t="str">
        <f>HYPERLINK("https://twitter.com/Booutique","@Booutique")</f>
        <v>@Booutique</v>
      </c>
      <c r="C420" s="1" t="s">
        <v>2117</v>
      </c>
      <c r="D420" s="1" t="s">
        <v>2118</v>
      </c>
      <c r="E420" s="12" t="str">
        <f>HYPERLINK("https://twitter.com/Booutique/status/1218264300353179648","1218264300353179648")</f>
        <v>1218264300353179648</v>
      </c>
      <c r="F420" s="14"/>
      <c r="G420" s="13" t="s">
        <v>2119</v>
      </c>
      <c r="H420" s="14"/>
      <c r="I420" s="15">
        <v>0.0</v>
      </c>
      <c r="J420" s="15">
        <v>0.0</v>
      </c>
      <c r="K420" s="12" t="str">
        <f>HYPERLINK("https://www.socialjukebox.com","The Social Jukebox")</f>
        <v>The Social Jukebox</v>
      </c>
      <c r="L420" s="16">
        <v>12531.0</v>
      </c>
      <c r="M420" s="16">
        <v>12233.0</v>
      </c>
      <c r="N420" s="16">
        <v>863.0</v>
      </c>
      <c r="O420" s="17"/>
      <c r="P420" s="18">
        <v>39904.70653935185</v>
      </c>
      <c r="Q420" s="14"/>
      <c r="R420" s="1" t="s">
        <v>2120</v>
      </c>
      <c r="S420" s="13" t="s">
        <v>2121</v>
      </c>
      <c r="T420" s="14"/>
      <c r="U420" s="19" t="str">
        <f>HYPERLINK("https://pbs.twimg.com/profile_images/460586224256679936/rvWCM2Ry.jpeg","View")</f>
        <v>View</v>
      </c>
      <c r="V420" s="14"/>
      <c r="W420" s="14"/>
      <c r="X420" s="14"/>
      <c r="Y420" s="14"/>
      <c r="Z420" s="14"/>
    </row>
    <row r="421">
      <c r="A421" s="11">
        <v>43847.631377314814</v>
      </c>
      <c r="B421" s="12" t="str">
        <f>HYPERLINK("https://twitter.com/nurse_child","@nurse_child")</f>
        <v>@nurse_child</v>
      </c>
      <c r="C421" s="1" t="s">
        <v>2122</v>
      </c>
      <c r="D421" s="1" t="s">
        <v>2123</v>
      </c>
      <c r="E421" s="12" t="str">
        <f>HYPERLINK("https://twitter.com/nurse_child/status/1218264019284430848","1218264019284430848")</f>
        <v>1218264019284430848</v>
      </c>
      <c r="F421" s="14"/>
      <c r="G421" s="13" t="s">
        <v>2124</v>
      </c>
      <c r="H421" s="14"/>
      <c r="I421" s="15">
        <v>0.0</v>
      </c>
      <c r="J421" s="15">
        <v>4.0</v>
      </c>
      <c r="K421" s="12" t="str">
        <f>HYPERLINK("https://mobile.twitter.com","Twitter Web App")</f>
        <v>Twitter Web App</v>
      </c>
      <c r="L421" s="16">
        <v>188.0</v>
      </c>
      <c r="M421" s="16">
        <v>322.0</v>
      </c>
      <c r="N421" s="16">
        <v>1.0</v>
      </c>
      <c r="O421" s="17"/>
      <c r="P421" s="18">
        <v>43436.716261574074</v>
      </c>
      <c r="Q421" s="1" t="s">
        <v>2125</v>
      </c>
      <c r="R421" s="1" t="s">
        <v>2126</v>
      </c>
      <c r="S421" s="14"/>
      <c r="T421" s="14"/>
      <c r="U421" s="19" t="str">
        <f>HYPERLINK("https://pbs.twimg.com/profile_images/1069354248557735937/ctJ5Fq3Z.jpg","View")</f>
        <v>View</v>
      </c>
      <c r="V421" s="14"/>
      <c r="W421" s="14"/>
      <c r="X421" s="14"/>
      <c r="Y421" s="14"/>
      <c r="Z421" s="14"/>
    </row>
    <row r="422">
      <c r="A422" s="11">
        <v>43847.63055555556</v>
      </c>
      <c r="B422" s="12" t="str">
        <f>HYPERLINK("https://twitter.com/HabibDalia","@HabibDalia")</f>
        <v>@HabibDalia</v>
      </c>
      <c r="C422" s="1" t="s">
        <v>2127</v>
      </c>
      <c r="D422" s="1" t="s">
        <v>2128</v>
      </c>
      <c r="E422" s="12" t="str">
        <f>HYPERLINK("https://twitter.com/HabibDalia/status/1218263722608582662","1218263722608582662")</f>
        <v>1218263722608582662</v>
      </c>
      <c r="F422" s="13" t="s">
        <v>2129</v>
      </c>
      <c r="G422" s="14"/>
      <c r="H422" s="14"/>
      <c r="I422" s="15">
        <v>1.0</v>
      </c>
      <c r="J422" s="15">
        <v>2.0</v>
      </c>
      <c r="K422" s="12" t="str">
        <f>HYPERLINK("http://instagram.com","Instagram")</f>
        <v>Instagram</v>
      </c>
      <c r="L422" s="16">
        <v>157.0</v>
      </c>
      <c r="M422" s="16">
        <v>594.0</v>
      </c>
      <c r="N422" s="16">
        <v>3.0</v>
      </c>
      <c r="O422" s="17"/>
      <c r="P422" s="18">
        <v>41179.74700231481</v>
      </c>
      <c r="Q422" s="1" t="s">
        <v>2130</v>
      </c>
      <c r="R422" s="1" t="s">
        <v>2131</v>
      </c>
      <c r="S422" s="14"/>
      <c r="T422" s="14"/>
      <c r="U422" s="19" t="str">
        <f>HYPERLINK("https://pbs.twimg.com/profile_images/488469091733475328/6fbeGxjS.jpeg","View")</f>
        <v>View</v>
      </c>
      <c r="V422" s="14"/>
      <c r="W422" s="14"/>
      <c r="X422" s="14"/>
      <c r="Y422" s="14"/>
      <c r="Z422" s="14"/>
    </row>
    <row r="423">
      <c r="A423" s="11">
        <v>43847.62971064815</v>
      </c>
      <c r="B423" s="12" t="str">
        <f>HYPERLINK("https://twitter.com/GarlandVance","@GarlandVance")</f>
        <v>@GarlandVance</v>
      </c>
      <c r="C423" s="1" t="s">
        <v>2132</v>
      </c>
      <c r="D423" s="1" t="s">
        <v>2133</v>
      </c>
      <c r="E423" s="12" t="str">
        <f>HYPERLINK("https://twitter.com/GarlandVance/status/1218263417817051136","1218263417817051136")</f>
        <v>1218263417817051136</v>
      </c>
      <c r="F423" s="13" t="s">
        <v>2134</v>
      </c>
      <c r="G423" s="14"/>
      <c r="H423" s="14"/>
      <c r="I423" s="15">
        <v>0.0</v>
      </c>
      <c r="J423" s="15">
        <v>0.0</v>
      </c>
      <c r="K423" s="12" t="str">
        <f>HYPERLINK("https://coschedule.com","CoSchedule")</f>
        <v>CoSchedule</v>
      </c>
      <c r="L423" s="16">
        <v>7551.0</v>
      </c>
      <c r="M423" s="16">
        <v>2894.0</v>
      </c>
      <c r="N423" s="16">
        <v>34.0</v>
      </c>
      <c r="O423" s="17"/>
      <c r="P423" s="18">
        <v>40174.59726851852</v>
      </c>
      <c r="Q423" s="1" t="s">
        <v>2135</v>
      </c>
      <c r="R423" s="1" t="s">
        <v>2136</v>
      </c>
      <c r="S423" s="13" t="s">
        <v>2137</v>
      </c>
      <c r="T423" s="14"/>
      <c r="U423" s="19" t="str">
        <f>HYPERLINK("https://pbs.twimg.com/profile_images/723172806058369025/Jz4o6CKX.jpg","View")</f>
        <v>View</v>
      </c>
      <c r="V423" s="14"/>
      <c r="W423" s="14"/>
      <c r="X423" s="14"/>
      <c r="Y423" s="14"/>
      <c r="Z423" s="14"/>
    </row>
    <row r="424">
      <c r="A424" s="11">
        <v>43847.628541666665</v>
      </c>
      <c r="B424" s="12" t="str">
        <f>HYPERLINK("https://twitter.com/DiscoverLifeMag","@DiscoverLifeMag")</f>
        <v>@DiscoverLifeMag</v>
      </c>
      <c r="C424" s="1" t="s">
        <v>2138</v>
      </c>
      <c r="D424" s="1" t="s">
        <v>2139</v>
      </c>
      <c r="E424" s="12" t="str">
        <f>HYPERLINK("https://twitter.com/DiscoverLifeMag/status/1218262994150404099","1218262994150404099")</f>
        <v>1218262994150404099</v>
      </c>
      <c r="F424" s="13" t="s">
        <v>2140</v>
      </c>
      <c r="G424" s="13" t="s">
        <v>2141</v>
      </c>
      <c r="H424" s="14"/>
      <c r="I424" s="15">
        <v>0.0</v>
      </c>
      <c r="J424" s="15">
        <v>0.0</v>
      </c>
      <c r="K424" s="12" t="str">
        <f>HYPERLINK("https://crowdfireapp.com","Crowdfire App")</f>
        <v>Crowdfire App</v>
      </c>
      <c r="L424" s="16">
        <v>6.0</v>
      </c>
      <c r="M424" s="16">
        <v>2.0</v>
      </c>
      <c r="N424" s="16">
        <v>0.0</v>
      </c>
      <c r="O424" s="17"/>
      <c r="P424" s="18">
        <v>43675.42967592593</v>
      </c>
      <c r="Q424" s="1" t="s">
        <v>2142</v>
      </c>
      <c r="R424" s="1" t="s">
        <v>2143</v>
      </c>
      <c r="S424" s="13" t="s">
        <v>2144</v>
      </c>
      <c r="T424" s="14"/>
      <c r="U424" s="19" t="str">
        <f>HYPERLINK("https://pbs.twimg.com/profile_images/1182013538900103168/AQQofsYd.jpg","View")</f>
        <v>View</v>
      </c>
      <c r="V424" s="14"/>
      <c r="W424" s="14"/>
      <c r="X424" s="14"/>
      <c r="Y424" s="14"/>
      <c r="Z424" s="14"/>
    </row>
    <row r="425">
      <c r="A425" s="11">
        <v>43847.62851851852</v>
      </c>
      <c r="B425" s="12" t="str">
        <f>HYPERLINK("https://twitter.com/TheCalmPeople","@TheCalmPeople")</f>
        <v>@TheCalmPeople</v>
      </c>
      <c r="C425" s="1" t="s">
        <v>2145</v>
      </c>
      <c r="D425" s="1" t="s">
        <v>2146</v>
      </c>
      <c r="E425" s="12" t="str">
        <f>HYPERLINK("https://twitter.com/TheCalmPeople/status/1218262986776875015","1218262986776875015")</f>
        <v>1218262986776875015</v>
      </c>
      <c r="F425" s="13" t="s">
        <v>2147</v>
      </c>
      <c r="G425" s="14"/>
      <c r="H425" s="14"/>
      <c r="I425" s="15">
        <v>0.0</v>
      </c>
      <c r="J425" s="15">
        <v>1.0</v>
      </c>
      <c r="K425" s="12" t="str">
        <f>HYPERLINK("https://www.hootsuite.com","Hootsuite Inc.")</f>
        <v>Hootsuite Inc.</v>
      </c>
      <c r="L425" s="16">
        <v>1748.0</v>
      </c>
      <c r="M425" s="16">
        <v>261.0</v>
      </c>
      <c r="N425" s="16">
        <v>39.0</v>
      </c>
      <c r="O425" s="17"/>
      <c r="P425" s="18">
        <v>39970.570706018516</v>
      </c>
      <c r="Q425" s="1" t="s">
        <v>864</v>
      </c>
      <c r="R425" s="1" t="s">
        <v>2148</v>
      </c>
      <c r="S425" s="13" t="s">
        <v>2149</v>
      </c>
      <c r="T425" s="14"/>
      <c r="U425" s="19" t="str">
        <f>HYPERLINK("https://pbs.twimg.com/profile_images/651434318506528768/fuSNk5ze.jpg","View")</f>
        <v>View</v>
      </c>
      <c r="V425" s="14"/>
      <c r="W425" s="14"/>
      <c r="X425" s="14"/>
      <c r="Y425" s="14"/>
      <c r="Z425" s="14"/>
    </row>
    <row r="426">
      <c r="A426" s="11">
        <v>43847.627488425926</v>
      </c>
      <c r="B426" s="12" t="str">
        <f>HYPERLINK("https://twitter.com/Soundtechdez","@Soundtechdez")</f>
        <v>@Soundtechdez</v>
      </c>
      <c r="C426" s="1" t="s">
        <v>2150</v>
      </c>
      <c r="D426" s="1" t="s">
        <v>2151</v>
      </c>
      <c r="E426" s="12" t="str">
        <f>HYPERLINK("https://twitter.com/Soundtechdez/status/1218262610069426176","1218262610069426176")</f>
        <v>1218262610069426176</v>
      </c>
      <c r="F426" s="14"/>
      <c r="G426" s="14"/>
      <c r="H426" s="14"/>
      <c r="I426" s="15">
        <v>0.0</v>
      </c>
      <c r="J426" s="15">
        <v>0.0</v>
      </c>
      <c r="K426" s="12" t="str">
        <f>HYPERLINK("http://twitter.com/download/iphone","Twitter for iPhone")</f>
        <v>Twitter for iPhone</v>
      </c>
      <c r="L426" s="16">
        <v>1459.0</v>
      </c>
      <c r="M426" s="16">
        <v>702.0</v>
      </c>
      <c r="N426" s="16">
        <v>71.0</v>
      </c>
      <c r="O426" s="17"/>
      <c r="P426" s="18">
        <v>39960.77009259259</v>
      </c>
      <c r="Q426" s="1" t="s">
        <v>2152</v>
      </c>
      <c r="R426" s="1" t="s">
        <v>2153</v>
      </c>
      <c r="S426" s="14"/>
      <c r="T426" s="14"/>
      <c r="U426" s="19" t="str">
        <f>HYPERLINK("https://pbs.twimg.com/profile_images/1218657725015416832/7Q0LKeAc.jpg","View")</f>
        <v>View</v>
      </c>
      <c r="V426" s="14"/>
      <c r="W426" s="14"/>
      <c r="X426" s="14"/>
      <c r="Y426" s="14"/>
      <c r="Z426" s="14"/>
    </row>
    <row r="427">
      <c r="A427" s="11">
        <v>43847.62569444445</v>
      </c>
      <c r="B427" s="12" t="str">
        <f>HYPERLINK("https://twitter.com/ValerieMacLeod","@ValerieMacLeod")</f>
        <v>@ValerieMacLeod</v>
      </c>
      <c r="C427" s="1" t="s">
        <v>2154</v>
      </c>
      <c r="D427" s="1" t="s">
        <v>2155</v>
      </c>
      <c r="E427" s="12" t="str">
        <f>HYPERLINK("https://twitter.com/ValerieMacLeod/status/1218261962557198336","1218261962557198336")</f>
        <v>1218261962557198336</v>
      </c>
      <c r="F427" s="13" t="s">
        <v>2156</v>
      </c>
      <c r="G427" s="14"/>
      <c r="H427" s="14"/>
      <c r="I427" s="15">
        <v>0.0</v>
      </c>
      <c r="J427" s="15">
        <v>0.0</v>
      </c>
      <c r="K427" s="12" t="str">
        <f>HYPERLINK("https://coschedule.com","CoSchedule")</f>
        <v>CoSchedule</v>
      </c>
      <c r="L427" s="16">
        <v>1336.0</v>
      </c>
      <c r="M427" s="16">
        <v>1670.0</v>
      </c>
      <c r="N427" s="16">
        <v>142.0</v>
      </c>
      <c r="O427" s="17"/>
      <c r="P427" s="18">
        <v>40080.678773148145</v>
      </c>
      <c r="Q427" s="1" t="s">
        <v>2157</v>
      </c>
      <c r="R427" s="1" t="s">
        <v>2158</v>
      </c>
      <c r="S427" s="13" t="s">
        <v>2159</v>
      </c>
      <c r="T427" s="14"/>
      <c r="U427" s="19" t="str">
        <f>HYPERLINK("https://pbs.twimg.com/profile_images/519229576291946497/gpb-JnRt.jpeg","View")</f>
        <v>View</v>
      </c>
      <c r="V427" s="14"/>
      <c r="W427" s="14"/>
      <c r="X427" s="14"/>
      <c r="Y427" s="14"/>
      <c r="Z427" s="14"/>
    </row>
    <row r="428">
      <c r="A428" s="11">
        <v>43847.62557870371</v>
      </c>
      <c r="B428" s="12" t="str">
        <f>HYPERLINK("https://twitter.com/IreneWhatley","@IreneWhatley")</f>
        <v>@IreneWhatley</v>
      </c>
      <c r="C428" s="1" t="s">
        <v>2160</v>
      </c>
      <c r="D428" s="1" t="s">
        <v>2161</v>
      </c>
      <c r="E428" s="12" t="str">
        <f>HYPERLINK("https://twitter.com/IreneWhatley/status/1218261921046106120","1218261921046106120")</f>
        <v>1218261921046106120</v>
      </c>
      <c r="F428" s="13" t="s">
        <v>2162</v>
      </c>
      <c r="G428" s="13" t="s">
        <v>2163</v>
      </c>
      <c r="H428" s="14"/>
      <c r="I428" s="15">
        <v>0.0</v>
      </c>
      <c r="J428" s="15">
        <v>0.0</v>
      </c>
      <c r="K428" s="12" t="str">
        <f>HYPERLINK("http://www.shopcity.com","ShopCity.com Posts")</f>
        <v>ShopCity.com Posts</v>
      </c>
      <c r="L428" s="16">
        <v>687.0</v>
      </c>
      <c r="M428" s="16">
        <v>864.0</v>
      </c>
      <c r="N428" s="16">
        <v>32.0</v>
      </c>
      <c r="O428" s="17"/>
      <c r="P428" s="18">
        <v>41879.57592592593</v>
      </c>
      <c r="Q428" s="1" t="s">
        <v>2164</v>
      </c>
      <c r="R428" s="1" t="s">
        <v>2165</v>
      </c>
      <c r="S428" s="13" t="s">
        <v>2166</v>
      </c>
      <c r="T428" s="14"/>
      <c r="U428" s="19" t="str">
        <f>HYPERLINK("https://pbs.twimg.com/profile_images/528200208341938176/3LAmhF4u.png","View")</f>
        <v>View</v>
      </c>
      <c r="V428" s="14"/>
      <c r="W428" s="14"/>
      <c r="X428" s="14"/>
      <c r="Y428" s="14"/>
      <c r="Z428" s="14"/>
    </row>
    <row r="429">
      <c r="A429" s="11">
        <v>43847.62539351852</v>
      </c>
      <c r="B429" s="12" t="str">
        <f>HYPERLINK("https://twitter.com/boringbookspod","@boringbookspod")</f>
        <v>@boringbookspod</v>
      </c>
      <c r="C429" s="1" t="s">
        <v>2167</v>
      </c>
      <c r="D429" s="1" t="s">
        <v>2168</v>
      </c>
      <c r="E429" s="12" t="str">
        <f>HYPERLINK("https://twitter.com/boringbookspod/status/1218261852460847104","1218261852460847104")</f>
        <v>1218261852460847104</v>
      </c>
      <c r="F429" s="13" t="s">
        <v>2169</v>
      </c>
      <c r="G429" s="13" t="s">
        <v>2170</v>
      </c>
      <c r="H429" s="14"/>
      <c r="I429" s="15">
        <v>0.0</v>
      </c>
      <c r="J429" s="15">
        <v>0.0</v>
      </c>
      <c r="K429" s="12" t="str">
        <f>HYPERLINK("https://www.hootsuite.com","Hootsuite Inc.")</f>
        <v>Hootsuite Inc.</v>
      </c>
      <c r="L429" s="16">
        <v>313.0</v>
      </c>
      <c r="M429" s="16">
        <v>404.0</v>
      </c>
      <c r="N429" s="16">
        <v>3.0</v>
      </c>
      <c r="O429" s="17"/>
      <c r="P429" s="18">
        <v>43353.67164351852</v>
      </c>
      <c r="Q429" s="1" t="s">
        <v>56</v>
      </c>
      <c r="R429" s="1" t="s">
        <v>2171</v>
      </c>
      <c r="S429" s="13" t="s">
        <v>2172</v>
      </c>
      <c r="T429" s="14"/>
      <c r="U429" s="19" t="str">
        <f>HYPERLINK("https://pbs.twimg.com/profile_images/1164592334098587649/zzILxqBZ.jpg","View")</f>
        <v>View</v>
      </c>
      <c r="V429" s="14"/>
      <c r="W429" s="14"/>
      <c r="X429" s="14"/>
      <c r="Y429" s="14"/>
      <c r="Z429" s="14"/>
    </row>
    <row r="430">
      <c r="A430" s="11">
        <v>43847.62228009259</v>
      </c>
      <c r="B430" s="12" t="str">
        <f>HYPERLINK("https://twitter.com/healthykidsks","@healthykidsks")</f>
        <v>@healthykidsks</v>
      </c>
      <c r="C430" s="1" t="s">
        <v>2173</v>
      </c>
      <c r="D430" s="1" t="s">
        <v>2174</v>
      </c>
      <c r="E430" s="12" t="str">
        <f>HYPERLINK("https://twitter.com/healthykidsks/status/1218260723731779584","1218260723731779584")</f>
        <v>1218260723731779584</v>
      </c>
      <c r="F430" s="13" t="s">
        <v>2175</v>
      </c>
      <c r="G430" s="13" t="s">
        <v>2176</v>
      </c>
      <c r="H430" s="14"/>
      <c r="I430" s="15">
        <v>0.0</v>
      </c>
      <c r="J430" s="15">
        <v>1.0</v>
      </c>
      <c r="K430" s="12" t="str">
        <f>HYPERLINK("https://coschedule.com","CoSchedule")</f>
        <v>CoSchedule</v>
      </c>
      <c r="L430" s="16">
        <v>9.0</v>
      </c>
      <c r="M430" s="16">
        <v>70.0</v>
      </c>
      <c r="N430" s="16">
        <v>0.0</v>
      </c>
      <c r="O430" s="17"/>
      <c r="P430" s="18">
        <v>43804.57125</v>
      </c>
      <c r="Q430" s="14"/>
      <c r="R430" s="1" t="s">
        <v>2177</v>
      </c>
      <c r="S430" s="14"/>
      <c r="T430" s="14"/>
      <c r="U430" s="19" t="str">
        <f>HYPERLINK("https://pbs.twimg.com/profile_images/1202659584961372161/1Ymbk-Ah.jpg","View")</f>
        <v>View</v>
      </c>
      <c r="V430" s="14"/>
      <c r="W430" s="14"/>
      <c r="X430" s="14"/>
      <c r="Y430" s="14"/>
      <c r="Z430" s="14"/>
    </row>
    <row r="431">
      <c r="A431" s="11">
        <v>43847.61462962963</v>
      </c>
      <c r="B431" s="12" t="str">
        <f>HYPERLINK("https://twitter.com/happyhandstoys","@happyhandstoys")</f>
        <v>@happyhandstoys</v>
      </c>
      <c r="C431" s="1" t="s">
        <v>1795</v>
      </c>
      <c r="D431" s="1" t="s">
        <v>2178</v>
      </c>
      <c r="E431" s="12" t="str">
        <f>HYPERLINK("https://twitter.com/happyhandstoys/status/1218257951523311616","1218257951523311616")</f>
        <v>1218257951523311616</v>
      </c>
      <c r="F431" s="13" t="s">
        <v>2179</v>
      </c>
      <c r="G431" s="13" t="s">
        <v>2180</v>
      </c>
      <c r="H431" s="14"/>
      <c r="I431" s="15">
        <v>1.0</v>
      </c>
      <c r="J431" s="15">
        <v>0.0</v>
      </c>
      <c r="K431" s="12" t="str">
        <f>HYPERLINK("https://www.hootsuite.com","Hootsuite Inc.")</f>
        <v>Hootsuite Inc.</v>
      </c>
      <c r="L431" s="16">
        <v>2541.0</v>
      </c>
      <c r="M431" s="16">
        <v>4752.0</v>
      </c>
      <c r="N431" s="16">
        <v>34.0</v>
      </c>
      <c r="O431" s="17"/>
      <c r="P431" s="18">
        <v>42817.57172453703</v>
      </c>
      <c r="Q431" s="1" t="s">
        <v>1798</v>
      </c>
      <c r="R431" s="1" t="s">
        <v>1799</v>
      </c>
      <c r="S431" s="13" t="s">
        <v>1800</v>
      </c>
      <c r="T431" s="14"/>
      <c r="U431" s="19" t="str">
        <f>HYPERLINK("https://pbs.twimg.com/profile_images/845839282770100224/2YEak1EB.jpg","View")</f>
        <v>View</v>
      </c>
      <c r="V431" s="14"/>
      <c r="W431" s="14"/>
      <c r="X431" s="14"/>
      <c r="Y431" s="14"/>
      <c r="Z431" s="14"/>
    </row>
    <row r="432">
      <c r="A432" s="11">
        <v>43847.61461805555</v>
      </c>
      <c r="B432" s="12" t="str">
        <f>HYPERLINK("https://twitter.com/DivergentCIO","@DivergentCIO")</f>
        <v>@DivergentCIO</v>
      </c>
      <c r="C432" s="1" t="s">
        <v>536</v>
      </c>
      <c r="D432" s="1" t="s">
        <v>537</v>
      </c>
      <c r="E432" s="12" t="str">
        <f>HYPERLINK("https://twitter.com/DivergentCIO/status/1218257949291880449","1218257949291880449")</f>
        <v>1218257949291880449</v>
      </c>
      <c r="F432" s="13" t="s">
        <v>538</v>
      </c>
      <c r="G432" s="14"/>
      <c r="H432" s="14"/>
      <c r="I432" s="15">
        <v>1.0</v>
      </c>
      <c r="J432" s="15">
        <v>0.0</v>
      </c>
      <c r="K432" s="12" t="str">
        <f>HYPERLINK("https://buffer.com","Buffer")</f>
        <v>Buffer</v>
      </c>
      <c r="L432" s="16">
        <v>28703.0</v>
      </c>
      <c r="M432" s="16">
        <v>25615.0</v>
      </c>
      <c r="N432" s="16">
        <v>1729.0</v>
      </c>
      <c r="O432" s="17"/>
      <c r="P432" s="18">
        <v>42071.738854166666</v>
      </c>
      <c r="Q432" s="1" t="s">
        <v>539</v>
      </c>
      <c r="R432" s="1" t="s">
        <v>540</v>
      </c>
      <c r="S432" s="13" t="s">
        <v>541</v>
      </c>
      <c r="T432" s="14"/>
      <c r="U432" s="19" t="str">
        <f>HYPERLINK("https://pbs.twimg.com/profile_images/767507322583199745/rpfbzBzg.jpg","View")</f>
        <v>View</v>
      </c>
      <c r="V432" s="14"/>
      <c r="W432" s="14"/>
      <c r="X432" s="14"/>
      <c r="Y432" s="14"/>
      <c r="Z432" s="14"/>
    </row>
    <row r="433">
      <c r="A433" s="11">
        <v>43847.6144212963</v>
      </c>
      <c r="B433" s="12" t="str">
        <f>HYPERLINK("https://twitter.com/Nikki_Albert","@Nikki_Albert")</f>
        <v>@Nikki_Albert</v>
      </c>
      <c r="C433" s="1" t="s">
        <v>705</v>
      </c>
      <c r="D433" s="1" t="s">
        <v>2181</v>
      </c>
      <c r="E433" s="12" t="str">
        <f>HYPERLINK("https://twitter.com/Nikki_Albert/status/1218257877451726848","1218257877451726848")</f>
        <v>1218257877451726848</v>
      </c>
      <c r="F433" s="13" t="s">
        <v>707</v>
      </c>
      <c r="G433" s="14"/>
      <c r="H433" s="14"/>
      <c r="I433" s="15">
        <v>0.0</v>
      </c>
      <c r="J433" s="15">
        <v>0.0</v>
      </c>
      <c r="K433" s="12" t="str">
        <f>HYPERLINK("http://twitter.com","Twitter Web Client")</f>
        <v>Twitter Web Client</v>
      </c>
      <c r="L433" s="16">
        <v>2224.0</v>
      </c>
      <c r="M433" s="16">
        <v>1703.0</v>
      </c>
      <c r="N433" s="16">
        <v>111.0</v>
      </c>
      <c r="O433" s="17"/>
      <c r="P433" s="18">
        <v>41035.24144675926</v>
      </c>
      <c r="Q433" s="1" t="s">
        <v>143</v>
      </c>
      <c r="R433" s="1" t="s">
        <v>708</v>
      </c>
      <c r="S433" s="13" t="s">
        <v>709</v>
      </c>
      <c r="T433" s="14"/>
      <c r="U433" s="19" t="str">
        <f>HYPERLINK("https://pbs.twimg.com/profile_images/1061668858782658560/PI34-UjF.jpg","View")</f>
        <v>View</v>
      </c>
      <c r="V433" s="14"/>
      <c r="W433" s="14"/>
      <c r="X433" s="14"/>
      <c r="Y433" s="14"/>
      <c r="Z433" s="14"/>
    </row>
    <row r="434">
      <c r="A434" s="11">
        <v>43847.61403935185</v>
      </c>
      <c r="B434" s="12" t="str">
        <f>HYPERLINK("https://twitter.com/BrokenPlacesDoc","@BrokenPlacesDoc")</f>
        <v>@BrokenPlacesDoc</v>
      </c>
      <c r="C434" s="1" t="s">
        <v>2182</v>
      </c>
      <c r="D434" s="1" t="s">
        <v>2183</v>
      </c>
      <c r="E434" s="12" t="str">
        <f>HYPERLINK("https://twitter.com/BrokenPlacesDoc/status/1218257739069050880","1218257739069050880")</f>
        <v>1218257739069050880</v>
      </c>
      <c r="F434" s="13" t="s">
        <v>2184</v>
      </c>
      <c r="G434" s="14"/>
      <c r="H434" s="14"/>
      <c r="I434" s="15">
        <v>5.0</v>
      </c>
      <c r="J434" s="15">
        <v>12.0</v>
      </c>
      <c r="K434" s="12" t="str">
        <f>HYPERLINK("https://mobile.twitter.com","Twitter Web App")</f>
        <v>Twitter Web App</v>
      </c>
      <c r="L434" s="16">
        <v>1013.0</v>
      </c>
      <c r="M434" s="16">
        <v>1118.0</v>
      </c>
      <c r="N434" s="16">
        <v>5.0</v>
      </c>
      <c r="O434" s="17"/>
      <c r="P434" s="18">
        <v>43335.481261574074</v>
      </c>
      <c r="Q434" s="1" t="s">
        <v>640</v>
      </c>
      <c r="R434" s="1" t="s">
        <v>2185</v>
      </c>
      <c r="S434" s="13" t="s">
        <v>2186</v>
      </c>
      <c r="T434" s="14"/>
      <c r="U434" s="19" t="str">
        <f>HYPERLINK("https://pbs.twimg.com/profile_images/1032655715809120256/_iheuCWt.jpg","View")</f>
        <v>View</v>
      </c>
      <c r="V434" s="14"/>
      <c r="W434" s="14"/>
      <c r="X434" s="14"/>
      <c r="Y434" s="14"/>
      <c r="Z434" s="14"/>
    </row>
    <row r="435">
      <c r="A435" s="11">
        <v>43847.61243055556</v>
      </c>
      <c r="B435" s="12" t="str">
        <f>HYPERLINK("https://twitter.com/bettycjung","@bettycjung")</f>
        <v>@bettycjung</v>
      </c>
      <c r="C435" s="1" t="s">
        <v>2187</v>
      </c>
      <c r="D435" s="1" t="s">
        <v>2188</v>
      </c>
      <c r="E435" s="12" t="str">
        <f>HYPERLINK("https://twitter.com/bettycjung/status/1218257155335192578","1218257155335192578")</f>
        <v>1218257155335192578</v>
      </c>
      <c r="F435" s="13" t="s">
        <v>2189</v>
      </c>
      <c r="G435" s="14"/>
      <c r="H435" s="14"/>
      <c r="I435" s="15">
        <v>0.0</v>
      </c>
      <c r="J435" s="15">
        <v>0.0</v>
      </c>
      <c r="K435" s="12" t="str">
        <f>HYPERLINK("http://twitter.com","Twitter Web Client")</f>
        <v>Twitter Web Client</v>
      </c>
      <c r="L435" s="16">
        <v>575.0</v>
      </c>
      <c r="M435" s="16">
        <v>138.0</v>
      </c>
      <c r="N435" s="16">
        <v>406.0</v>
      </c>
      <c r="O435" s="17"/>
      <c r="P435" s="18">
        <v>40238.591886574075</v>
      </c>
      <c r="Q435" s="1" t="s">
        <v>56</v>
      </c>
      <c r="R435" s="1" t="s">
        <v>2190</v>
      </c>
      <c r="S435" s="13" t="s">
        <v>2191</v>
      </c>
      <c r="T435" s="14"/>
      <c r="U435" s="19" t="str">
        <f>HYPERLINK("https://pbs.twimg.com/profile_images/1004778702780141568/f5yR8DAA.jpg","View")</f>
        <v>View</v>
      </c>
      <c r="V435" s="14"/>
      <c r="W435" s="14"/>
      <c r="X435" s="14"/>
      <c r="Y435" s="14"/>
      <c r="Z435" s="14"/>
    </row>
    <row r="436">
      <c r="A436" s="11">
        <v>43847.61121527778</v>
      </c>
      <c r="B436" s="12" t="str">
        <f>HYPERLINK("https://twitter.com/ZenyProducts","@ZenyProducts")</f>
        <v>@ZenyProducts</v>
      </c>
      <c r="C436" s="1" t="s">
        <v>2192</v>
      </c>
      <c r="D436" s="1" t="s">
        <v>2193</v>
      </c>
      <c r="E436" s="12" t="str">
        <f>HYPERLINK("https://twitter.com/ZenyProducts/status/1218256715772321792","1218256715772321792")</f>
        <v>1218256715772321792</v>
      </c>
      <c r="F436" s="13" t="s">
        <v>2194</v>
      </c>
      <c r="G436" s="13" t="s">
        <v>2195</v>
      </c>
      <c r="H436" s="14"/>
      <c r="I436" s="15">
        <v>0.0</v>
      </c>
      <c r="J436" s="15">
        <v>1.0</v>
      </c>
      <c r="K436" s="12" t="str">
        <f>HYPERLINK("https://buffer.com","Buffer")</f>
        <v>Buffer</v>
      </c>
      <c r="L436" s="16">
        <v>9117.0</v>
      </c>
      <c r="M436" s="16">
        <v>11757.0</v>
      </c>
      <c r="N436" s="16">
        <v>26.0</v>
      </c>
      <c r="O436" s="17"/>
      <c r="P436" s="18">
        <v>40947.907314814816</v>
      </c>
      <c r="Q436" s="14"/>
      <c r="R436" s="1" t="s">
        <v>2196</v>
      </c>
      <c r="S436" s="13" t="s">
        <v>2197</v>
      </c>
      <c r="T436" s="14"/>
      <c r="U436" s="19" t="str">
        <f>HYPERLINK("https://pbs.twimg.com/profile_images/1037390454508085248/rDesLclt.jpg","View")</f>
        <v>View</v>
      </c>
      <c r="V436" s="14"/>
      <c r="W436" s="14"/>
      <c r="X436" s="14"/>
      <c r="Y436" s="14"/>
      <c r="Z436" s="14"/>
    </row>
    <row r="437">
      <c r="A437" s="11">
        <v>43847.60997685185</v>
      </c>
      <c r="B437" s="12" t="str">
        <f>HYPERLINK("https://twitter.com/reflexmaster1c","@reflexmaster1c")</f>
        <v>@reflexmaster1c</v>
      </c>
      <c r="C437" s="1" t="s">
        <v>2198</v>
      </c>
      <c r="D437" s="1" t="s">
        <v>2199</v>
      </c>
      <c r="E437" s="12" t="str">
        <f>HYPERLINK("https://twitter.com/reflexmaster1c/status/1218256264591003649","1218256264591003649")</f>
        <v>1218256264591003649</v>
      </c>
      <c r="F437" s="13" t="s">
        <v>2200</v>
      </c>
      <c r="G437" s="13" t="s">
        <v>2201</v>
      </c>
      <c r="H437" s="14"/>
      <c r="I437" s="15">
        <v>0.0</v>
      </c>
      <c r="J437" s="15">
        <v>1.0</v>
      </c>
      <c r="K437" s="12" t="str">
        <f>HYPERLINK("https://mobile.twitter.com","Twitter Web App")</f>
        <v>Twitter Web App</v>
      </c>
      <c r="L437" s="16">
        <v>483.0</v>
      </c>
      <c r="M437" s="16">
        <v>66.0</v>
      </c>
      <c r="N437" s="16">
        <v>5.0</v>
      </c>
      <c r="O437" s="17"/>
      <c r="P437" s="18">
        <v>42158.257986111115</v>
      </c>
      <c r="Q437" s="1" t="s">
        <v>2202</v>
      </c>
      <c r="R437" s="1" t="s">
        <v>2203</v>
      </c>
      <c r="S437" s="13" t="s">
        <v>2204</v>
      </c>
      <c r="T437" s="14"/>
      <c r="U437" s="19" t="str">
        <f>HYPERLINK("https://pbs.twimg.com/profile_images/611116912177774592/sa0fg5NO.jpg","View")</f>
        <v>View</v>
      </c>
      <c r="V437" s="14"/>
      <c r="W437" s="14"/>
      <c r="X437" s="14"/>
      <c r="Y437" s="14"/>
      <c r="Z437" s="14"/>
    </row>
    <row r="438">
      <c r="A438" s="11">
        <v>43847.60416666667</v>
      </c>
      <c r="B438" s="12" t="str">
        <f>HYPERLINK("https://twitter.com/readgeekygirl","@readgeekygirl")</f>
        <v>@readgeekygirl</v>
      </c>
      <c r="C438" s="1" t="s">
        <v>2205</v>
      </c>
      <c r="D438" s="1" t="s">
        <v>2206</v>
      </c>
      <c r="E438" s="12" t="str">
        <f>HYPERLINK("https://twitter.com/readgeekygirl/status/1218254161118027781","1218254161118027781")</f>
        <v>1218254161118027781</v>
      </c>
      <c r="F438" s="13" t="s">
        <v>2207</v>
      </c>
      <c r="G438" s="14"/>
      <c r="H438" s="14"/>
      <c r="I438" s="15">
        <v>1.0</v>
      </c>
      <c r="J438" s="15">
        <v>0.0</v>
      </c>
      <c r="K438" s="12" t="str">
        <f>HYPERLINK("https://about.twitter.com/products/tweetdeck","TweetDeck")</f>
        <v>TweetDeck</v>
      </c>
      <c r="L438" s="16">
        <v>515.0</v>
      </c>
      <c r="M438" s="16">
        <v>613.0</v>
      </c>
      <c r="N438" s="16">
        <v>1.0</v>
      </c>
      <c r="O438" s="17"/>
      <c r="P438" s="18">
        <v>43472.558067129634</v>
      </c>
      <c r="Q438" s="14"/>
      <c r="R438" s="1" t="s">
        <v>2208</v>
      </c>
      <c r="S438" s="13" t="s">
        <v>2209</v>
      </c>
      <c r="T438" s="14"/>
      <c r="U438" s="19" t="str">
        <f>HYPERLINK("https://pbs.twimg.com/profile_images/1212919263620665344/zVaGBirA.jpg","View")</f>
        <v>View</v>
      </c>
      <c r="V438" s="14"/>
      <c r="W438" s="14"/>
      <c r="X438" s="14"/>
      <c r="Y438" s="14"/>
      <c r="Z438" s="14"/>
    </row>
    <row r="439">
      <c r="A439" s="11">
        <v>43847.60324074074</v>
      </c>
      <c r="B439" s="12" t="str">
        <f>HYPERLINK("https://twitter.com/HassanLifeCoach","@HassanLifeCoach")</f>
        <v>@HassanLifeCoach</v>
      </c>
      <c r="C439" s="1" t="s">
        <v>2210</v>
      </c>
      <c r="D439" s="1" t="s">
        <v>2211</v>
      </c>
      <c r="E439" s="12" t="str">
        <f>HYPERLINK("https://twitter.com/HassanLifeCoach/status/1218253825238347776","1218253825238347776")</f>
        <v>1218253825238347776</v>
      </c>
      <c r="F439" s="14"/>
      <c r="G439" s="13" t="s">
        <v>2212</v>
      </c>
      <c r="H439" s="14"/>
      <c r="I439" s="15">
        <v>20.0</v>
      </c>
      <c r="J439" s="15">
        <v>44.0</v>
      </c>
      <c r="K439" s="12" t="str">
        <f>HYPERLINK("http://twitter.com/download/android","Twitter for Android")</f>
        <v>Twitter for Android</v>
      </c>
      <c r="L439" s="16">
        <v>15939.0</v>
      </c>
      <c r="M439" s="16">
        <v>5834.0</v>
      </c>
      <c r="N439" s="16">
        <v>138.0</v>
      </c>
      <c r="O439" s="17"/>
      <c r="P439" s="18">
        <v>39445.06917824074</v>
      </c>
      <c r="Q439" s="1" t="s">
        <v>1472</v>
      </c>
      <c r="R439" s="1" t="s">
        <v>2213</v>
      </c>
      <c r="S439" s="13" t="s">
        <v>2214</v>
      </c>
      <c r="T439" s="14"/>
      <c r="U439" s="19" t="str">
        <f>HYPERLINK("https://pbs.twimg.com/profile_images/958012747903533056/XiPyH6Kd.jpg","View")</f>
        <v>View</v>
      </c>
      <c r="V439" s="14"/>
      <c r="W439" s="14"/>
      <c r="X439" s="14"/>
      <c r="Y439" s="14"/>
      <c r="Z439" s="14"/>
    </row>
    <row r="440">
      <c r="A440" s="11">
        <v>43847.60084490741</v>
      </c>
      <c r="B440" s="12" t="str">
        <f>HYPERLINK("https://twitter.com/bazarama","@bazarama")</f>
        <v>@bazarama</v>
      </c>
      <c r="C440" s="1" t="s">
        <v>2215</v>
      </c>
      <c r="D440" s="1" t="s">
        <v>2216</v>
      </c>
      <c r="E440" s="12" t="str">
        <f>HYPERLINK("https://twitter.com/bazarama/status/1218252955163549698","1218252955163549698")</f>
        <v>1218252955163549698</v>
      </c>
      <c r="F440" s="14"/>
      <c r="G440" s="14"/>
      <c r="H440" s="14"/>
      <c r="I440" s="15">
        <v>0.0</v>
      </c>
      <c r="J440" s="15">
        <v>0.0</v>
      </c>
      <c r="K440" s="12" t="str">
        <f>HYPERLINK("http://twitter.com/download/iphone","Twitter for iPhone")</f>
        <v>Twitter for iPhone</v>
      </c>
      <c r="L440" s="16">
        <v>18.0</v>
      </c>
      <c r="M440" s="16">
        <v>74.0</v>
      </c>
      <c r="N440" s="16">
        <v>0.0</v>
      </c>
      <c r="O440" s="17"/>
      <c r="P440" s="18">
        <v>40128.73253472222</v>
      </c>
      <c r="Q440" s="1" t="s">
        <v>1417</v>
      </c>
      <c r="R440" s="14"/>
      <c r="S440" s="14"/>
      <c r="T440" s="14"/>
      <c r="U440" s="19" t="str">
        <f>HYPERLINK("https://pbs.twimg.com/profile_images/487565149142646784/1XQn8LcJ.jpeg","View")</f>
        <v>View</v>
      </c>
      <c r="V440" s="14"/>
      <c r="W440" s="14"/>
      <c r="X440" s="14"/>
      <c r="Y440" s="14"/>
      <c r="Z440" s="14"/>
    </row>
    <row r="441">
      <c r="A441" s="11">
        <v>43847.60078703704</v>
      </c>
      <c r="B441" s="12" t="str">
        <f>HYPERLINK("https://twitter.com/bfastleadership","@bfastleadership")</f>
        <v>@bfastleadership</v>
      </c>
      <c r="C441" s="1" t="s">
        <v>2217</v>
      </c>
      <c r="D441" s="1" t="s">
        <v>2218</v>
      </c>
      <c r="E441" s="12" t="str">
        <f>HYPERLINK("https://twitter.com/bfastleadership/status/1218252933420191747","1218252933420191747")</f>
        <v>1218252933420191747</v>
      </c>
      <c r="F441" s="13" t="s">
        <v>2219</v>
      </c>
      <c r="G441" s="14"/>
      <c r="H441" s="14"/>
      <c r="I441" s="15">
        <v>0.0</v>
      </c>
      <c r="J441" s="15">
        <v>2.0</v>
      </c>
      <c r="K441" s="12" t="str">
        <f t="shared" ref="K441:K442" si="44">HYPERLINK("https://www.hootsuite.com","Hootsuite Inc.")</f>
        <v>Hootsuite Inc.</v>
      </c>
      <c r="L441" s="16">
        <v>2304.0</v>
      </c>
      <c r="M441" s="16">
        <v>4204.0</v>
      </c>
      <c r="N441" s="16">
        <v>47.0</v>
      </c>
      <c r="O441" s="17"/>
      <c r="P441" s="18">
        <v>42517.9312037037</v>
      </c>
      <c r="Q441" s="1" t="s">
        <v>2220</v>
      </c>
      <c r="R441" s="1" t="s">
        <v>2221</v>
      </c>
      <c r="S441" s="13" t="s">
        <v>2222</v>
      </c>
      <c r="T441" s="14"/>
      <c r="U441" s="19" t="str">
        <f>HYPERLINK("https://pbs.twimg.com/profile_images/1133436167871967232/L-N3QZN5.png","View")</f>
        <v>View</v>
      </c>
      <c r="V441" s="14"/>
      <c r="W441" s="14"/>
      <c r="X441" s="14"/>
      <c r="Y441" s="14"/>
      <c r="Z441" s="14"/>
    </row>
    <row r="442">
      <c r="A442" s="11">
        <v>43847.60077546297</v>
      </c>
      <c r="B442" s="12" t="str">
        <f>HYPERLINK("https://twitter.com/nova_gastro","@nova_gastro")</f>
        <v>@nova_gastro</v>
      </c>
      <c r="C442" s="1" t="s">
        <v>2223</v>
      </c>
      <c r="D442" s="1" t="s">
        <v>2224</v>
      </c>
      <c r="E442" s="12" t="str">
        <f>HYPERLINK("https://twitter.com/nova_gastro/status/1218252930685591554","1218252930685591554")</f>
        <v>1218252930685591554</v>
      </c>
      <c r="F442" s="13" t="s">
        <v>2225</v>
      </c>
      <c r="G442" s="14"/>
      <c r="H442" s="14"/>
      <c r="I442" s="15">
        <v>1.0</v>
      </c>
      <c r="J442" s="15">
        <v>1.0</v>
      </c>
      <c r="K442" s="12" t="str">
        <f t="shared" si="44"/>
        <v>Hootsuite Inc.</v>
      </c>
      <c r="L442" s="16">
        <v>5.0</v>
      </c>
      <c r="M442" s="16">
        <v>0.0</v>
      </c>
      <c r="N442" s="16">
        <v>0.0</v>
      </c>
      <c r="O442" s="17"/>
      <c r="P442" s="18">
        <v>43445.613900462966</v>
      </c>
      <c r="Q442" s="1" t="s">
        <v>2226</v>
      </c>
      <c r="R442" s="1" t="s">
        <v>2227</v>
      </c>
      <c r="S442" s="13" t="s">
        <v>2228</v>
      </c>
      <c r="T442" s="14"/>
      <c r="U442" s="19" t="str">
        <f>HYPERLINK("https://pbs.twimg.com/profile_images/1072577928603557888/RyTFW0iJ.jpg","View")</f>
        <v>View</v>
      </c>
      <c r="V442" s="14"/>
      <c r="W442" s="14"/>
      <c r="X442" s="14"/>
      <c r="Y442" s="14"/>
      <c r="Z442" s="14"/>
    </row>
    <row r="443">
      <c r="A443" s="11">
        <v>43847.6</v>
      </c>
      <c r="B443" s="12" t="str">
        <f>HYPERLINK("https://twitter.com/therapytoronto","@therapytoronto")</f>
        <v>@therapytoronto</v>
      </c>
      <c r="C443" s="1" t="s">
        <v>2229</v>
      </c>
      <c r="D443" s="1" t="s">
        <v>2230</v>
      </c>
      <c r="E443" s="12" t="str">
        <f>HYPERLINK("https://twitter.com/therapytoronto/status/1218252649104953344","1218252649104953344")</f>
        <v>1218252649104953344</v>
      </c>
      <c r="F443" s="13" t="s">
        <v>2231</v>
      </c>
      <c r="G443" s="14"/>
      <c r="H443" s="14"/>
      <c r="I443" s="15">
        <v>0.0</v>
      </c>
      <c r="J443" s="15">
        <v>0.0</v>
      </c>
      <c r="K443" s="12" t="str">
        <f>HYPERLINK("https://about.twitter.com/products/tweetdeck","TweetDeck")</f>
        <v>TweetDeck</v>
      </c>
      <c r="L443" s="16">
        <v>629.0</v>
      </c>
      <c r="M443" s="16">
        <v>154.0</v>
      </c>
      <c r="N443" s="16">
        <v>48.0</v>
      </c>
      <c r="O443" s="17"/>
      <c r="P443" s="18">
        <v>40354.71115740741</v>
      </c>
      <c r="Q443" s="1" t="s">
        <v>2232</v>
      </c>
      <c r="R443" s="1" t="s">
        <v>2233</v>
      </c>
      <c r="S443" s="13" t="s">
        <v>2234</v>
      </c>
      <c r="T443" s="14"/>
      <c r="U443" s="19" t="str">
        <f>HYPERLINK("https://pbs.twimg.com/profile_images/1133182802290192384/nFneLNAp.jpg","View")</f>
        <v>View</v>
      </c>
      <c r="V443" s="14"/>
      <c r="W443" s="14"/>
      <c r="X443" s="14"/>
      <c r="Y443" s="14"/>
      <c r="Z443" s="14"/>
    </row>
    <row r="444">
      <c r="A444" s="11">
        <v>43847.59952546297</v>
      </c>
      <c r="B444" s="12" t="str">
        <f>HYPERLINK("https://twitter.com/JimDwyerMD","@JimDwyerMD")</f>
        <v>@JimDwyerMD</v>
      </c>
      <c r="C444" s="1" t="s">
        <v>2235</v>
      </c>
      <c r="D444" s="1" t="s">
        <v>2236</v>
      </c>
      <c r="E444" s="12" t="str">
        <f>HYPERLINK("https://twitter.com/JimDwyerMD/status/1218252476744265728","1218252476744265728")</f>
        <v>1218252476744265728</v>
      </c>
      <c r="F444" s="13" t="s">
        <v>2237</v>
      </c>
      <c r="G444" s="13" t="s">
        <v>2238</v>
      </c>
      <c r="H444" s="14"/>
      <c r="I444" s="15">
        <v>0.0</v>
      </c>
      <c r="J444" s="15">
        <v>1.0</v>
      </c>
      <c r="K444" s="12" t="str">
        <f>HYPERLINK("https://mobile.twitter.com","Twitter Web App")</f>
        <v>Twitter Web App</v>
      </c>
      <c r="L444" s="16">
        <v>73.0</v>
      </c>
      <c r="M444" s="16">
        <v>211.0</v>
      </c>
      <c r="N444" s="16">
        <v>0.0</v>
      </c>
      <c r="O444" s="17"/>
      <c r="P444" s="18">
        <v>43808.63650462963</v>
      </c>
      <c r="Q444" s="1" t="s">
        <v>2239</v>
      </c>
      <c r="R444" s="1" t="s">
        <v>2240</v>
      </c>
      <c r="S444" s="13" t="s">
        <v>2241</v>
      </c>
      <c r="T444" s="14"/>
      <c r="U444" s="19" t="str">
        <f>HYPERLINK("https://pbs.twimg.com/profile_images/1204134171750391809/NrRlHuSL.jpg","View")</f>
        <v>View</v>
      </c>
      <c r="V444" s="14"/>
      <c r="W444" s="14"/>
      <c r="X444" s="14"/>
      <c r="Y444" s="14"/>
      <c r="Z444" s="14"/>
    </row>
    <row r="445">
      <c r="A445" s="11">
        <v>43847.598182870366</v>
      </c>
      <c r="B445" s="12" t="str">
        <f>HYPERLINK("https://twitter.com/StephAndel23","@StephAndel23")</f>
        <v>@StephAndel23</v>
      </c>
      <c r="C445" s="1" t="s">
        <v>2242</v>
      </c>
      <c r="D445" s="1" t="s">
        <v>2243</v>
      </c>
      <c r="E445" s="12" t="str">
        <f>HYPERLINK("https://twitter.com/StephAndel23/status/1218251992918827009","1218251992918827009")</f>
        <v>1218251992918827009</v>
      </c>
      <c r="F445" s="13" t="s">
        <v>2244</v>
      </c>
      <c r="G445" s="14"/>
      <c r="H445" s="14"/>
      <c r="I445" s="15">
        <v>0.0</v>
      </c>
      <c r="J445" s="15">
        <v>1.0</v>
      </c>
      <c r="K445" s="12" t="str">
        <f>HYPERLINK("http://twitter.com","Twitter Web Client")</f>
        <v>Twitter Web Client</v>
      </c>
      <c r="L445" s="16">
        <v>45.0</v>
      </c>
      <c r="M445" s="16">
        <v>155.0</v>
      </c>
      <c r="N445" s="16">
        <v>1.0</v>
      </c>
      <c r="O445" s="17"/>
      <c r="P445" s="18">
        <v>39977.04201388889</v>
      </c>
      <c r="Q445" s="1" t="s">
        <v>2245</v>
      </c>
      <c r="R445" s="1" t="s">
        <v>2246</v>
      </c>
      <c r="S445" s="14"/>
      <c r="T445" s="14"/>
      <c r="U445" s="19" t="str">
        <f>HYPERLINK("https://pbs.twimg.com/profile_images/1218236177477767169/9W6X3JKy.jpg","View")</f>
        <v>View</v>
      </c>
      <c r="V445" s="14"/>
      <c r="W445" s="14"/>
      <c r="X445" s="14"/>
      <c r="Y445" s="14"/>
      <c r="Z445" s="14"/>
    </row>
    <row r="446">
      <c r="A446" s="11">
        <v>43847.597037037034</v>
      </c>
      <c r="B446" s="12" t="str">
        <f>HYPERLINK("https://twitter.com/Delightful","@Delightful")</f>
        <v>@Delightful</v>
      </c>
      <c r="C446" s="1" t="s">
        <v>2247</v>
      </c>
      <c r="D446" s="1" t="s">
        <v>2248</v>
      </c>
      <c r="E446" s="12" t="str">
        <f>HYPERLINK("https://twitter.com/Delightful/status/1218251578089582594","1218251578089582594")</f>
        <v>1218251578089582594</v>
      </c>
      <c r="F446" s="13" t="s">
        <v>2249</v>
      </c>
      <c r="G446" s="13" t="s">
        <v>2250</v>
      </c>
      <c r="H446" s="14"/>
      <c r="I446" s="15">
        <v>0.0</v>
      </c>
      <c r="J446" s="15">
        <v>0.0</v>
      </c>
      <c r="K446" s="12" t="str">
        <f>HYPERLINK("https://buffer.com","Buffer")</f>
        <v>Buffer</v>
      </c>
      <c r="L446" s="16">
        <v>673.0</v>
      </c>
      <c r="M446" s="16">
        <v>144.0</v>
      </c>
      <c r="N446" s="16">
        <v>287.0</v>
      </c>
      <c r="O446" s="17"/>
      <c r="P446" s="18">
        <v>41116.08048611111</v>
      </c>
      <c r="Q446" s="1" t="s">
        <v>2251</v>
      </c>
      <c r="R446" s="1" t="s">
        <v>2252</v>
      </c>
      <c r="S446" s="13" t="s">
        <v>2253</v>
      </c>
      <c r="T446" s="14"/>
      <c r="U446" s="19" t="str">
        <f>HYPERLINK("https://pbs.twimg.com/profile_images/484457137083396097/lDaF0sP9.jpeg","View")</f>
        <v>View</v>
      </c>
      <c r="V446" s="14"/>
      <c r="W446" s="14"/>
      <c r="X446" s="14"/>
      <c r="Y446" s="14"/>
      <c r="Z446" s="14"/>
    </row>
    <row r="447">
      <c r="A447" s="11">
        <v>43847.59696759259</v>
      </c>
      <c r="B447" s="12" t="str">
        <f>HYPERLINK("https://twitter.com/TheGroomNStyle","@TheGroomNStyle")</f>
        <v>@TheGroomNStyle</v>
      </c>
      <c r="C447" s="1" t="s">
        <v>2254</v>
      </c>
      <c r="D447" s="1" t="s">
        <v>2255</v>
      </c>
      <c r="E447" s="12" t="str">
        <f>HYPERLINK("https://twitter.com/TheGroomNStyle/status/1218251551980097538","1218251551980097538")</f>
        <v>1218251551980097538</v>
      </c>
      <c r="F447" s="13" t="s">
        <v>2256</v>
      </c>
      <c r="G447" s="13" t="s">
        <v>2257</v>
      </c>
      <c r="H447" s="14"/>
      <c r="I447" s="15">
        <v>0.0</v>
      </c>
      <c r="J447" s="15">
        <v>0.0</v>
      </c>
      <c r="K447" s="12" t="str">
        <f>HYPERLINK("http://twitter.com/download/iphone","Twitter for iPhone")</f>
        <v>Twitter for iPhone</v>
      </c>
      <c r="L447" s="16">
        <v>4298.0</v>
      </c>
      <c r="M447" s="16">
        <v>5092.0</v>
      </c>
      <c r="N447" s="16">
        <v>39.0</v>
      </c>
      <c r="O447" s="17"/>
      <c r="P447" s="18">
        <v>41796.454618055555</v>
      </c>
      <c r="Q447" s="14"/>
      <c r="R447" s="1" t="s">
        <v>2258</v>
      </c>
      <c r="S447" s="13" t="s">
        <v>2259</v>
      </c>
      <c r="T447" s="14"/>
      <c r="U447" s="19" t="str">
        <f>HYPERLINK("https://pbs.twimg.com/profile_images/827479439705591808/op4u5gzp.jpg","View")</f>
        <v>View</v>
      </c>
      <c r="V447" s="14"/>
      <c r="W447" s="14"/>
      <c r="X447" s="14"/>
      <c r="Y447" s="14"/>
      <c r="Z447" s="14"/>
    </row>
    <row r="448">
      <c r="A448" s="11">
        <v>43847.59585648148</v>
      </c>
      <c r="B448" s="12" t="str">
        <f>HYPERLINK("https://twitter.com/NavStress","@NavStress")</f>
        <v>@NavStress</v>
      </c>
      <c r="C448" s="1" t="s">
        <v>2260</v>
      </c>
      <c r="D448" s="1" t="s">
        <v>2261</v>
      </c>
      <c r="E448" s="12" t="str">
        <f>HYPERLINK("https://twitter.com/NavStress/status/1218251149461069825","1218251149461069825")</f>
        <v>1218251149461069825</v>
      </c>
      <c r="F448" s="14"/>
      <c r="G448" s="13" t="s">
        <v>2262</v>
      </c>
      <c r="H448" s="14"/>
      <c r="I448" s="15">
        <v>5.0</v>
      </c>
      <c r="J448" s="15">
        <v>10.0</v>
      </c>
      <c r="K448" s="12" t="str">
        <f>HYPERLINK("https://sproutsocial.com","Sprout Social")</f>
        <v>Sprout Social</v>
      </c>
      <c r="L448" s="16">
        <v>2351.0</v>
      </c>
      <c r="M448" s="16">
        <v>622.0</v>
      </c>
      <c r="N448" s="16">
        <v>84.0</v>
      </c>
      <c r="O448" s="17"/>
      <c r="P448" s="18">
        <v>40109.70701388889</v>
      </c>
      <c r="Q448" s="1" t="s">
        <v>2263</v>
      </c>
      <c r="R448" s="1" t="s">
        <v>2264</v>
      </c>
      <c r="S448" s="13" t="s">
        <v>2265</v>
      </c>
      <c r="T448" s="14"/>
      <c r="U448" s="19" t="str">
        <f>HYPERLINK("https://pbs.twimg.com/profile_images/1206607223708880897/cv0pCZEN.jpg","View")</f>
        <v>View</v>
      </c>
      <c r="V448" s="14"/>
      <c r="W448" s="14"/>
      <c r="X448" s="14"/>
      <c r="Y448" s="14"/>
      <c r="Z448" s="14"/>
    </row>
    <row r="449">
      <c r="A449" s="11">
        <v>43847.59550925926</v>
      </c>
      <c r="B449" s="12" t="str">
        <f>HYPERLINK("https://twitter.com/EdiblesZz","@EdiblesZz")</f>
        <v>@EdiblesZz</v>
      </c>
      <c r="C449" s="1" t="s">
        <v>111</v>
      </c>
      <c r="D449" s="1" t="s">
        <v>2266</v>
      </c>
      <c r="E449" s="12" t="str">
        <f>HYPERLINK("https://twitter.com/EdiblesZz/status/1218251021098594306","1218251021098594306")</f>
        <v>1218251021098594306</v>
      </c>
      <c r="F449" s="13" t="s">
        <v>113</v>
      </c>
      <c r="G449" s="13" t="s">
        <v>2267</v>
      </c>
      <c r="H449" s="14"/>
      <c r="I449" s="15">
        <v>0.0</v>
      </c>
      <c r="J449" s="15">
        <v>1.0</v>
      </c>
      <c r="K449" s="12" t="str">
        <f>HYPERLINK("https://mobile.twitter.com","Twitter Web App")</f>
        <v>Twitter Web App</v>
      </c>
      <c r="L449" s="16">
        <v>572.0</v>
      </c>
      <c r="M449" s="16">
        <v>2994.0</v>
      </c>
      <c r="N449" s="16">
        <v>0.0</v>
      </c>
      <c r="O449" s="17"/>
      <c r="P449" s="18">
        <v>43710.57782407408</v>
      </c>
      <c r="Q449" s="1" t="s">
        <v>115</v>
      </c>
      <c r="R449" s="1" t="s">
        <v>116</v>
      </c>
      <c r="S449" s="13" t="s">
        <v>117</v>
      </c>
      <c r="T449" s="14"/>
      <c r="U449" s="19" t="str">
        <f>HYPERLINK("https://pbs.twimg.com/profile_images/1168582465058934785/vS2Yhnlj.jpg","View")</f>
        <v>View</v>
      </c>
      <c r="V449" s="14"/>
      <c r="W449" s="14"/>
      <c r="X449" s="14"/>
      <c r="Y449" s="14"/>
      <c r="Z449" s="14"/>
    </row>
    <row r="450">
      <c r="A450" s="11">
        <v>43847.59516203703</v>
      </c>
      <c r="B450" s="12" t="str">
        <f>HYPERLINK("https://twitter.com/BeaconAgency","@BeaconAgency")</f>
        <v>@BeaconAgency</v>
      </c>
      <c r="C450" s="1" t="s">
        <v>2268</v>
      </c>
      <c r="D450" s="21" t="s">
        <v>223</v>
      </c>
      <c r="E450" s="12" t="str">
        <f>HYPERLINK("https://twitter.com/BeaconAgency/status/1218250896259395586","1218250896259395586")</f>
        <v>1218250896259395586</v>
      </c>
      <c r="F450" s="13" t="s">
        <v>2269</v>
      </c>
      <c r="G450" s="13" t="s">
        <v>2270</v>
      </c>
      <c r="H450" s="14"/>
      <c r="I450" s="15">
        <v>0.0</v>
      </c>
      <c r="J450" s="15">
        <v>0.0</v>
      </c>
      <c r="K450" s="12" t="str">
        <f t="shared" ref="K450:K453" si="45">HYPERLINK("https://buffer.com","Buffer")</f>
        <v>Buffer</v>
      </c>
      <c r="L450" s="16">
        <v>262.0</v>
      </c>
      <c r="M450" s="16">
        <v>212.0</v>
      </c>
      <c r="N450" s="16">
        <v>439.0</v>
      </c>
      <c r="O450" s="17"/>
      <c r="P450" s="18">
        <v>41504.982465277775</v>
      </c>
      <c r="Q450" s="1" t="s">
        <v>2271</v>
      </c>
      <c r="R450" s="1" t="s">
        <v>2272</v>
      </c>
      <c r="S450" s="13" t="s">
        <v>2273</v>
      </c>
      <c r="T450" s="14"/>
      <c r="U450" s="19" t="str">
        <f>HYPERLINK("https://pbs.twimg.com/profile_images/937869741724540929/woFw_6G2.jpg","View")</f>
        <v>View</v>
      </c>
      <c r="V450" s="14"/>
      <c r="W450" s="14"/>
      <c r="X450" s="14"/>
      <c r="Y450" s="14"/>
      <c r="Z450" s="14"/>
    </row>
    <row r="451">
      <c r="A451" s="11">
        <v>43847.59307870371</v>
      </c>
      <c r="B451" s="12" t="str">
        <f>HYPERLINK("https://twitter.com/DailyWaffle","@DailyWaffle")</f>
        <v>@DailyWaffle</v>
      </c>
      <c r="C451" s="1" t="s">
        <v>2274</v>
      </c>
      <c r="D451" s="1" t="s">
        <v>2275</v>
      </c>
      <c r="E451" s="12" t="str">
        <f>HYPERLINK("https://twitter.com/DailyWaffle/status/1218250140601012224","1218250140601012224")</f>
        <v>1218250140601012224</v>
      </c>
      <c r="F451" s="13" t="s">
        <v>2276</v>
      </c>
      <c r="G451" s="13" t="s">
        <v>2277</v>
      </c>
      <c r="H451" s="14"/>
      <c r="I451" s="15">
        <v>1.0</v>
      </c>
      <c r="J451" s="15">
        <v>0.0</v>
      </c>
      <c r="K451" s="12" t="str">
        <f t="shared" si="45"/>
        <v>Buffer</v>
      </c>
      <c r="L451" s="16">
        <v>2527.0</v>
      </c>
      <c r="M451" s="16">
        <v>2181.0</v>
      </c>
      <c r="N451" s="16">
        <v>134.0</v>
      </c>
      <c r="O451" s="17"/>
      <c r="P451" s="18">
        <v>40568.26107638889</v>
      </c>
      <c r="Q451" s="1" t="s">
        <v>2278</v>
      </c>
      <c r="R451" s="1" t="s">
        <v>2279</v>
      </c>
      <c r="S451" s="13" t="s">
        <v>2280</v>
      </c>
      <c r="T451" s="14"/>
      <c r="U451" s="19" t="str">
        <f>HYPERLINK("https://pbs.twimg.com/profile_images/378800000704624480/d79e97179fbe43cc0306bbafbf096b73.jpeg","View")</f>
        <v>View</v>
      </c>
      <c r="V451" s="14"/>
      <c r="W451" s="14"/>
      <c r="X451" s="14"/>
      <c r="Y451" s="14"/>
      <c r="Z451" s="14"/>
    </row>
    <row r="452">
      <c r="A452" s="11">
        <v>43847.59032407407</v>
      </c>
      <c r="B452" s="12" t="str">
        <f>HYPERLINK("https://twitter.com/DivergentCIO","@DivergentCIO")</f>
        <v>@DivergentCIO</v>
      </c>
      <c r="C452" s="1" t="s">
        <v>536</v>
      </c>
      <c r="D452" s="1" t="s">
        <v>571</v>
      </c>
      <c r="E452" s="12" t="str">
        <f>HYPERLINK("https://twitter.com/DivergentCIO/status/1218249145410117634","1218249145410117634")</f>
        <v>1218249145410117634</v>
      </c>
      <c r="F452" s="13" t="s">
        <v>572</v>
      </c>
      <c r="G452" s="14"/>
      <c r="H452" s="14"/>
      <c r="I452" s="15">
        <v>0.0</v>
      </c>
      <c r="J452" s="15">
        <v>1.0</v>
      </c>
      <c r="K452" s="12" t="str">
        <f t="shared" si="45"/>
        <v>Buffer</v>
      </c>
      <c r="L452" s="16">
        <v>28703.0</v>
      </c>
      <c r="M452" s="16">
        <v>25615.0</v>
      </c>
      <c r="N452" s="16">
        <v>1729.0</v>
      </c>
      <c r="O452" s="17"/>
      <c r="P452" s="18">
        <v>42071.738854166666</v>
      </c>
      <c r="Q452" s="1" t="s">
        <v>539</v>
      </c>
      <c r="R452" s="1" t="s">
        <v>540</v>
      </c>
      <c r="S452" s="13" t="s">
        <v>541</v>
      </c>
      <c r="T452" s="14"/>
      <c r="U452" s="19" t="str">
        <f>HYPERLINK("https://pbs.twimg.com/profile_images/767507322583199745/rpfbzBzg.jpg","View")</f>
        <v>View</v>
      </c>
      <c r="V452" s="14"/>
      <c r="W452" s="14"/>
      <c r="X452" s="14"/>
      <c r="Y452" s="14"/>
      <c r="Z452" s="14"/>
    </row>
    <row r="453">
      <c r="A453" s="11">
        <v>43847.59032407407</v>
      </c>
      <c r="B453" s="12" t="str">
        <f>HYPERLINK("https://twitter.com/magnawavePEMF","@magnawavePEMF")</f>
        <v>@magnawavePEMF</v>
      </c>
      <c r="C453" s="1" t="s">
        <v>2281</v>
      </c>
      <c r="D453" s="1" t="s">
        <v>2282</v>
      </c>
      <c r="E453" s="12" t="str">
        <f>HYPERLINK("https://twitter.com/magnawavePEMF/status/1218249143723925504","1218249143723925504")</f>
        <v>1218249143723925504</v>
      </c>
      <c r="F453" s="13" t="s">
        <v>2283</v>
      </c>
      <c r="G453" s="13" t="s">
        <v>2284</v>
      </c>
      <c r="H453" s="14"/>
      <c r="I453" s="15">
        <v>0.0</v>
      </c>
      <c r="J453" s="15">
        <v>0.0</v>
      </c>
      <c r="K453" s="12" t="str">
        <f t="shared" si="45"/>
        <v>Buffer</v>
      </c>
      <c r="L453" s="16">
        <v>642.0</v>
      </c>
      <c r="M453" s="16">
        <v>1263.0</v>
      </c>
      <c r="N453" s="16">
        <v>15.0</v>
      </c>
      <c r="O453" s="17"/>
      <c r="P453" s="18">
        <v>39748.36106481482</v>
      </c>
      <c r="Q453" s="1" t="s">
        <v>2285</v>
      </c>
      <c r="R453" s="1" t="s">
        <v>2286</v>
      </c>
      <c r="S453" s="13" t="s">
        <v>2287</v>
      </c>
      <c r="T453" s="14"/>
      <c r="U453" s="19" t="str">
        <f>HYPERLINK("https://pbs.twimg.com/profile_images/1207361142890389504/baX5a8dh.jpg","View")</f>
        <v>View</v>
      </c>
      <c r="V453" s="14"/>
      <c r="W453" s="14"/>
      <c r="X453" s="14"/>
      <c r="Y453" s="14"/>
      <c r="Z453" s="14"/>
    </row>
    <row r="454">
      <c r="A454" s="11">
        <v>43847.58616898148</v>
      </c>
      <c r="B454" s="12" t="str">
        <f>HYPERLINK("https://twitter.com/neuroflowlive","@neuroflowlive")</f>
        <v>@neuroflowlive</v>
      </c>
      <c r="C454" s="1" t="s">
        <v>2288</v>
      </c>
      <c r="D454" s="1" t="s">
        <v>2289</v>
      </c>
      <c r="E454" s="12" t="str">
        <f>HYPERLINK("https://twitter.com/neuroflowlive/status/1218247637926928386","1218247637926928386")</f>
        <v>1218247637926928386</v>
      </c>
      <c r="F454" s="14"/>
      <c r="G454" s="13" t="s">
        <v>2290</v>
      </c>
      <c r="H454" s="14"/>
      <c r="I454" s="15">
        <v>0.0</v>
      </c>
      <c r="J454" s="15">
        <v>0.0</v>
      </c>
      <c r="K454" s="12" t="str">
        <f>HYPERLINK("http://www.hubspot.com/","HubSpot")</f>
        <v>HubSpot</v>
      </c>
      <c r="L454" s="16">
        <v>888.0</v>
      </c>
      <c r="M454" s="16">
        <v>1447.0</v>
      </c>
      <c r="N454" s="16">
        <v>16.0</v>
      </c>
      <c r="O454" s="17"/>
      <c r="P454" s="18">
        <v>42802.66462962963</v>
      </c>
      <c r="Q454" s="1" t="s">
        <v>2015</v>
      </c>
      <c r="R454" s="1" t="s">
        <v>2291</v>
      </c>
      <c r="S454" s="13" t="s">
        <v>2292</v>
      </c>
      <c r="T454" s="14"/>
      <c r="U454" s="19" t="str">
        <f>HYPERLINK("https://pbs.twimg.com/profile_images/1048386258378973184/mkvdztzj.jpg","View")</f>
        <v>View</v>
      </c>
      <c r="V454" s="14"/>
      <c r="W454" s="14"/>
      <c r="X454" s="14"/>
      <c r="Y454" s="14"/>
      <c r="Z454" s="14"/>
    </row>
    <row r="455">
      <c r="A455" s="11">
        <v>43847.583449074074</v>
      </c>
      <c r="B455" s="12" t="str">
        <f>HYPERLINK("https://twitter.com/Tap_In2_U","@Tap_In2_U")</f>
        <v>@Tap_In2_U</v>
      </c>
      <c r="C455" s="1" t="s">
        <v>1576</v>
      </c>
      <c r="D455" s="1" t="s">
        <v>2293</v>
      </c>
      <c r="E455" s="12" t="str">
        <f>HYPERLINK("https://twitter.com/Tap_In2_U/status/1218246652756201472","1218246652756201472")</f>
        <v>1218246652756201472</v>
      </c>
      <c r="F455" s="13" t="s">
        <v>1859</v>
      </c>
      <c r="G455" s="14"/>
      <c r="H455" s="14"/>
      <c r="I455" s="15">
        <v>0.0</v>
      </c>
      <c r="J455" s="15">
        <v>0.0</v>
      </c>
      <c r="K455" s="12" t="str">
        <f>HYPERLINK("https://www.socialoomph.com","SocialOomph")</f>
        <v>SocialOomph</v>
      </c>
      <c r="L455" s="16">
        <v>21140.0</v>
      </c>
      <c r="M455" s="16">
        <v>24508.0</v>
      </c>
      <c r="N455" s="16">
        <v>429.0</v>
      </c>
      <c r="O455" s="17"/>
      <c r="P455" s="18">
        <v>40340.859293981484</v>
      </c>
      <c r="Q455" s="1" t="s">
        <v>1579</v>
      </c>
      <c r="R455" s="1" t="s">
        <v>1580</v>
      </c>
      <c r="S455" s="13" t="s">
        <v>1581</v>
      </c>
      <c r="T455" s="14"/>
      <c r="U455" s="19" t="str">
        <f>HYPERLINK("https://pbs.twimg.com/profile_images/981805531/law-gold-thought-radiate.jpg","View")</f>
        <v>View</v>
      </c>
      <c r="V455" s="14"/>
      <c r="W455" s="14"/>
      <c r="X455" s="14"/>
      <c r="Y455" s="14"/>
      <c r="Z455" s="14"/>
    </row>
    <row r="456">
      <c r="A456" s="11">
        <v>43847.58334490741</v>
      </c>
      <c r="B456" s="12" t="str">
        <f>HYPERLINK("https://twitter.com/terafulbright","@terafulbright")</f>
        <v>@terafulbright</v>
      </c>
      <c r="C456" s="1" t="s">
        <v>2294</v>
      </c>
      <c r="D456" s="1" t="s">
        <v>2295</v>
      </c>
      <c r="E456" s="12" t="str">
        <f>HYPERLINK("https://twitter.com/terafulbright/status/1218246616597004292","1218246616597004292")</f>
        <v>1218246616597004292</v>
      </c>
      <c r="F456" s="13" t="s">
        <v>2296</v>
      </c>
      <c r="G456" s="14"/>
      <c r="H456" s="14"/>
      <c r="I456" s="15">
        <v>0.0</v>
      </c>
      <c r="J456" s="15">
        <v>0.0</v>
      </c>
      <c r="K456" s="12" t="str">
        <f>HYPERLINK("https://getbambu.com","Bambu by Sprout Social")</f>
        <v>Bambu by Sprout Social</v>
      </c>
      <c r="L456" s="16">
        <v>323.0</v>
      </c>
      <c r="M456" s="16">
        <v>436.0</v>
      </c>
      <c r="N456" s="16">
        <v>14.0</v>
      </c>
      <c r="O456" s="17"/>
      <c r="P456" s="18">
        <v>40155.59898148148</v>
      </c>
      <c r="Q456" s="14"/>
      <c r="R456" s="1" t="s">
        <v>2297</v>
      </c>
      <c r="S456" s="13" t="s">
        <v>2298</v>
      </c>
      <c r="T456" s="14"/>
      <c r="U456" s="19" t="str">
        <f>HYPERLINK("https://pbs.twimg.com/profile_images/555471235518181376/DWv0gQZ0.jpeg","View")</f>
        <v>View</v>
      </c>
      <c r="V456" s="14"/>
      <c r="W456" s="14"/>
      <c r="X456" s="14"/>
      <c r="Y456" s="14"/>
      <c r="Z456" s="14"/>
    </row>
    <row r="457">
      <c r="A457" s="11">
        <v>43847.58333333333</v>
      </c>
      <c r="B457" s="12" t="str">
        <f>HYPERLINK("https://twitter.com/WeHearYouZA","@WeHearYouZA")</f>
        <v>@WeHearYouZA</v>
      </c>
      <c r="C457" s="1" t="s">
        <v>2299</v>
      </c>
      <c r="D457" s="1" t="s">
        <v>2300</v>
      </c>
      <c r="E457" s="12" t="str">
        <f>HYPERLINK("https://twitter.com/WeHearYouZA/status/1218246610611789824","1218246610611789824")</f>
        <v>1218246610611789824</v>
      </c>
      <c r="F457" s="14"/>
      <c r="G457" s="13" t="s">
        <v>2301</v>
      </c>
      <c r="H457" s="14"/>
      <c r="I457" s="15">
        <v>0.0</v>
      </c>
      <c r="J457" s="15">
        <v>1.0</v>
      </c>
      <c r="K457" s="12" t="str">
        <f>HYPERLINK("https://about.twitter.com/products/tweetdeck","TweetDeck")</f>
        <v>TweetDeck</v>
      </c>
      <c r="L457" s="16">
        <v>26.0</v>
      </c>
      <c r="M457" s="16">
        <v>43.0</v>
      </c>
      <c r="N457" s="16">
        <v>4.0</v>
      </c>
      <c r="O457" s="17"/>
      <c r="P457" s="18">
        <v>43661.22396990741</v>
      </c>
      <c r="Q457" s="1" t="s">
        <v>2302</v>
      </c>
      <c r="R457" s="1" t="s">
        <v>2303</v>
      </c>
      <c r="S457" s="13" t="s">
        <v>2304</v>
      </c>
      <c r="T457" s="14"/>
      <c r="U457" s="19" t="str">
        <f>HYPERLINK("https://pbs.twimg.com/profile_images/1153562188415737856/1QVWKhWI.jpg","View")</f>
        <v>View</v>
      </c>
      <c r="V457" s="14"/>
      <c r="W457" s="14"/>
      <c r="X457" s="14"/>
      <c r="Y457" s="14"/>
      <c r="Z457" s="14"/>
    </row>
    <row r="458">
      <c r="A458" s="11">
        <v>43847.575266203705</v>
      </c>
      <c r="B458" s="12" t="str">
        <f>HYPERLINK("https://twitter.com/ScentFill","@ScentFill")</f>
        <v>@ScentFill</v>
      </c>
      <c r="C458" s="1" t="s">
        <v>960</v>
      </c>
      <c r="D458" s="1" t="s">
        <v>2305</v>
      </c>
      <c r="E458" s="12" t="str">
        <f>HYPERLINK("https://twitter.com/ScentFill/status/1218243687131635712","1218243687131635712")</f>
        <v>1218243687131635712</v>
      </c>
      <c r="F458" s="14"/>
      <c r="G458" s="13" t="s">
        <v>2306</v>
      </c>
      <c r="H458" s="14"/>
      <c r="I458" s="15">
        <v>0.0</v>
      </c>
      <c r="J458" s="15">
        <v>0.0</v>
      </c>
      <c r="K458" s="12" t="str">
        <f>HYPERLINK("https://www.socialoomph.com","SocialOomph")</f>
        <v>SocialOomph</v>
      </c>
      <c r="L458" s="16">
        <v>1863.0</v>
      </c>
      <c r="M458" s="16">
        <v>2105.0</v>
      </c>
      <c r="N458" s="16">
        <v>25.0</v>
      </c>
      <c r="O458" s="17"/>
      <c r="P458" s="18">
        <v>42692.65809027778</v>
      </c>
      <c r="Q458" s="14"/>
      <c r="R458" s="1" t="s">
        <v>964</v>
      </c>
      <c r="S458" s="13" t="s">
        <v>965</v>
      </c>
      <c r="T458" s="14"/>
      <c r="U458" s="19" t="str">
        <f>HYPERLINK("https://pbs.twimg.com/profile_images/799717698556956672/mdITl9zd.jpg","View")</f>
        <v>View</v>
      </c>
      <c r="V458" s="14"/>
      <c r="W458" s="14"/>
      <c r="X458" s="14"/>
      <c r="Y458" s="14"/>
      <c r="Z458" s="14"/>
    </row>
    <row r="459">
      <c r="A459" s="11">
        <v>43847.57466435185</v>
      </c>
      <c r="B459" s="12" t="str">
        <f>HYPERLINK("https://twitter.com/NFormulary","@NFormulary")</f>
        <v>@NFormulary</v>
      </c>
      <c r="C459" s="1" t="s">
        <v>2307</v>
      </c>
      <c r="D459" s="1" t="s">
        <v>2308</v>
      </c>
      <c r="E459" s="12" t="str">
        <f>HYPERLINK("https://twitter.com/NFormulary/status/1218243470349029379","1218243470349029379")</f>
        <v>1218243470349029379</v>
      </c>
      <c r="F459" s="13" t="s">
        <v>2309</v>
      </c>
      <c r="G459" s="13" t="s">
        <v>2310</v>
      </c>
      <c r="H459" s="14"/>
      <c r="I459" s="15">
        <v>0.0</v>
      </c>
      <c r="J459" s="15">
        <v>2.0</v>
      </c>
      <c r="K459" s="12" t="str">
        <f t="shared" ref="K459:K460" si="46">HYPERLINK("https://mobile.twitter.com","Twitter Web App")</f>
        <v>Twitter Web App</v>
      </c>
      <c r="L459" s="16">
        <v>1524.0</v>
      </c>
      <c r="M459" s="16">
        <v>3423.0</v>
      </c>
      <c r="N459" s="16">
        <v>59.0</v>
      </c>
      <c r="O459" s="17"/>
      <c r="P459" s="18">
        <v>41107.42282407408</v>
      </c>
      <c r="Q459" s="1" t="s">
        <v>2311</v>
      </c>
      <c r="R459" s="1" t="s">
        <v>2312</v>
      </c>
      <c r="S459" s="13" t="s">
        <v>2313</v>
      </c>
      <c r="T459" s="14"/>
      <c r="U459" s="19" t="str">
        <f>HYPERLINK("https://pbs.twimg.com/profile_images/1212114222148136962/iEBnqmKP.jpg","View")</f>
        <v>View</v>
      </c>
      <c r="V459" s="14"/>
      <c r="W459" s="14"/>
      <c r="X459" s="14"/>
      <c r="Y459" s="14"/>
      <c r="Z459" s="14"/>
    </row>
    <row r="460">
      <c r="A460" s="11">
        <v>43847.57179398148</v>
      </c>
      <c r="B460" s="12" t="str">
        <f>HYPERLINK("https://twitter.com/DrChanelShanae","@DrChanelShanae")</f>
        <v>@DrChanelShanae</v>
      </c>
      <c r="C460" s="1" t="s">
        <v>2314</v>
      </c>
      <c r="D460" s="1" t="s">
        <v>2315</v>
      </c>
      <c r="E460" s="12" t="str">
        <f>HYPERLINK("https://twitter.com/DrChanelShanae/status/1218242427577782273","1218242427577782273")</f>
        <v>1218242427577782273</v>
      </c>
      <c r="F460" s="14"/>
      <c r="G460" s="13" t="s">
        <v>2316</v>
      </c>
      <c r="H460" s="14"/>
      <c r="I460" s="15">
        <v>0.0</v>
      </c>
      <c r="J460" s="15">
        <v>0.0</v>
      </c>
      <c r="K460" s="12" t="str">
        <f t="shared" si="46"/>
        <v>Twitter Web App</v>
      </c>
      <c r="L460" s="16">
        <v>128.0</v>
      </c>
      <c r="M460" s="16">
        <v>323.0</v>
      </c>
      <c r="N460" s="16">
        <v>4.0</v>
      </c>
      <c r="O460" s="17"/>
      <c r="P460" s="18">
        <v>41939.04715277778</v>
      </c>
      <c r="Q460" s="1" t="s">
        <v>364</v>
      </c>
      <c r="R460" s="1" t="s">
        <v>2317</v>
      </c>
      <c r="S460" s="13" t="s">
        <v>2318</v>
      </c>
      <c r="T460" s="14"/>
      <c r="U460" s="19" t="str">
        <f>HYPERLINK("https://pbs.twimg.com/profile_images/947976379680800769/ql0KugvQ.jpg","View")</f>
        <v>View</v>
      </c>
      <c r="V460" s="14"/>
      <c r="W460" s="14"/>
      <c r="X460" s="14"/>
      <c r="Y460" s="14"/>
      <c r="Z460" s="14"/>
    </row>
    <row r="461">
      <c r="A461" s="11">
        <v>43847.57166666667</v>
      </c>
      <c r="B461" s="12" t="str">
        <f>HYPERLINK("https://twitter.com/AskDrGanz","@AskDrGanz")</f>
        <v>@AskDrGanz</v>
      </c>
      <c r="C461" s="13" t="s">
        <v>1747</v>
      </c>
      <c r="D461" s="1" t="s">
        <v>2319</v>
      </c>
      <c r="E461" s="12" t="str">
        <f>HYPERLINK("https://twitter.com/AskDrGanz/status/1218242383701135360","1218242383701135360")</f>
        <v>1218242383701135360</v>
      </c>
      <c r="F461" s="13" t="s">
        <v>2320</v>
      </c>
      <c r="G461" s="14"/>
      <c r="H461" s="14"/>
      <c r="I461" s="15">
        <v>0.0</v>
      </c>
      <c r="J461" s="15">
        <v>1.0</v>
      </c>
      <c r="K461" s="12" t="str">
        <f>HYPERLINK("http://twitter.com/download/android","Twitter for Android")</f>
        <v>Twitter for Android</v>
      </c>
      <c r="L461" s="16">
        <v>1112.0</v>
      </c>
      <c r="M461" s="16">
        <v>4975.0</v>
      </c>
      <c r="N461" s="16">
        <v>5.0</v>
      </c>
      <c r="O461" s="17"/>
      <c r="P461" s="18">
        <v>43517.01850694444</v>
      </c>
      <c r="Q461" s="1" t="s">
        <v>1751</v>
      </c>
      <c r="R461" s="1" t="s">
        <v>1752</v>
      </c>
      <c r="S461" s="13" t="s">
        <v>1753</v>
      </c>
      <c r="T461" s="14"/>
      <c r="U461" s="19" t="str">
        <f>HYPERLINK("https://pbs.twimg.com/profile_images/1180437526374301697/0MYADYa_.jpg","View")</f>
        <v>View</v>
      </c>
      <c r="V461" s="14"/>
      <c r="W461" s="14"/>
      <c r="X461" s="14"/>
      <c r="Y461" s="14"/>
      <c r="Z461" s="14"/>
    </row>
    <row r="462">
      <c r="A462" s="11">
        <v>43847.563310185185</v>
      </c>
      <c r="B462" s="12" t="str">
        <f>HYPERLINK("https://twitter.com/herhelpinghabit","@herhelpinghabit")</f>
        <v>@herhelpinghabit</v>
      </c>
      <c r="C462" s="1" t="s">
        <v>2321</v>
      </c>
      <c r="D462" s="1" t="s">
        <v>2322</v>
      </c>
      <c r="E462" s="12" t="str">
        <f>HYPERLINK("https://twitter.com/herhelpinghabit/status/1218239354579099648","1218239354579099648")</f>
        <v>1218239354579099648</v>
      </c>
      <c r="F462" s="13" t="s">
        <v>2323</v>
      </c>
      <c r="G462" s="13" t="s">
        <v>2324</v>
      </c>
      <c r="H462" s="14"/>
      <c r="I462" s="15">
        <v>0.0</v>
      </c>
      <c r="J462" s="15">
        <v>0.0</v>
      </c>
      <c r="K462" s="12" t="str">
        <f>HYPERLINK("https://www.later.com","LaterMedia")</f>
        <v>LaterMedia</v>
      </c>
      <c r="L462" s="16">
        <v>1868.0</v>
      </c>
      <c r="M462" s="16">
        <v>1637.0</v>
      </c>
      <c r="N462" s="16">
        <v>7.0</v>
      </c>
      <c r="O462" s="17"/>
      <c r="P462" s="18">
        <v>41468.71915509259</v>
      </c>
      <c r="Q462" s="1" t="s">
        <v>143</v>
      </c>
      <c r="R462" s="1" t="s">
        <v>2325</v>
      </c>
      <c r="S462" s="13" t="s">
        <v>2326</v>
      </c>
      <c r="T462" s="14"/>
      <c r="U462" s="19" t="str">
        <f>HYPERLINK("https://pbs.twimg.com/profile_images/1167909140607299584/__nxJ6dK.jpg","View")</f>
        <v>View</v>
      </c>
      <c r="V462" s="14"/>
      <c r="W462" s="14"/>
      <c r="X462" s="14"/>
      <c r="Y462" s="14"/>
      <c r="Z462" s="14"/>
    </row>
    <row r="463">
      <c r="A463" s="11">
        <v>43847.562789351854</v>
      </c>
      <c r="B463" s="12" t="str">
        <f>HYPERLINK("https://twitter.com/AnxietyExpertCC","@AnxietyExpertCC")</f>
        <v>@AnxietyExpertCC</v>
      </c>
      <c r="C463" s="1" t="s">
        <v>2327</v>
      </c>
      <c r="D463" s="1" t="s">
        <v>2328</v>
      </c>
      <c r="E463" s="12" t="str">
        <f>HYPERLINK("https://twitter.com/AnxietyExpertCC/status/1218239164577173504","1218239164577173504")</f>
        <v>1218239164577173504</v>
      </c>
      <c r="F463" s="13" t="s">
        <v>2329</v>
      </c>
      <c r="G463" s="13" t="s">
        <v>2330</v>
      </c>
      <c r="H463" s="14"/>
      <c r="I463" s="15">
        <v>0.0</v>
      </c>
      <c r="J463" s="15">
        <v>0.0</v>
      </c>
      <c r="K463" s="12" t="str">
        <f>HYPERLINK("https://www.hootsuite.com","Hootsuite Inc.")</f>
        <v>Hootsuite Inc.</v>
      </c>
      <c r="L463" s="16">
        <v>314.0</v>
      </c>
      <c r="M463" s="16">
        <v>1076.0</v>
      </c>
      <c r="N463" s="16">
        <v>4.0</v>
      </c>
      <c r="O463" s="17"/>
      <c r="P463" s="18">
        <v>42095.36188657407</v>
      </c>
      <c r="Q463" s="1" t="s">
        <v>2331</v>
      </c>
      <c r="R463" s="1" t="s">
        <v>2332</v>
      </c>
      <c r="S463" s="13" t="s">
        <v>2333</v>
      </c>
      <c r="T463" s="14"/>
      <c r="U463" s="19" t="str">
        <f>HYPERLINK("https://pbs.twimg.com/profile_images/849281901705793537/hVtkPBps.jpg","View")</f>
        <v>View</v>
      </c>
      <c r="V463" s="14"/>
      <c r="W463" s="14"/>
      <c r="X463" s="14"/>
      <c r="Y463" s="14"/>
      <c r="Z463" s="14"/>
    </row>
    <row r="464">
      <c r="A464" s="11">
        <v>43847.56259259259</v>
      </c>
      <c r="B464" s="12" t="str">
        <f>HYPERLINK("https://twitter.com/mhanorthshore","@mhanorthshore")</f>
        <v>@mhanorthshore</v>
      </c>
      <c r="C464" s="1" t="s">
        <v>2334</v>
      </c>
      <c r="D464" s="1" t="s">
        <v>2335</v>
      </c>
      <c r="E464" s="12" t="str">
        <f>HYPERLINK("https://twitter.com/mhanorthshore/status/1218239094485995520","1218239094485995520")</f>
        <v>1218239094485995520</v>
      </c>
      <c r="F464" s="1" t="s">
        <v>2336</v>
      </c>
      <c r="G464" s="14"/>
      <c r="H464" s="14"/>
      <c r="I464" s="15">
        <v>0.0</v>
      </c>
      <c r="J464" s="15">
        <v>0.0</v>
      </c>
      <c r="K464" s="12" t="str">
        <f>HYPERLINK("https://mobile.twitter.com","Twitter Web App")</f>
        <v>Twitter Web App</v>
      </c>
      <c r="L464" s="16">
        <v>275.0</v>
      </c>
      <c r="M464" s="16">
        <v>332.0</v>
      </c>
      <c r="N464" s="16">
        <v>15.0</v>
      </c>
      <c r="O464" s="17"/>
      <c r="P464" s="18">
        <v>42702.43809027778</v>
      </c>
      <c r="Q464" s="1" t="s">
        <v>2337</v>
      </c>
      <c r="R464" s="1" t="s">
        <v>2338</v>
      </c>
      <c r="S464" s="13" t="s">
        <v>2339</v>
      </c>
      <c r="T464" s="14"/>
      <c r="U464" s="19" t="str">
        <f>HYPERLINK("https://pbs.twimg.com/profile_images/803260862869798913/rVdlPE-m.jpg","View")</f>
        <v>View</v>
      </c>
      <c r="V464" s="14"/>
      <c r="W464" s="14"/>
      <c r="X464" s="14"/>
      <c r="Y464" s="14"/>
      <c r="Z464" s="14"/>
    </row>
    <row r="465">
      <c r="A465" s="11">
        <v>43847.56251157407</v>
      </c>
      <c r="B465" s="12" t="str">
        <f>HYPERLINK("https://twitter.com/HerbalGardenFL","@HerbalGardenFL")</f>
        <v>@HerbalGardenFL</v>
      </c>
      <c r="C465" s="1" t="s">
        <v>1803</v>
      </c>
      <c r="D465" s="1" t="s">
        <v>2340</v>
      </c>
      <c r="E465" s="12" t="str">
        <f>HYPERLINK("https://twitter.com/HerbalGardenFL/status/1218239064417193986","1218239064417193986")</f>
        <v>1218239064417193986</v>
      </c>
      <c r="F465" s="1" t="s">
        <v>2341</v>
      </c>
      <c r="G465" s="14"/>
      <c r="H465" s="14"/>
      <c r="I465" s="15">
        <v>0.0</v>
      </c>
      <c r="J465" s="15">
        <v>0.0</v>
      </c>
      <c r="K465" s="12" t="str">
        <f>HYPERLINK("https://kuku.io","Link account with KUKU.io")</f>
        <v>Link account with KUKU.io</v>
      </c>
      <c r="L465" s="16">
        <v>129.0</v>
      </c>
      <c r="M465" s="16">
        <v>90.0</v>
      </c>
      <c r="N465" s="16">
        <v>3.0</v>
      </c>
      <c r="O465" s="17"/>
      <c r="P465" s="18">
        <v>41130.93263888889</v>
      </c>
      <c r="Q465" s="1" t="s">
        <v>1806</v>
      </c>
      <c r="R465" s="1" t="s">
        <v>1807</v>
      </c>
      <c r="S465" s="13" t="s">
        <v>1808</v>
      </c>
      <c r="T465" s="14"/>
      <c r="U465" s="19" t="str">
        <f>HYPERLINK("https://pbs.twimg.com/profile_images/713345260160679936/WZnIHWw4.jpg","View")</f>
        <v>View</v>
      </c>
      <c r="V465" s="14"/>
      <c r="W465" s="14"/>
      <c r="X465" s="14"/>
      <c r="Y465" s="14"/>
      <c r="Z465" s="14"/>
    </row>
    <row r="466">
      <c r="A466" s="11">
        <v>43847.56119212963</v>
      </c>
      <c r="B466" s="12" t="str">
        <f>HYPERLINK("https://twitter.com/antsared","@antsared")</f>
        <v>@antsared</v>
      </c>
      <c r="C466" s="1" t="s">
        <v>2342</v>
      </c>
      <c r="D466" s="1" t="s">
        <v>2343</v>
      </c>
      <c r="E466" s="12" t="str">
        <f>HYPERLINK("https://twitter.com/antsared/status/1218238585092087809","1218238585092087809")</f>
        <v>1218238585092087809</v>
      </c>
      <c r="F466" s="14"/>
      <c r="G466" s="13" t="s">
        <v>2344</v>
      </c>
      <c r="H466" s="14"/>
      <c r="I466" s="15">
        <v>3.0</v>
      </c>
      <c r="J466" s="15">
        <v>7.0</v>
      </c>
      <c r="K466" s="12" t="str">
        <f>HYPERLINK("https://mobile.twitter.com","Twitter Web App")</f>
        <v>Twitter Web App</v>
      </c>
      <c r="L466" s="16">
        <v>8855.0</v>
      </c>
      <c r="M466" s="16">
        <v>8309.0</v>
      </c>
      <c r="N466" s="16">
        <v>534.0</v>
      </c>
      <c r="O466" s="17"/>
      <c r="P466" s="18">
        <v>40214.678449074076</v>
      </c>
      <c r="Q466" s="1" t="s">
        <v>2345</v>
      </c>
      <c r="R466" s="1" t="s">
        <v>2346</v>
      </c>
      <c r="S466" s="14"/>
      <c r="T466" s="14"/>
      <c r="U466" s="19" t="str">
        <f>HYPERLINK("https://pbs.twimg.com/profile_images/1179519824462041088/Wy02ZJk-.jpg","View")</f>
        <v>View</v>
      </c>
      <c r="V466" s="14"/>
      <c r="W466" s="14"/>
      <c r="X466" s="14"/>
      <c r="Y466" s="14"/>
      <c r="Z466" s="14"/>
    </row>
    <row r="467">
      <c r="A467" s="11">
        <v>43847.5594675926</v>
      </c>
      <c r="B467" s="12" t="str">
        <f>HYPERLINK("https://twitter.com/_Paul_Hill_","@_Paul_Hill_")</f>
        <v>@_Paul_Hill_</v>
      </c>
      <c r="C467" s="1" t="s">
        <v>2347</v>
      </c>
      <c r="D467" s="1" t="s">
        <v>2348</v>
      </c>
      <c r="E467" s="12" t="str">
        <f>HYPERLINK("https://twitter.com/_Paul_Hill_/status/1218237961868922887","1218237961868922887")</f>
        <v>1218237961868922887</v>
      </c>
      <c r="F467" s="14"/>
      <c r="G467" s="13" t="s">
        <v>2349</v>
      </c>
      <c r="H467" s="14"/>
      <c r="I467" s="15">
        <v>6.0</v>
      </c>
      <c r="J467" s="15">
        <v>40.0</v>
      </c>
      <c r="K467" s="12" t="str">
        <f>HYPERLINK("http://twitter.com/download/android","Twitter for Android")</f>
        <v>Twitter for Android</v>
      </c>
      <c r="L467" s="16">
        <v>1525.0</v>
      </c>
      <c r="M467" s="16">
        <v>1626.0</v>
      </c>
      <c r="N467" s="16">
        <v>3.0</v>
      </c>
      <c r="O467" s="17"/>
      <c r="P467" s="18">
        <v>43743.73486111111</v>
      </c>
      <c r="Q467" s="1" t="s">
        <v>2350</v>
      </c>
      <c r="R467" s="1" t="s">
        <v>2351</v>
      </c>
      <c r="S467" s="14"/>
      <c r="T467" s="14"/>
      <c r="U467" s="19" t="str">
        <f>HYPERLINK("https://pbs.twimg.com/profile_images/1216313941162364929/IJwqd_Fi.jpg","View")</f>
        <v>View</v>
      </c>
      <c r="V467" s="14"/>
      <c r="W467" s="14"/>
      <c r="X467" s="14"/>
      <c r="Y467" s="14"/>
      <c r="Z467" s="14"/>
    </row>
    <row r="468">
      <c r="A468" s="11">
        <v>43847.5550462963</v>
      </c>
      <c r="B468" s="12" t="str">
        <f>HYPERLINK("https://twitter.com/mingonfilm","@mingonfilm")</f>
        <v>@mingonfilm</v>
      </c>
      <c r="C468" s="1" t="s">
        <v>2352</v>
      </c>
      <c r="D468" s="1" t="s">
        <v>2353</v>
      </c>
      <c r="E468" s="12" t="str">
        <f>HYPERLINK("https://twitter.com/mingonfilm/status/1218236359896260608","1218236359896260608")</f>
        <v>1218236359896260608</v>
      </c>
      <c r="F468" s="13" t="s">
        <v>2354</v>
      </c>
      <c r="G468" s="13" t="s">
        <v>2355</v>
      </c>
      <c r="H468" s="14"/>
      <c r="I468" s="15">
        <v>797.0</v>
      </c>
      <c r="J468" s="15">
        <v>860.0</v>
      </c>
      <c r="K468" s="12" t="str">
        <f>HYPERLINK("http://twitter.com/download/iphone","Twitter for iPhone")</f>
        <v>Twitter for iPhone</v>
      </c>
      <c r="L468" s="16">
        <v>758.0</v>
      </c>
      <c r="M468" s="16">
        <v>34.0</v>
      </c>
      <c r="N468" s="16">
        <v>18.0</v>
      </c>
      <c r="O468" s="17"/>
      <c r="P468" s="18">
        <v>43326.06890046297</v>
      </c>
      <c r="Q468" s="1" t="s">
        <v>2356</v>
      </c>
      <c r="R468" s="1" t="s">
        <v>2357</v>
      </c>
      <c r="S468" s="13" t="s">
        <v>2358</v>
      </c>
      <c r="T468" s="14"/>
      <c r="U468" s="19" t="str">
        <f>HYPERLINK("https://pbs.twimg.com/profile_images/1161306663158075393/LAIip2pY.jpg","View")</f>
        <v>View</v>
      </c>
      <c r="V468" s="14"/>
      <c r="W468" s="14"/>
      <c r="X468" s="14"/>
      <c r="Y468" s="14"/>
      <c r="Z468" s="14"/>
    </row>
    <row r="469">
      <c r="A469" s="11">
        <v>43847.55412037037</v>
      </c>
      <c r="B469" s="12" t="str">
        <f>HYPERLINK("https://twitter.com/AnthonyBoucard","@AnthonyBoucard")</f>
        <v>@AnthonyBoucard</v>
      </c>
      <c r="C469" s="1" t="s">
        <v>2068</v>
      </c>
      <c r="D469" s="1" t="s">
        <v>2359</v>
      </c>
      <c r="E469" s="12" t="str">
        <f>HYPERLINK("https://twitter.com/AnthonyBoucard/status/1218236025547390985","1218236025547390985")</f>
        <v>1218236025547390985</v>
      </c>
      <c r="F469" s="14"/>
      <c r="G469" s="14"/>
      <c r="H469" s="14"/>
      <c r="I469" s="15">
        <v>1.0</v>
      </c>
      <c r="J469" s="15">
        <v>0.0</v>
      </c>
      <c r="K469" s="12" t="str">
        <f>HYPERLINK("https://mobile.twitter.com","Twitter Web App")</f>
        <v>Twitter Web App</v>
      </c>
      <c r="L469" s="16">
        <v>216.0</v>
      </c>
      <c r="M469" s="16">
        <v>1234.0</v>
      </c>
      <c r="N469" s="16">
        <v>1.0</v>
      </c>
      <c r="O469" s="17"/>
      <c r="P469" s="18">
        <v>43605.559953703705</v>
      </c>
      <c r="Q469" s="1" t="s">
        <v>2070</v>
      </c>
      <c r="R469" s="1" t="s">
        <v>2071</v>
      </c>
      <c r="S469" s="13" t="s">
        <v>2072</v>
      </c>
      <c r="T469" s="14"/>
      <c r="U469" s="19" t="str">
        <f>HYPERLINK("https://pbs.twimg.com/profile_images/1212838182829641728/MYcMidc4.jpg","View")</f>
        <v>View</v>
      </c>
      <c r="V469" s="14"/>
      <c r="W469" s="14"/>
      <c r="X469" s="14"/>
      <c r="Y469" s="14"/>
      <c r="Z469" s="14"/>
    </row>
    <row r="470">
      <c r="A470" s="11">
        <v>43847.549687499995</v>
      </c>
      <c r="B470" s="12" t="str">
        <f>HYPERLINK("https://twitter.com/matt_hatson","@matt_hatson")</f>
        <v>@matt_hatson</v>
      </c>
      <c r="C470" s="1" t="s">
        <v>2360</v>
      </c>
      <c r="D470" s="1" t="s">
        <v>2361</v>
      </c>
      <c r="E470" s="12" t="str">
        <f>HYPERLINK("https://twitter.com/matt_hatson/status/1218234418738974722","1218234418738974722")</f>
        <v>1218234418738974722</v>
      </c>
      <c r="F470" s="13" t="s">
        <v>2362</v>
      </c>
      <c r="G470" s="14"/>
      <c r="H470" s="14"/>
      <c r="I470" s="15">
        <v>0.0</v>
      </c>
      <c r="J470" s="15">
        <v>0.0</v>
      </c>
      <c r="K470" s="12" t="str">
        <f>HYPERLINK("http://twitter.com","Twitter Web Client")</f>
        <v>Twitter Web Client</v>
      </c>
      <c r="L470" s="16">
        <v>152.0</v>
      </c>
      <c r="M470" s="16">
        <v>111.0</v>
      </c>
      <c r="N470" s="16">
        <v>4.0</v>
      </c>
      <c r="O470" s="17"/>
      <c r="P470" s="18">
        <v>42169.51288194444</v>
      </c>
      <c r="Q470" s="1" t="s">
        <v>864</v>
      </c>
      <c r="R470" s="1" t="s">
        <v>2363</v>
      </c>
      <c r="S470" s="13" t="s">
        <v>2364</v>
      </c>
      <c r="T470" s="14"/>
      <c r="U470" s="19" t="str">
        <f>HYPERLINK("https://pbs.twimg.com/profile_images/906523604254412800/7pNUWbwY.jpg","View")</f>
        <v>View</v>
      </c>
      <c r="V470" s="14"/>
      <c r="W470" s="14"/>
      <c r="X470" s="14"/>
      <c r="Y470" s="14"/>
      <c r="Z470" s="14"/>
    </row>
    <row r="471">
      <c r="A471" s="11">
        <v>43847.54792824074</v>
      </c>
      <c r="B471" s="12" t="str">
        <f>HYPERLINK("https://twitter.com/habitsguy","@habitsguy")</f>
        <v>@habitsguy</v>
      </c>
      <c r="C471" s="1" t="s">
        <v>2365</v>
      </c>
      <c r="D471" s="1" t="s">
        <v>2366</v>
      </c>
      <c r="E471" s="12" t="str">
        <f>HYPERLINK("https://twitter.com/habitsguy/status/1218233778893729792","1218233778893729792")</f>
        <v>1218233778893729792</v>
      </c>
      <c r="F471" s="13" t="s">
        <v>2367</v>
      </c>
      <c r="G471" s="14"/>
      <c r="H471" s="14"/>
      <c r="I471" s="15">
        <v>0.0</v>
      </c>
      <c r="J471" s="15">
        <v>0.0</v>
      </c>
      <c r="K471" s="12" t="str">
        <f>HYPERLINK("https://buffer.com","Buffer")</f>
        <v>Buffer</v>
      </c>
      <c r="L471" s="16">
        <v>18875.0</v>
      </c>
      <c r="M471" s="16">
        <v>13014.0</v>
      </c>
      <c r="N471" s="16">
        <v>0.0</v>
      </c>
      <c r="O471" s="17"/>
      <c r="P471" s="18">
        <v>41450.54561342593</v>
      </c>
      <c r="Q471" s="1" t="s">
        <v>2368</v>
      </c>
      <c r="R471" s="1" t="s">
        <v>2369</v>
      </c>
      <c r="S471" s="13" t="s">
        <v>2370</v>
      </c>
      <c r="T471" s="14"/>
      <c r="U471" s="19" t="str">
        <f>HYPERLINK("https://pbs.twimg.com/profile_images/846963979218026498/Vi55jCVc.jpg","View")</f>
        <v>View</v>
      </c>
      <c r="V471" s="14"/>
      <c r="W471" s="14"/>
      <c r="X471" s="14"/>
      <c r="Y471" s="14"/>
      <c r="Z471" s="14"/>
    </row>
    <row r="472">
      <c r="A472" s="11">
        <v>43847.54545138888</v>
      </c>
      <c r="B472" s="12" t="str">
        <f>HYPERLINK("https://twitter.com/DoctorsOnCBD","@DoctorsOnCBD")</f>
        <v>@DoctorsOnCBD</v>
      </c>
      <c r="C472" s="1" t="s">
        <v>2371</v>
      </c>
      <c r="D472" s="1" t="s">
        <v>2372</v>
      </c>
      <c r="E472" s="12" t="str">
        <f>HYPERLINK("https://twitter.com/DoctorsOnCBD/status/1218232883057430528","1218232883057430528")</f>
        <v>1218232883057430528</v>
      </c>
      <c r="F472" s="13" t="s">
        <v>2373</v>
      </c>
      <c r="G472" s="13" t="s">
        <v>2374</v>
      </c>
      <c r="H472" s="14"/>
      <c r="I472" s="15">
        <v>0.0</v>
      </c>
      <c r="J472" s="15">
        <v>2.0</v>
      </c>
      <c r="K472" s="12" t="str">
        <f>HYPERLINK("https://www.socialoomph.com","SocialOomph")</f>
        <v>SocialOomph</v>
      </c>
      <c r="L472" s="16">
        <v>2553.0</v>
      </c>
      <c r="M472" s="16">
        <v>3073.0</v>
      </c>
      <c r="N472" s="16">
        <v>5.0</v>
      </c>
      <c r="O472" s="17"/>
      <c r="P472" s="18">
        <v>43073.65834490741</v>
      </c>
      <c r="Q472" s="1" t="s">
        <v>2375</v>
      </c>
      <c r="R472" s="1" t="s">
        <v>2376</v>
      </c>
      <c r="S472" s="13" t="s">
        <v>2377</v>
      </c>
      <c r="T472" s="14"/>
      <c r="U472" s="19" t="str">
        <f>HYPERLINK("https://pbs.twimg.com/profile_images/937793405849128960/TnzNKd2J.jpg","View")</f>
        <v>View</v>
      </c>
      <c r="V472" s="14"/>
      <c r="W472" s="14"/>
      <c r="X472" s="14"/>
      <c r="Y472" s="14"/>
      <c r="Z472" s="14"/>
    </row>
    <row r="473">
      <c r="A473" s="11">
        <v>43847.545335648145</v>
      </c>
      <c r="B473" s="12" t="str">
        <f>HYPERLINK("https://twitter.com/SriSriTattvaUSA","@SriSriTattvaUSA")</f>
        <v>@SriSriTattvaUSA</v>
      </c>
      <c r="C473" s="1" t="s">
        <v>2378</v>
      </c>
      <c r="D473" s="1" t="s">
        <v>2379</v>
      </c>
      <c r="E473" s="12" t="str">
        <f>HYPERLINK("https://twitter.com/SriSriTattvaUSA/status/1218232842158837761","1218232842158837761")</f>
        <v>1218232842158837761</v>
      </c>
      <c r="F473" s="14"/>
      <c r="G473" s="13" t="s">
        <v>2380</v>
      </c>
      <c r="H473" s="14"/>
      <c r="I473" s="15">
        <v>4.0</v>
      </c>
      <c r="J473" s="15">
        <v>6.0</v>
      </c>
      <c r="K473" s="12" t="str">
        <f>HYPERLINK("https://www.hootsuite.com","Hootsuite Inc.")</f>
        <v>Hootsuite Inc.</v>
      </c>
      <c r="L473" s="16">
        <v>53.0</v>
      </c>
      <c r="M473" s="16">
        <v>2.0</v>
      </c>
      <c r="N473" s="16">
        <v>0.0</v>
      </c>
      <c r="O473" s="17"/>
      <c r="P473" s="18">
        <v>42907.986562499995</v>
      </c>
      <c r="Q473" s="14"/>
      <c r="R473" s="1" t="s">
        <v>2381</v>
      </c>
      <c r="S473" s="14"/>
      <c r="T473" s="14"/>
      <c r="U473" s="19" t="str">
        <f>HYPERLINK("https://pbs.twimg.com/profile_images/931242351091073024/oHcI59Eh.jpg","View")</f>
        <v>View</v>
      </c>
      <c r="V473" s="14"/>
      <c r="W473" s="14"/>
      <c r="X473" s="14"/>
      <c r="Y473" s="14"/>
      <c r="Z473" s="14"/>
    </row>
    <row r="474">
      <c r="A474" s="11">
        <v>43847.54516203704</v>
      </c>
      <c r="B474" s="12" t="str">
        <f>HYPERLINK("https://twitter.com/TMSHelps","@TMSHelps")</f>
        <v>@TMSHelps</v>
      </c>
      <c r="C474" s="1" t="s">
        <v>2382</v>
      </c>
      <c r="D474" s="1" t="s">
        <v>2383</v>
      </c>
      <c r="E474" s="12" t="str">
        <f>HYPERLINK("https://twitter.com/TMSHelps/status/1218232778619265025","1218232778619265025")</f>
        <v>1218232778619265025</v>
      </c>
      <c r="F474" s="14"/>
      <c r="G474" s="13" t="s">
        <v>2384</v>
      </c>
      <c r="H474" s="14"/>
      <c r="I474" s="15">
        <v>0.0</v>
      </c>
      <c r="J474" s="15">
        <v>1.0</v>
      </c>
      <c r="K474" s="12" t="str">
        <f>HYPERLINK("https://buffer.com","Buffer")</f>
        <v>Buffer</v>
      </c>
      <c r="L474" s="16">
        <v>286.0</v>
      </c>
      <c r="M474" s="16">
        <v>763.0</v>
      </c>
      <c r="N474" s="16">
        <v>6.0</v>
      </c>
      <c r="O474" s="17"/>
      <c r="P474" s="18">
        <v>42786.47503472222</v>
      </c>
      <c r="Q474" s="1" t="s">
        <v>2385</v>
      </c>
      <c r="R474" s="1" t="s">
        <v>2386</v>
      </c>
      <c r="S474" s="13" t="s">
        <v>2387</v>
      </c>
      <c r="T474" s="14"/>
      <c r="U474" s="19" t="str">
        <f>HYPERLINK("https://pbs.twimg.com/profile_images/1147190342426533894/UsWusePf.png","View")</f>
        <v>View</v>
      </c>
      <c r="V474" s="14"/>
      <c r="W474" s="14"/>
      <c r="X474" s="14"/>
      <c r="Y474" s="14"/>
      <c r="Z474" s="14"/>
    </row>
    <row r="475">
      <c r="A475" s="11">
        <v>43847.54363425926</v>
      </c>
      <c r="B475" s="12" t="str">
        <f>HYPERLINK("https://twitter.com/Nicole_Rogers8","@Nicole_Rogers8")</f>
        <v>@Nicole_Rogers8</v>
      </c>
      <c r="C475" s="1" t="s">
        <v>2388</v>
      </c>
      <c r="D475" s="1" t="s">
        <v>2389</v>
      </c>
      <c r="E475" s="12" t="str">
        <f>HYPERLINK("https://twitter.com/Nicole_Rogers8/status/1218232225029902337","1218232225029902337")</f>
        <v>1218232225029902337</v>
      </c>
      <c r="F475" s="13" t="s">
        <v>2390</v>
      </c>
      <c r="G475" s="13" t="s">
        <v>2391</v>
      </c>
      <c r="H475" s="14"/>
      <c r="I475" s="15">
        <v>0.0</v>
      </c>
      <c r="J475" s="15">
        <v>0.0</v>
      </c>
      <c r="K475" s="12" t="str">
        <f>HYPERLINK("https://missinglettr.com","Missinglettr")</f>
        <v>Missinglettr</v>
      </c>
      <c r="L475" s="16">
        <v>0.0</v>
      </c>
      <c r="M475" s="16">
        <v>15.0</v>
      </c>
      <c r="N475" s="16">
        <v>0.0</v>
      </c>
      <c r="O475" s="17"/>
      <c r="P475" s="18">
        <v>42695.352222222224</v>
      </c>
      <c r="Q475" s="14"/>
      <c r="R475" s="1" t="s">
        <v>2392</v>
      </c>
      <c r="S475" s="13" t="s">
        <v>2393</v>
      </c>
      <c r="T475" s="14"/>
      <c r="U475" s="19" t="str">
        <f>HYPERLINK("https://pbs.twimg.com/profile_images/984568413652582401/MK6ckKbh.jpg","View")</f>
        <v>View</v>
      </c>
      <c r="V475" s="14"/>
      <c r="W475" s="14"/>
      <c r="X475" s="14"/>
      <c r="Y475" s="14"/>
      <c r="Z475" s="14"/>
    </row>
    <row r="476">
      <c r="A476" s="11">
        <v>43847.54363425926</v>
      </c>
      <c r="B476" s="12" t="str">
        <f>HYPERLINK("https://twitter.com/TLinsdau","@TLinsdau")</f>
        <v>@TLinsdau</v>
      </c>
      <c r="C476" s="1" t="s">
        <v>2394</v>
      </c>
      <c r="D476" s="1" t="s">
        <v>2395</v>
      </c>
      <c r="E476" s="12" t="str">
        <f>HYPERLINK("https://twitter.com/TLinsdau/status/1218232224228814848","1218232224228814848")</f>
        <v>1218232224228814848</v>
      </c>
      <c r="F476" s="13" t="s">
        <v>2396</v>
      </c>
      <c r="G476" s="14"/>
      <c r="H476" s="14"/>
      <c r="I476" s="15">
        <v>0.0</v>
      </c>
      <c r="J476" s="15">
        <v>1.0</v>
      </c>
      <c r="K476" s="12" t="str">
        <f>HYPERLINK("https://mobile.twitter.com","Twitter Web App")</f>
        <v>Twitter Web App</v>
      </c>
      <c r="L476" s="16">
        <v>10.0</v>
      </c>
      <c r="M476" s="16">
        <v>13.0</v>
      </c>
      <c r="N476" s="16">
        <v>0.0</v>
      </c>
      <c r="O476" s="17"/>
      <c r="P476" s="18">
        <v>41140.749548611115</v>
      </c>
      <c r="Q476" s="1" t="s">
        <v>2397</v>
      </c>
      <c r="R476" s="1" t="s">
        <v>2398</v>
      </c>
      <c r="S476" s="13" t="s">
        <v>2399</v>
      </c>
      <c r="T476" s="14"/>
      <c r="U476" s="19" t="str">
        <f>HYPERLINK("https://pbs.twimg.com/profile_images/2522347628/Tim-Biz-Photo-web.jpg","View")</f>
        <v>View</v>
      </c>
      <c r="V476" s="14"/>
      <c r="W476" s="14"/>
      <c r="X476" s="14"/>
      <c r="Y476" s="14"/>
      <c r="Z476" s="14"/>
    </row>
    <row r="477">
      <c r="A477" s="11">
        <v>43847.54311342593</v>
      </c>
      <c r="B477" s="12" t="str">
        <f>HYPERLINK("https://twitter.com/DebiGoldben","@DebiGoldben")</f>
        <v>@DebiGoldben</v>
      </c>
      <c r="C477" s="1" t="s">
        <v>2400</v>
      </c>
      <c r="D477" s="1" t="s">
        <v>2401</v>
      </c>
      <c r="E477" s="12" t="str">
        <f>HYPERLINK("https://twitter.com/DebiGoldben/status/1218232037070516224","1218232037070516224")</f>
        <v>1218232037070516224</v>
      </c>
      <c r="F477" s="13" t="s">
        <v>2402</v>
      </c>
      <c r="G477" s="13" t="s">
        <v>2403</v>
      </c>
      <c r="H477" s="14"/>
      <c r="I477" s="15">
        <v>0.0</v>
      </c>
      <c r="J477" s="15">
        <v>0.0</v>
      </c>
      <c r="K477" s="12" t="str">
        <f>HYPERLINK("https://buffer.com","Buffer")</f>
        <v>Buffer</v>
      </c>
      <c r="L477" s="16">
        <v>52.0</v>
      </c>
      <c r="M477" s="16">
        <v>36.0</v>
      </c>
      <c r="N477" s="16">
        <v>0.0</v>
      </c>
      <c r="O477" s="17"/>
      <c r="P477" s="18">
        <v>40662.70064814815</v>
      </c>
      <c r="Q477" s="1" t="s">
        <v>2404</v>
      </c>
      <c r="R477" s="1" t="s">
        <v>2405</v>
      </c>
      <c r="S477" s="13" t="s">
        <v>2406</v>
      </c>
      <c r="T477" s="14"/>
      <c r="U477" s="19" t="str">
        <f>HYPERLINK("https://pbs.twimg.com/profile_images/1347811086/IMG_2238.JPG","View")</f>
        <v>View</v>
      </c>
      <c r="V477" s="14"/>
      <c r="W477" s="14"/>
      <c r="X477" s="14"/>
      <c r="Y477" s="14"/>
      <c r="Z477" s="14"/>
    </row>
    <row r="478">
      <c r="A478" s="11">
        <v>43847.54288194445</v>
      </c>
      <c r="B478" s="12" t="str">
        <f>HYPERLINK("https://twitter.com/CFC_Alty","@CFC_Alty")</f>
        <v>@CFC_Alty</v>
      </c>
      <c r="C478" s="1" t="s">
        <v>2407</v>
      </c>
      <c r="D478" s="1" t="s">
        <v>2408</v>
      </c>
      <c r="E478" s="12" t="str">
        <f>HYPERLINK("https://twitter.com/CFC_Alty/status/1218231950730760192","1218231950730760192")</f>
        <v>1218231950730760192</v>
      </c>
      <c r="F478" s="14"/>
      <c r="G478" s="13" t="s">
        <v>2409</v>
      </c>
      <c r="H478" s="14"/>
      <c r="I478" s="15">
        <v>0.0</v>
      </c>
      <c r="J478" s="15">
        <v>0.0</v>
      </c>
      <c r="K478" s="12" t="str">
        <f t="shared" ref="K478:K479" si="47">HYPERLINK("https://www.hootsuite.com","Hootsuite Inc.")</f>
        <v>Hootsuite Inc.</v>
      </c>
      <c r="L478" s="16">
        <v>546.0</v>
      </c>
      <c r="M478" s="16">
        <v>912.0</v>
      </c>
      <c r="N478" s="16">
        <v>8.0</v>
      </c>
      <c r="O478" s="17"/>
      <c r="P478" s="18">
        <v>42068.5594212963</v>
      </c>
      <c r="Q478" s="1" t="s">
        <v>2410</v>
      </c>
      <c r="R478" s="1" t="s">
        <v>2411</v>
      </c>
      <c r="S478" s="13" t="s">
        <v>2412</v>
      </c>
      <c r="T478" s="14"/>
      <c r="U478" s="19" t="str">
        <f>HYPERLINK("https://pbs.twimg.com/profile_images/1072845931568082945/87gAUt6S.jpg","View")</f>
        <v>View</v>
      </c>
      <c r="V478" s="14"/>
      <c r="W478" s="14"/>
      <c r="X478" s="14"/>
      <c r="Y478" s="14"/>
      <c r="Z478" s="14"/>
    </row>
    <row r="479">
      <c r="A479" s="11">
        <v>43847.54203703704</v>
      </c>
      <c r="B479" s="12" t="str">
        <f>HYPERLINK("https://twitter.com/RootsOfAction","@RootsOfAction")</f>
        <v>@RootsOfAction</v>
      </c>
      <c r="C479" s="1" t="s">
        <v>2413</v>
      </c>
      <c r="D479" s="1" t="s">
        <v>2414</v>
      </c>
      <c r="E479" s="12" t="str">
        <f>HYPERLINK("https://twitter.com/RootsOfAction/status/1218231646132097032","1218231646132097032")</f>
        <v>1218231646132097032</v>
      </c>
      <c r="F479" s="13" t="s">
        <v>2415</v>
      </c>
      <c r="G479" s="14"/>
      <c r="H479" s="14"/>
      <c r="I479" s="15">
        <v>0.0</v>
      </c>
      <c r="J479" s="15">
        <v>2.0</v>
      </c>
      <c r="K479" s="12" t="str">
        <f t="shared" si="47"/>
        <v>Hootsuite Inc.</v>
      </c>
      <c r="L479" s="16">
        <v>8860.0</v>
      </c>
      <c r="M479" s="16">
        <v>3492.0</v>
      </c>
      <c r="N479" s="16">
        <v>521.0</v>
      </c>
      <c r="O479" s="17"/>
      <c r="P479" s="18">
        <v>40637.93693287037</v>
      </c>
      <c r="Q479" s="1" t="s">
        <v>2416</v>
      </c>
      <c r="R479" s="1" t="s">
        <v>2417</v>
      </c>
      <c r="S479" s="13" t="s">
        <v>2418</v>
      </c>
      <c r="T479" s="14"/>
      <c r="U479" s="19" t="str">
        <f>HYPERLINK("https://pbs.twimg.com/profile_images/594202127175536640/baVJ5rIA.jpg","View")</f>
        <v>View</v>
      </c>
      <c r="V479" s="14"/>
      <c r="W479" s="14"/>
      <c r="X479" s="14"/>
      <c r="Y479" s="14"/>
      <c r="Z479" s="14"/>
    </row>
    <row r="480">
      <c r="A480" s="11">
        <v>43847.53680555556</v>
      </c>
      <c r="B480" s="12" t="str">
        <f>HYPERLINK("https://twitter.com/CHClinicuk","@CHClinicuk")</f>
        <v>@CHClinicuk</v>
      </c>
      <c r="C480" s="1" t="s">
        <v>2419</v>
      </c>
      <c r="D480" s="1" t="s">
        <v>2420</v>
      </c>
      <c r="E480" s="12" t="str">
        <f>HYPERLINK("https://twitter.com/CHClinicuk/status/1218229751141355520","1218229751141355520")</f>
        <v>1218229751141355520</v>
      </c>
      <c r="F480" s="13" t="s">
        <v>2421</v>
      </c>
      <c r="G480" s="14"/>
      <c r="H480" s="14"/>
      <c r="I480" s="15">
        <v>0.0</v>
      </c>
      <c r="J480" s="15">
        <v>0.0</v>
      </c>
      <c r="K480" s="12" t="str">
        <f>HYPERLINK("https://social.zoho.com","Zoho Social")</f>
        <v>Zoho Social</v>
      </c>
      <c r="L480" s="16">
        <v>6254.0</v>
      </c>
      <c r="M480" s="16">
        <v>6044.0</v>
      </c>
      <c r="N480" s="16">
        <v>118.0</v>
      </c>
      <c r="O480" s="17"/>
      <c r="P480" s="18">
        <v>41269.66111111111</v>
      </c>
      <c r="Q480" s="1" t="s">
        <v>2422</v>
      </c>
      <c r="R480" s="1" t="s">
        <v>2423</v>
      </c>
      <c r="S480" s="13" t="s">
        <v>2424</v>
      </c>
      <c r="T480" s="14"/>
      <c r="U480" s="19" t="str">
        <f>HYPERLINK("https://pbs.twimg.com/profile_images/950316755951476736/qXxblvGU.jpg","View")</f>
        <v>View</v>
      </c>
      <c r="V480" s="14"/>
      <c r="W480" s="14"/>
      <c r="X480" s="14"/>
      <c r="Y480" s="14"/>
      <c r="Z480" s="14"/>
    </row>
    <row r="481">
      <c r="A481" s="11">
        <v>43847.53622685185</v>
      </c>
      <c r="B481" s="12" t="str">
        <f>HYPERLINK("https://twitter.com/EFTTappingTips","@EFTTappingTips")</f>
        <v>@EFTTappingTips</v>
      </c>
      <c r="C481" s="1" t="s">
        <v>2425</v>
      </c>
      <c r="D481" s="1" t="s">
        <v>2426</v>
      </c>
      <c r="E481" s="12" t="str">
        <f>HYPERLINK("https://twitter.com/EFTTappingTips/status/1218229538154598400","1218229538154598400")</f>
        <v>1218229538154598400</v>
      </c>
      <c r="F481" s="14"/>
      <c r="G481" s="14"/>
      <c r="H481" s="14"/>
      <c r="I481" s="15">
        <v>0.0</v>
      </c>
      <c r="J481" s="15">
        <v>0.0</v>
      </c>
      <c r="K481" s="12" t="str">
        <f>HYPERLINK("https://mobile.twitter.com","Twitter Web App")</f>
        <v>Twitter Web App</v>
      </c>
      <c r="L481" s="16">
        <v>333.0</v>
      </c>
      <c r="M481" s="16">
        <v>2169.0</v>
      </c>
      <c r="N481" s="16">
        <v>1.0</v>
      </c>
      <c r="O481" s="17"/>
      <c r="P481" s="18">
        <v>43641.44410879629</v>
      </c>
      <c r="Q481" s="14"/>
      <c r="R481" s="1" t="s">
        <v>2427</v>
      </c>
      <c r="S481" s="13" t="s">
        <v>2428</v>
      </c>
      <c r="T481" s="14"/>
      <c r="U481" s="19" t="str">
        <f>HYPERLINK("https://pbs.twimg.com/profile_images/1199778314271019008/bE3JK-MI.jpg","View")</f>
        <v>View</v>
      </c>
      <c r="V481" s="14"/>
      <c r="W481" s="14"/>
      <c r="X481" s="14"/>
      <c r="Y481" s="14"/>
      <c r="Z481" s="14"/>
    </row>
    <row r="482">
      <c r="A482" s="11">
        <v>43847.535625000004</v>
      </c>
      <c r="B482" s="12" t="str">
        <f>HYPERLINK("https://twitter.com/WaitingForTheC2","@WaitingForTheC2")</f>
        <v>@WaitingForTheC2</v>
      </c>
      <c r="C482" s="1" t="s">
        <v>2429</v>
      </c>
      <c r="D482" s="1" t="s">
        <v>2430</v>
      </c>
      <c r="E482" s="12" t="str">
        <f>HYPERLINK("https://twitter.com/WaitingForTheC2/status/1218229319480303619","1218229319480303619")</f>
        <v>1218229319480303619</v>
      </c>
      <c r="F482" s="13" t="s">
        <v>2431</v>
      </c>
      <c r="G482" s="13" t="s">
        <v>2432</v>
      </c>
      <c r="H482" s="14"/>
      <c r="I482" s="15">
        <v>1.0</v>
      </c>
      <c r="J482" s="15">
        <v>13.0</v>
      </c>
      <c r="K482" s="12" t="str">
        <f>HYPERLINK("http://twitter.com/download/iphone","Twitter for iPhone")</f>
        <v>Twitter for iPhone</v>
      </c>
      <c r="L482" s="16">
        <v>971.0</v>
      </c>
      <c r="M482" s="16">
        <v>4683.0</v>
      </c>
      <c r="N482" s="16">
        <v>3.0</v>
      </c>
      <c r="O482" s="17"/>
      <c r="P482" s="18">
        <v>43410.14644675926</v>
      </c>
      <c r="Q482" s="14"/>
      <c r="R482" s="1" t="s">
        <v>2433</v>
      </c>
      <c r="S482" s="14"/>
      <c r="T482" s="14"/>
      <c r="U482" s="19" t="str">
        <f>HYPERLINK("https://pbs.twimg.com/profile_images/1129658806504513536/xqA0YJoo.jpg","View")</f>
        <v>View</v>
      </c>
      <c r="V482" s="14"/>
      <c r="W482" s="14"/>
      <c r="X482" s="14"/>
      <c r="Y482" s="14"/>
      <c r="Z482" s="14"/>
    </row>
    <row r="483">
      <c r="A483" s="11">
        <v>43847.534780092596</v>
      </c>
      <c r="B483" s="12" t="str">
        <f>HYPERLINK("https://twitter.com/nancycounselor","@nancycounselor")</f>
        <v>@nancycounselor</v>
      </c>
      <c r="C483" s="1" t="s">
        <v>2434</v>
      </c>
      <c r="D483" s="1" t="s">
        <v>2435</v>
      </c>
      <c r="E483" s="12" t="str">
        <f>HYPERLINK("https://twitter.com/nancycounselor/status/1218229015707881472","1218229015707881472")</f>
        <v>1218229015707881472</v>
      </c>
      <c r="F483" s="14"/>
      <c r="G483" s="13" t="s">
        <v>2436</v>
      </c>
      <c r="H483" s="14"/>
      <c r="I483" s="15">
        <v>0.0</v>
      </c>
      <c r="J483" s="15">
        <v>0.0</v>
      </c>
      <c r="K483" s="12" t="str">
        <f>HYPERLINK("https://www.hootsuite.com","Hootsuite Inc.")</f>
        <v>Hootsuite Inc.</v>
      </c>
      <c r="L483" s="16">
        <v>165.0</v>
      </c>
      <c r="M483" s="16">
        <v>221.0</v>
      </c>
      <c r="N483" s="16">
        <v>23.0</v>
      </c>
      <c r="O483" s="17"/>
      <c r="P483" s="18">
        <v>41206.433854166666</v>
      </c>
      <c r="Q483" s="1" t="s">
        <v>2437</v>
      </c>
      <c r="R483" s="1" t="s">
        <v>2438</v>
      </c>
      <c r="S483" s="13" t="s">
        <v>2439</v>
      </c>
      <c r="T483" s="14"/>
      <c r="U483" s="19" t="str">
        <f>HYPERLINK("https://pbs.twimg.com/profile_images/1202634739376459776/fc-rsYDD.jpg","View")</f>
        <v>View</v>
      </c>
      <c r="V483" s="14"/>
      <c r="W483" s="14"/>
      <c r="X483" s="14"/>
      <c r="Y483" s="14"/>
      <c r="Z483" s="14"/>
    </row>
    <row r="484">
      <c r="A484" s="11">
        <v>43847.53465277777</v>
      </c>
      <c r="B484" s="12" t="str">
        <f>HYPERLINK("https://twitter.com/trafficjam_app","@trafficjam_app")</f>
        <v>@trafficjam_app</v>
      </c>
      <c r="C484" s="1" t="s">
        <v>1251</v>
      </c>
      <c r="D484" s="1" t="s">
        <v>2440</v>
      </c>
      <c r="E484" s="12" t="str">
        <f>HYPERLINK("https://twitter.com/trafficjam_app/status/1218228968022847488","1218228968022847488")</f>
        <v>1218228968022847488</v>
      </c>
      <c r="F484" s="13" t="s">
        <v>1253</v>
      </c>
      <c r="G484" s="13" t="s">
        <v>2441</v>
      </c>
      <c r="H484" s="14"/>
      <c r="I484" s="15">
        <v>2.0</v>
      </c>
      <c r="J484" s="15">
        <v>0.0</v>
      </c>
      <c r="K484" s="12" t="str">
        <f>HYPERLINK("https://zapier.com/","Zapier.com")</f>
        <v>Zapier.com</v>
      </c>
      <c r="L484" s="16">
        <v>113.0</v>
      </c>
      <c r="M484" s="16">
        <v>50.0</v>
      </c>
      <c r="N484" s="16">
        <v>1.0</v>
      </c>
      <c r="O484" s="17"/>
      <c r="P484" s="18">
        <v>42994.542708333334</v>
      </c>
      <c r="Q484" s="1" t="s">
        <v>1255</v>
      </c>
      <c r="R484" s="1" t="s">
        <v>1256</v>
      </c>
      <c r="S484" s="13" t="s">
        <v>1257</v>
      </c>
      <c r="T484" s="14"/>
      <c r="U484" s="19" t="str">
        <f>HYPERLINK("https://pbs.twimg.com/profile_images/1020242156571766786/l1YKw5xD.jpg","View")</f>
        <v>View</v>
      </c>
      <c r="V484" s="14"/>
      <c r="W484" s="14"/>
      <c r="X484" s="14"/>
      <c r="Y484" s="14"/>
      <c r="Z484" s="14"/>
    </row>
    <row r="485">
      <c r="A485" s="11">
        <v>43847.53181712963</v>
      </c>
      <c r="B485" s="12" t="str">
        <f>HYPERLINK("https://twitter.com/EdiblesZz","@EdiblesZz")</f>
        <v>@EdiblesZz</v>
      </c>
      <c r="C485" s="1" t="s">
        <v>111</v>
      </c>
      <c r="D485" s="1" t="s">
        <v>2442</v>
      </c>
      <c r="E485" s="12" t="str">
        <f>HYPERLINK("https://twitter.com/EdiblesZz/status/1218227942158934016","1218227942158934016")</f>
        <v>1218227942158934016</v>
      </c>
      <c r="F485" s="13" t="s">
        <v>113</v>
      </c>
      <c r="G485" s="13" t="s">
        <v>2443</v>
      </c>
      <c r="H485" s="14"/>
      <c r="I485" s="15">
        <v>0.0</v>
      </c>
      <c r="J485" s="15">
        <v>1.0</v>
      </c>
      <c r="K485" s="12" t="str">
        <f>HYPERLINK("https://mobile.twitter.com","Twitter Web App")</f>
        <v>Twitter Web App</v>
      </c>
      <c r="L485" s="16">
        <v>572.0</v>
      </c>
      <c r="M485" s="16">
        <v>2994.0</v>
      </c>
      <c r="N485" s="16">
        <v>0.0</v>
      </c>
      <c r="O485" s="17"/>
      <c r="P485" s="18">
        <v>43710.57782407408</v>
      </c>
      <c r="Q485" s="1" t="s">
        <v>115</v>
      </c>
      <c r="R485" s="1" t="s">
        <v>116</v>
      </c>
      <c r="S485" s="13" t="s">
        <v>117</v>
      </c>
      <c r="T485" s="14"/>
      <c r="U485" s="19" t="str">
        <f>HYPERLINK("https://pbs.twimg.com/profile_images/1168582465058934785/vS2Yhnlj.jpg","View")</f>
        <v>View</v>
      </c>
      <c r="V485" s="14"/>
      <c r="W485" s="14"/>
      <c r="X485" s="14"/>
      <c r="Y485" s="14"/>
      <c r="Z485" s="14"/>
    </row>
    <row r="486">
      <c r="A486" s="11">
        <v>43847.53140046296</v>
      </c>
      <c r="B486" s="12" t="str">
        <f>HYPERLINK("https://twitter.com/Barbara10736701","@Barbara10736701")</f>
        <v>@Barbara10736701</v>
      </c>
      <c r="C486" s="1" t="s">
        <v>2444</v>
      </c>
      <c r="D486" s="1" t="s">
        <v>2445</v>
      </c>
      <c r="E486" s="12" t="str">
        <f>HYPERLINK("https://twitter.com/Barbara10736701/status/1218227790702473216","1218227790702473216")</f>
        <v>1218227790702473216</v>
      </c>
      <c r="F486" s="14"/>
      <c r="G486" s="13" t="s">
        <v>2446</v>
      </c>
      <c r="H486" s="14"/>
      <c r="I486" s="15">
        <v>0.0</v>
      </c>
      <c r="J486" s="15">
        <v>1.0</v>
      </c>
      <c r="K486" s="12" t="str">
        <f>HYPERLINK("http://twitter.com/download/iphone","Twitter for iPhone")</f>
        <v>Twitter for iPhone</v>
      </c>
      <c r="L486" s="16">
        <v>1.0</v>
      </c>
      <c r="M486" s="16">
        <v>15.0</v>
      </c>
      <c r="N486" s="16">
        <v>0.0</v>
      </c>
      <c r="O486" s="17"/>
      <c r="P486" s="18">
        <v>43707.2740625</v>
      </c>
      <c r="Q486" s="1" t="s">
        <v>2447</v>
      </c>
      <c r="R486" s="1" t="s">
        <v>2448</v>
      </c>
      <c r="S486" s="13" t="s">
        <v>2449</v>
      </c>
      <c r="T486" s="14"/>
      <c r="U486" s="19" t="str">
        <f>HYPERLINK("https://pbs.twimg.com/profile_images/1167385283412877313/41Ms_TyK.jpg","View")</f>
        <v>View</v>
      </c>
      <c r="V486" s="14"/>
      <c r="W486" s="14"/>
      <c r="X486" s="14"/>
      <c r="Y486" s="14"/>
      <c r="Z486" s="14"/>
    </row>
    <row r="487">
      <c r="A487" s="11">
        <v>43847.531319444446</v>
      </c>
      <c r="B487" s="12" t="str">
        <f>HYPERLINK("https://twitter.com/NobleBeastDog","@NobleBeastDog")</f>
        <v>@NobleBeastDog</v>
      </c>
      <c r="C487" s="1" t="s">
        <v>2450</v>
      </c>
      <c r="D487" s="1" t="s">
        <v>2451</v>
      </c>
      <c r="E487" s="12" t="str">
        <f>HYPERLINK("https://twitter.com/NobleBeastDog/status/1218227759710908417","1218227759710908417")</f>
        <v>1218227759710908417</v>
      </c>
      <c r="F487" s="14"/>
      <c r="G487" s="13" t="s">
        <v>2452</v>
      </c>
      <c r="H487" s="14"/>
      <c r="I487" s="15">
        <v>0.0</v>
      </c>
      <c r="J487" s="15">
        <v>1.0</v>
      </c>
      <c r="K487" s="12" t="str">
        <f>HYPERLINK("https://www.hootsuite.com","Hootsuite Inc.")</f>
        <v>Hootsuite Inc.</v>
      </c>
      <c r="L487" s="16">
        <v>1364.0</v>
      </c>
      <c r="M487" s="16">
        <v>1837.0</v>
      </c>
      <c r="N487" s="16">
        <v>21.0</v>
      </c>
      <c r="O487" s="17"/>
      <c r="P487" s="18">
        <v>40820.80855324074</v>
      </c>
      <c r="Q487" s="1" t="s">
        <v>2453</v>
      </c>
      <c r="R487" s="1" t="s">
        <v>2454</v>
      </c>
      <c r="S487" s="13" t="s">
        <v>2455</v>
      </c>
      <c r="T487" s="14"/>
      <c r="U487" s="19" t="str">
        <f>HYPERLINK("https://pbs.twimg.com/profile_images/378800000539406865/5107a8094a167bbf73b70e6f78ec2257.png","View")</f>
        <v>View</v>
      </c>
      <c r="V487" s="14"/>
      <c r="W487" s="14"/>
      <c r="X487" s="14"/>
      <c r="Y487" s="14"/>
      <c r="Z487" s="14"/>
    </row>
    <row r="488">
      <c r="A488" s="11">
        <v>43847.52868055555</v>
      </c>
      <c r="B488" s="12" t="str">
        <f>HYPERLINK("https://twitter.com/Curiosity_Hour","@Curiosity_Hour")</f>
        <v>@Curiosity_Hour</v>
      </c>
      <c r="C488" s="1" t="s">
        <v>2456</v>
      </c>
      <c r="D488" s="1" t="s">
        <v>2457</v>
      </c>
      <c r="E488" s="12" t="str">
        <f>HYPERLINK("https://twitter.com/Curiosity_Hour/status/1218226804928000001","1218226804928000001")</f>
        <v>1218226804928000001</v>
      </c>
      <c r="F488" s="13" t="s">
        <v>2458</v>
      </c>
      <c r="G488" s="13" t="s">
        <v>2459</v>
      </c>
      <c r="H488" s="14"/>
      <c r="I488" s="15">
        <v>0.0</v>
      </c>
      <c r="J488" s="15">
        <v>0.0</v>
      </c>
      <c r="K488" s="12" t="str">
        <f>HYPERLINK("https://mobile.twitter.com","Twitter Web App")</f>
        <v>Twitter Web App</v>
      </c>
      <c r="L488" s="16">
        <v>208.0</v>
      </c>
      <c r="M488" s="16">
        <v>524.0</v>
      </c>
      <c r="N488" s="16">
        <v>4.0</v>
      </c>
      <c r="O488" s="17"/>
      <c r="P488" s="18">
        <v>42781.29787037037</v>
      </c>
      <c r="Q488" s="14"/>
      <c r="R488" s="1" t="s">
        <v>2460</v>
      </c>
      <c r="S488" s="14"/>
      <c r="T488" s="14"/>
      <c r="U488" s="19" t="str">
        <f>HYPERLINK("https://pbs.twimg.com/profile_images/1034941312548532224/QkFXAAUV.jpg","View")</f>
        <v>View</v>
      </c>
      <c r="V488" s="14"/>
      <c r="W488" s="14"/>
      <c r="X488" s="14"/>
      <c r="Y488" s="14"/>
      <c r="Z488" s="14"/>
    </row>
    <row r="489">
      <c r="A489" s="11">
        <v>43847.52849537037</v>
      </c>
      <c r="B489" s="12" t="str">
        <f>HYPERLINK("https://twitter.com/fstuition","@fstuition")</f>
        <v>@fstuition</v>
      </c>
      <c r="C489" s="1" t="s">
        <v>2461</v>
      </c>
      <c r="D489" s="21" t="s">
        <v>2462</v>
      </c>
      <c r="E489" s="12" t="str">
        <f>HYPERLINK("https://twitter.com/fstuition/status/1218226735910719489","1218226735910719489")</f>
        <v>1218226735910719489</v>
      </c>
      <c r="F489" s="14"/>
      <c r="G489" s="13" t="s">
        <v>2463</v>
      </c>
      <c r="H489" s="14"/>
      <c r="I489" s="15">
        <v>0.0</v>
      </c>
      <c r="J489" s="15">
        <v>0.0</v>
      </c>
      <c r="K489" s="12" t="str">
        <f>HYPERLINK("https://buffer.com","Buffer")</f>
        <v>Buffer</v>
      </c>
      <c r="L489" s="16">
        <v>577.0</v>
      </c>
      <c r="M489" s="16">
        <v>398.0</v>
      </c>
      <c r="N489" s="16">
        <v>33.0</v>
      </c>
      <c r="O489" s="17"/>
      <c r="P489" s="18">
        <v>40967.30965277778</v>
      </c>
      <c r="Q489" s="1" t="s">
        <v>2464</v>
      </c>
      <c r="R489" s="1" t="s">
        <v>2465</v>
      </c>
      <c r="S489" s="13" t="s">
        <v>2466</v>
      </c>
      <c r="T489" s="14"/>
      <c r="U489" s="19" t="str">
        <f>HYPERLINK("https://pbs.twimg.com/profile_images/550977833380483075/umeI_KLk.png","View")</f>
        <v>View</v>
      </c>
      <c r="V489" s="14"/>
      <c r="W489" s="14"/>
      <c r="X489" s="14"/>
      <c r="Y489" s="14"/>
      <c r="Z489" s="14"/>
    </row>
    <row r="490">
      <c r="A490" s="11">
        <v>43847.52841435185</v>
      </c>
      <c r="B490" s="12" t="str">
        <f>HYPERLINK("https://twitter.com/CancerAndCareer","@CancerAndCareer")</f>
        <v>@CancerAndCareer</v>
      </c>
      <c r="C490" s="1" t="s">
        <v>2467</v>
      </c>
      <c r="D490" s="1" t="s">
        <v>2468</v>
      </c>
      <c r="E490" s="12" t="str">
        <f>HYPERLINK("https://twitter.com/CancerAndCareer/status/1218226707179753472","1218226707179753472")</f>
        <v>1218226707179753472</v>
      </c>
      <c r="F490" s="13" t="s">
        <v>2469</v>
      </c>
      <c r="G490" s="13" t="s">
        <v>2470</v>
      </c>
      <c r="H490" s="14"/>
      <c r="I490" s="15">
        <v>2.0</v>
      </c>
      <c r="J490" s="15">
        <v>2.0</v>
      </c>
      <c r="K490" s="12" t="str">
        <f>HYPERLINK("https://mobile.twitter.com","Twitter Web App")</f>
        <v>Twitter Web App</v>
      </c>
      <c r="L490" s="16">
        <v>16383.0</v>
      </c>
      <c r="M490" s="16">
        <v>3606.0</v>
      </c>
      <c r="N490" s="16">
        <v>470.0</v>
      </c>
      <c r="O490" s="20" t="s">
        <v>38</v>
      </c>
      <c r="P490" s="18">
        <v>39882.508634259255</v>
      </c>
      <c r="Q490" s="1" t="s">
        <v>809</v>
      </c>
      <c r="R490" s="1" t="s">
        <v>2471</v>
      </c>
      <c r="S490" s="13" t="s">
        <v>2472</v>
      </c>
      <c r="T490" s="14"/>
      <c r="U490" s="19" t="str">
        <f>HYPERLINK("https://pbs.twimg.com/profile_images/511903611354243072/eLWK6AW3.jpeg","View")</f>
        <v>View</v>
      </c>
      <c r="V490" s="14"/>
      <c r="W490" s="14"/>
      <c r="X490" s="14"/>
      <c r="Y490" s="14"/>
      <c r="Z490" s="14"/>
    </row>
    <row r="491">
      <c r="A491" s="11">
        <v>43847.52799768519</v>
      </c>
      <c r="B491" s="12" t="str">
        <f>HYPERLINK("https://twitter.com/dazzeeemarilyn","@dazzeeemarilyn")</f>
        <v>@dazzeeemarilyn</v>
      </c>
      <c r="C491" s="1" t="s">
        <v>2473</v>
      </c>
      <c r="D491" s="1" t="s">
        <v>2474</v>
      </c>
      <c r="E491" s="12" t="str">
        <f>HYPERLINK("https://twitter.com/dazzeeemarilyn/status/1218226558554390528","1218226558554390528")</f>
        <v>1218226558554390528</v>
      </c>
      <c r="F491" s="13" t="s">
        <v>2475</v>
      </c>
      <c r="G491" s="13" t="s">
        <v>2476</v>
      </c>
      <c r="H491" s="14"/>
      <c r="I491" s="15">
        <v>2.0</v>
      </c>
      <c r="J491" s="15">
        <v>5.0</v>
      </c>
      <c r="K491" s="12" t="str">
        <f>HYPERLINK("http://twitter.com/download/android","Twitter for Android")</f>
        <v>Twitter for Android</v>
      </c>
      <c r="L491" s="16">
        <v>76.0</v>
      </c>
      <c r="M491" s="16">
        <v>75.0</v>
      </c>
      <c r="N491" s="16">
        <v>0.0</v>
      </c>
      <c r="O491" s="17"/>
      <c r="P491" s="18">
        <v>41617.506643518514</v>
      </c>
      <c r="Q491" s="14"/>
      <c r="R491" s="1" t="s">
        <v>2477</v>
      </c>
      <c r="S491" s="14"/>
      <c r="T491" s="14"/>
      <c r="U491" s="19" t="str">
        <f>HYPERLINK("https://pbs.twimg.com/profile_images/1182495228361506816/GhhL9ow1.png","View")</f>
        <v>View</v>
      </c>
      <c r="V491" s="14"/>
      <c r="W491" s="14"/>
      <c r="X491" s="14"/>
      <c r="Y491" s="14"/>
      <c r="Z491" s="14"/>
    </row>
    <row r="492">
      <c r="A492" s="11">
        <v>43847.527766203704</v>
      </c>
      <c r="B492" s="12" t="str">
        <f>HYPERLINK("https://twitter.com/GeorgetownMarkt","@GeorgetownMarkt")</f>
        <v>@GeorgetownMarkt</v>
      </c>
      <c r="C492" s="1" t="s">
        <v>2478</v>
      </c>
      <c r="D492" s="1" t="s">
        <v>2479</v>
      </c>
      <c r="E492" s="12" t="str">
        <f>HYPERLINK("https://twitter.com/GeorgetownMarkt/status/1218226475205308416","1218226475205308416")</f>
        <v>1218226475205308416</v>
      </c>
      <c r="F492" s="14"/>
      <c r="G492" s="13" t="s">
        <v>2480</v>
      </c>
      <c r="H492" s="14"/>
      <c r="I492" s="15">
        <v>0.0</v>
      </c>
      <c r="J492" s="15">
        <v>1.0</v>
      </c>
      <c r="K492" s="12" t="str">
        <f>HYPERLINK("https://www.hootsuite.com","Hootsuite Inc.")</f>
        <v>Hootsuite Inc.</v>
      </c>
      <c r="L492" s="16">
        <v>1629.0</v>
      </c>
      <c r="M492" s="16">
        <v>1900.0</v>
      </c>
      <c r="N492" s="16">
        <v>114.0</v>
      </c>
      <c r="O492" s="17"/>
      <c r="P492" s="18">
        <v>40091.689155092594</v>
      </c>
      <c r="Q492" s="1" t="s">
        <v>2481</v>
      </c>
      <c r="R492" s="1" t="s">
        <v>2482</v>
      </c>
      <c r="S492" s="13" t="s">
        <v>2483</v>
      </c>
      <c r="T492" s="14"/>
      <c r="U492" s="19" t="str">
        <f>HYPERLINK("https://pbs.twimg.com/profile_images/2729403169/5103a50a1022019ff744385bdc9cb37d.jpeg","View")</f>
        <v>View</v>
      </c>
      <c r="V492" s="14"/>
      <c r="W492" s="14"/>
      <c r="X492" s="14"/>
      <c r="Y492" s="14"/>
      <c r="Z492" s="14"/>
    </row>
    <row r="493">
      <c r="A493" s="11">
        <v>43847.52763888889</v>
      </c>
      <c r="B493" s="12" t="str">
        <f>HYPERLINK("https://twitter.com/EdiblesZz","@EdiblesZz")</f>
        <v>@EdiblesZz</v>
      </c>
      <c r="C493" s="1" t="s">
        <v>111</v>
      </c>
      <c r="D493" s="1" t="s">
        <v>2484</v>
      </c>
      <c r="E493" s="12" t="str">
        <f>HYPERLINK("https://twitter.com/EdiblesZz/status/1218226429340549120","1218226429340549120")</f>
        <v>1218226429340549120</v>
      </c>
      <c r="F493" s="13" t="s">
        <v>113</v>
      </c>
      <c r="G493" s="13" t="s">
        <v>2485</v>
      </c>
      <c r="H493" s="14"/>
      <c r="I493" s="15">
        <v>0.0</v>
      </c>
      <c r="J493" s="15">
        <v>0.0</v>
      </c>
      <c r="K493" s="12" t="str">
        <f>HYPERLINK("https://mobile.twitter.com","Twitter Web App")</f>
        <v>Twitter Web App</v>
      </c>
      <c r="L493" s="16">
        <v>572.0</v>
      </c>
      <c r="M493" s="16">
        <v>2994.0</v>
      </c>
      <c r="N493" s="16">
        <v>0.0</v>
      </c>
      <c r="O493" s="17"/>
      <c r="P493" s="18">
        <v>43710.57782407408</v>
      </c>
      <c r="Q493" s="1" t="s">
        <v>115</v>
      </c>
      <c r="R493" s="1" t="s">
        <v>116</v>
      </c>
      <c r="S493" s="13" t="s">
        <v>117</v>
      </c>
      <c r="T493" s="14"/>
      <c r="U493" s="19" t="str">
        <f>HYPERLINK("https://pbs.twimg.com/profile_images/1168582465058934785/vS2Yhnlj.jpg","View")</f>
        <v>View</v>
      </c>
      <c r="V493" s="14"/>
      <c r="W493" s="14"/>
      <c r="X493" s="14"/>
      <c r="Y493" s="14"/>
      <c r="Z493" s="14"/>
    </row>
    <row r="494">
      <c r="A494" s="11">
        <v>43847.52648148148</v>
      </c>
      <c r="B494" s="12" t="str">
        <f>HYPERLINK("https://twitter.com/renascencemusic","@renascencemusic")</f>
        <v>@renascencemusic</v>
      </c>
      <c r="C494" s="1" t="s">
        <v>247</v>
      </c>
      <c r="D494" s="1" t="s">
        <v>2486</v>
      </c>
      <c r="E494" s="12" t="str">
        <f>HYPERLINK("https://twitter.com/renascencemusic/status/1218226008039575552","1218226008039575552")</f>
        <v>1218226008039575552</v>
      </c>
      <c r="F494" s="13" t="s">
        <v>2487</v>
      </c>
      <c r="G494" s="13" t="s">
        <v>2488</v>
      </c>
      <c r="H494" s="14"/>
      <c r="I494" s="15">
        <v>0.0</v>
      </c>
      <c r="J494" s="15">
        <v>0.0</v>
      </c>
      <c r="K494" s="12" t="str">
        <f>HYPERLINK("https://www.socialoomph.com","SocialOomph")</f>
        <v>SocialOomph</v>
      </c>
      <c r="L494" s="16">
        <v>13031.0</v>
      </c>
      <c r="M494" s="16">
        <v>11650.0</v>
      </c>
      <c r="N494" s="16">
        <v>219.0</v>
      </c>
      <c r="O494" s="17"/>
      <c r="P494" s="18">
        <v>42470.67052083333</v>
      </c>
      <c r="Q494" s="1" t="s">
        <v>251</v>
      </c>
      <c r="R494" s="1" t="s">
        <v>252</v>
      </c>
      <c r="S494" s="13" t="s">
        <v>253</v>
      </c>
      <c r="T494" s="14"/>
      <c r="U494" s="19" t="str">
        <f>HYPERLINK("https://pbs.twimg.com/profile_images/1123407512743612416/g721ra2J.png","View")</f>
        <v>View</v>
      </c>
      <c r="V494" s="14"/>
      <c r="W494" s="14"/>
      <c r="X494" s="14"/>
      <c r="Y494" s="14"/>
      <c r="Z494" s="14"/>
    </row>
    <row r="495">
      <c r="A495" s="11">
        <v>43847.525300925925</v>
      </c>
      <c r="B495" s="12" t="str">
        <f>HYPERLINK("https://twitter.com/rrao2006","@rrao2006")</f>
        <v>@rrao2006</v>
      </c>
      <c r="C495" s="1" t="s">
        <v>2489</v>
      </c>
      <c r="D495" s="1" t="s">
        <v>1427</v>
      </c>
      <c r="E495" s="12" t="str">
        <f>HYPERLINK("https://twitter.com/rrao2006/status/1218225581118119937","1218225581118119937")</f>
        <v>1218225581118119937</v>
      </c>
      <c r="F495" s="13" t="s">
        <v>1428</v>
      </c>
      <c r="G495" s="13" t="s">
        <v>2490</v>
      </c>
      <c r="H495" s="14"/>
      <c r="I495" s="15">
        <v>0.0</v>
      </c>
      <c r="J495" s="15">
        <v>0.0</v>
      </c>
      <c r="K495" s="12" t="str">
        <f>HYPERLINK("https://www.socialjukebox.com","The Social Jukebox")</f>
        <v>The Social Jukebox</v>
      </c>
      <c r="L495" s="16">
        <v>36.0</v>
      </c>
      <c r="M495" s="16">
        <v>549.0</v>
      </c>
      <c r="N495" s="16">
        <v>0.0</v>
      </c>
      <c r="O495" s="17"/>
      <c r="P495" s="18">
        <v>40084.60733796297</v>
      </c>
      <c r="Q495" s="14"/>
      <c r="R495" s="14"/>
      <c r="S495" s="14"/>
      <c r="T495" s="14"/>
      <c r="U495" s="19" t="str">
        <f>HYPERLINK("https://pbs.twimg.com/profile_images/1197041782015455232/TApGKTLm.jpg","View")</f>
        <v>View</v>
      </c>
      <c r="V495" s="14"/>
      <c r="W495" s="14"/>
      <c r="X495" s="14"/>
      <c r="Y495" s="14"/>
      <c r="Z495" s="14"/>
    </row>
    <row r="496">
      <c r="A496" s="11">
        <v>43847.524409722224</v>
      </c>
      <c r="B496" s="12" t="str">
        <f>HYPERLINK("https://twitter.com/SalonOasisSpa","@SalonOasisSpa")</f>
        <v>@SalonOasisSpa</v>
      </c>
      <c r="C496" s="1" t="s">
        <v>2491</v>
      </c>
      <c r="D496" s="1" t="s">
        <v>2492</v>
      </c>
      <c r="E496" s="12" t="str">
        <f>HYPERLINK("https://twitter.com/SalonOasisSpa/status/1218225257758240771","1218225257758240771")</f>
        <v>1218225257758240771</v>
      </c>
      <c r="F496" s="13" t="s">
        <v>2493</v>
      </c>
      <c r="G496" s="14"/>
      <c r="H496" s="14"/>
      <c r="I496" s="15">
        <v>0.0</v>
      </c>
      <c r="J496" s="15">
        <v>0.0</v>
      </c>
      <c r="K496" s="12" t="str">
        <f>HYPERLINK("https://www.hootsuite.com","Hootsuite Inc.")</f>
        <v>Hootsuite Inc.</v>
      </c>
      <c r="L496" s="16">
        <v>478.0</v>
      </c>
      <c r="M496" s="16">
        <v>751.0</v>
      </c>
      <c r="N496" s="16">
        <v>3.0</v>
      </c>
      <c r="O496" s="17"/>
      <c r="P496" s="18">
        <v>41017.46469907407</v>
      </c>
      <c r="Q496" s="1" t="s">
        <v>2494</v>
      </c>
      <c r="R496" s="1" t="s">
        <v>2495</v>
      </c>
      <c r="S496" s="13" t="s">
        <v>2496</v>
      </c>
      <c r="T496" s="14"/>
      <c r="U496" s="19" t="str">
        <f>HYPERLINK("https://pbs.twimg.com/profile_images/2159467766/salon-oasisTwitter.jpg","View")</f>
        <v>View</v>
      </c>
      <c r="V496" s="14"/>
      <c r="W496" s="14"/>
      <c r="X496" s="14"/>
      <c r="Y496" s="14"/>
      <c r="Z496" s="14"/>
    </row>
    <row r="497">
      <c r="A497" s="11">
        <v>43847.52400462963</v>
      </c>
      <c r="B497" s="12" t="str">
        <f>HYPERLINK("https://twitter.com/BambiBellina","@BambiBellina")</f>
        <v>@BambiBellina</v>
      </c>
      <c r="C497" s="1" t="s">
        <v>2497</v>
      </c>
      <c r="D497" s="1" t="s">
        <v>2498</v>
      </c>
      <c r="E497" s="12" t="str">
        <f>HYPERLINK("https://twitter.com/BambiBellina/status/1218225112052166658","1218225112052166658")</f>
        <v>1218225112052166658</v>
      </c>
      <c r="F497" s="14"/>
      <c r="G497" s="14"/>
      <c r="H497" s="14"/>
      <c r="I497" s="15">
        <v>0.0</v>
      </c>
      <c r="J497" s="15">
        <v>0.0</v>
      </c>
      <c r="K497" s="12" t="str">
        <f>HYPERLINK("http://twitter.com/download/android","Twitter for Android")</f>
        <v>Twitter for Android</v>
      </c>
      <c r="L497" s="16">
        <v>110.0</v>
      </c>
      <c r="M497" s="16">
        <v>197.0</v>
      </c>
      <c r="N497" s="16">
        <v>8.0</v>
      </c>
      <c r="O497" s="17"/>
      <c r="P497" s="18">
        <v>40403.59275462963</v>
      </c>
      <c r="Q497" s="1" t="s">
        <v>2499</v>
      </c>
      <c r="R497" s="1" t="s">
        <v>2500</v>
      </c>
      <c r="S497" s="14"/>
      <c r="T497" s="14"/>
      <c r="U497" s="19" t="str">
        <f>HYPERLINK("https://pbs.twimg.com/profile_images/419554723570520064/2X6P-pKQ.jpeg","View")</f>
        <v>View</v>
      </c>
      <c r="V497" s="14"/>
      <c r="W497" s="14"/>
      <c r="X497" s="14"/>
      <c r="Y497" s="14"/>
      <c r="Z497" s="14"/>
    </row>
    <row r="498">
      <c r="A498" s="11">
        <v>43847.523935185185</v>
      </c>
      <c r="B498" s="12" t="str">
        <f>HYPERLINK("https://twitter.com/DeerCampbell","@DeerCampbell")</f>
        <v>@DeerCampbell</v>
      </c>
      <c r="C498" s="1" t="s">
        <v>2501</v>
      </c>
      <c r="D498" s="1" t="s">
        <v>2502</v>
      </c>
      <c r="E498" s="12" t="str">
        <f>HYPERLINK("https://twitter.com/DeerCampbell/status/1218225085259112448","1218225085259112448")</f>
        <v>1218225085259112448</v>
      </c>
      <c r="F498" s="14"/>
      <c r="G498" s="14"/>
      <c r="H498" s="14"/>
      <c r="I498" s="15">
        <v>0.0</v>
      </c>
      <c r="J498" s="15">
        <v>0.0</v>
      </c>
      <c r="K498" s="12" t="str">
        <f>HYPERLINK("https://mobile.twitter.com","Twitter Web App")</f>
        <v>Twitter Web App</v>
      </c>
      <c r="L498" s="16">
        <v>4.0</v>
      </c>
      <c r="M498" s="16">
        <v>73.0</v>
      </c>
      <c r="N498" s="16">
        <v>0.0</v>
      </c>
      <c r="O498" s="17"/>
      <c r="P498" s="18">
        <v>43623.52394675926</v>
      </c>
      <c r="Q498" s="1" t="s">
        <v>2503</v>
      </c>
      <c r="R498" s="1" t="s">
        <v>2504</v>
      </c>
      <c r="S498" s="14"/>
      <c r="T498" s="14"/>
      <c r="U498" s="20" t="s">
        <v>202</v>
      </c>
      <c r="V498" s="14"/>
      <c r="W498" s="14"/>
      <c r="X498" s="14"/>
      <c r="Y498" s="14"/>
      <c r="Z498" s="14"/>
    </row>
    <row r="499">
      <c r="A499" s="11">
        <v>43847.521145833336</v>
      </c>
      <c r="B499" s="12" t="str">
        <f>HYPERLINK("https://twitter.com/TheMarisPractic","@TheMarisPractic")</f>
        <v>@TheMarisPractic</v>
      </c>
      <c r="C499" s="1" t="s">
        <v>2505</v>
      </c>
      <c r="D499" s="1" t="s">
        <v>2506</v>
      </c>
      <c r="E499" s="12" t="str">
        <f>HYPERLINK("https://twitter.com/TheMarisPractic/status/1218224075379703808","1218224075379703808")</f>
        <v>1218224075379703808</v>
      </c>
      <c r="F499" s="13" t="s">
        <v>2507</v>
      </c>
      <c r="G499" s="13" t="s">
        <v>2508</v>
      </c>
      <c r="H499" s="14"/>
      <c r="I499" s="15">
        <v>0.0</v>
      </c>
      <c r="J499" s="15">
        <v>1.0</v>
      </c>
      <c r="K499" s="12" t="str">
        <f>HYPERLINK("https://www.hootsuite.com","Hootsuite Inc.")</f>
        <v>Hootsuite Inc.</v>
      </c>
      <c r="L499" s="16">
        <v>464.0</v>
      </c>
      <c r="M499" s="16">
        <v>525.0</v>
      </c>
      <c r="N499" s="16">
        <v>90.0</v>
      </c>
      <c r="O499" s="17"/>
      <c r="P499" s="18">
        <v>41877.6890162037</v>
      </c>
      <c r="Q499" s="1" t="s">
        <v>2509</v>
      </c>
      <c r="R499" s="1" t="s">
        <v>2510</v>
      </c>
      <c r="S499" s="13" t="s">
        <v>2511</v>
      </c>
      <c r="T499" s="14"/>
      <c r="U499" s="19" t="str">
        <f>HYPERLINK("https://pbs.twimg.com/profile_images/506119541093462017/8MENXffw.png","View")</f>
        <v>View</v>
      </c>
      <c r="V499" s="14"/>
      <c r="W499" s="14"/>
      <c r="X499" s="14"/>
      <c r="Y499" s="14"/>
      <c r="Z499" s="14"/>
    </row>
    <row r="500">
      <c r="A500" s="11">
        <v>43847.5203587963</v>
      </c>
      <c r="B500" s="12" t="str">
        <f>HYPERLINK("https://twitter.com/TeamAwesomism","@TeamAwesomism")</f>
        <v>@TeamAwesomism</v>
      </c>
      <c r="C500" s="1" t="s">
        <v>1631</v>
      </c>
      <c r="D500" s="1" t="s">
        <v>2512</v>
      </c>
      <c r="E500" s="12" t="str">
        <f>HYPERLINK("https://twitter.com/TeamAwesomism/status/1218223788317401095","1218223788317401095")</f>
        <v>1218223788317401095</v>
      </c>
      <c r="F500" s="13" t="s">
        <v>2513</v>
      </c>
      <c r="G500" s="14"/>
      <c r="H500" s="14"/>
      <c r="I500" s="15">
        <v>0.0</v>
      </c>
      <c r="J500" s="15">
        <v>1.0</v>
      </c>
      <c r="K500" s="12" t="str">
        <f>HYPERLINK("http://twitter.com/download/iphone","Twitter for iPhone")</f>
        <v>Twitter for iPhone</v>
      </c>
      <c r="L500" s="16">
        <v>324.0</v>
      </c>
      <c r="M500" s="16">
        <v>294.0</v>
      </c>
      <c r="N500" s="16">
        <v>4.0</v>
      </c>
      <c r="O500" s="17"/>
      <c r="P500" s="18">
        <v>42961.91828703704</v>
      </c>
      <c r="Q500" s="14"/>
      <c r="R500" s="1" t="s">
        <v>1634</v>
      </c>
      <c r="S500" s="13" t="s">
        <v>1635</v>
      </c>
      <c r="T500" s="14"/>
      <c r="U500" s="19" t="str">
        <f>HYPERLINK("https://pbs.twimg.com/profile_images/1215483338431062021/cJBXw9Bk.jpg","View")</f>
        <v>View</v>
      </c>
      <c r="V500" s="14"/>
      <c r="W500" s="14"/>
      <c r="X500" s="14"/>
      <c r="Y500" s="14"/>
      <c r="Z500" s="14"/>
    </row>
    <row r="501">
      <c r="A501" s="11">
        <v>43847.51965277777</v>
      </c>
      <c r="B501" s="12" t="str">
        <f>HYPERLINK("https://twitter.com/csucoast","@csucoast")</f>
        <v>@csucoast</v>
      </c>
      <c r="C501" s="1" t="s">
        <v>2514</v>
      </c>
      <c r="D501" s="1" t="s">
        <v>2515</v>
      </c>
      <c r="E501" s="12" t="str">
        <f>HYPERLINK("https://twitter.com/csucoast/status/1218223534675197952","1218223534675197952")</f>
        <v>1218223534675197952</v>
      </c>
      <c r="F501" s="13" t="s">
        <v>2516</v>
      </c>
      <c r="G501" s="14"/>
      <c r="H501" s="14"/>
      <c r="I501" s="15">
        <v>1.0</v>
      </c>
      <c r="J501" s="15">
        <v>0.0</v>
      </c>
      <c r="K501" s="12" t="str">
        <f>HYPERLINK("https://www.hootsuite.com","Hootsuite Inc.")</f>
        <v>Hootsuite Inc.</v>
      </c>
      <c r="L501" s="16">
        <v>756.0</v>
      </c>
      <c r="M501" s="16">
        <v>477.0</v>
      </c>
      <c r="N501" s="16">
        <v>17.0</v>
      </c>
      <c r="O501" s="17"/>
      <c r="P501" s="18">
        <v>40463.573692129634</v>
      </c>
      <c r="Q501" s="1" t="s">
        <v>2517</v>
      </c>
      <c r="R501" s="1" t="s">
        <v>2518</v>
      </c>
      <c r="S501" s="13" t="s">
        <v>2519</v>
      </c>
      <c r="T501" s="14"/>
      <c r="U501" s="19" t="str">
        <f>HYPERLINK("https://pbs.twimg.com/profile_images/1143307903/COAST_logo_gray.png","View")</f>
        <v>View</v>
      </c>
      <c r="V501" s="14"/>
      <c r="W501" s="14"/>
      <c r="X501" s="14"/>
      <c r="Y501" s="14"/>
      <c r="Z501" s="14"/>
    </row>
    <row r="502">
      <c r="A502" s="11">
        <v>43847.519479166665</v>
      </c>
      <c r="B502" s="12" t="str">
        <f>HYPERLINK("https://twitter.com/CountplusA","@CountplusA")</f>
        <v>@CountplusA</v>
      </c>
      <c r="C502" s="1" t="s">
        <v>2520</v>
      </c>
      <c r="D502" s="1" t="s">
        <v>2521</v>
      </c>
      <c r="E502" s="12" t="str">
        <f>HYPERLINK("https://twitter.com/CountplusA/status/1218223469600628736","1218223469600628736")</f>
        <v>1218223469600628736</v>
      </c>
      <c r="F502" s="13" t="s">
        <v>2522</v>
      </c>
      <c r="G502" s="13" t="s">
        <v>2523</v>
      </c>
      <c r="H502" s="14"/>
      <c r="I502" s="15">
        <v>1.0</v>
      </c>
      <c r="J502" s="15">
        <v>0.0</v>
      </c>
      <c r="K502" s="12" t="str">
        <f>HYPERLINK("https://buffer.com","Buffer")</f>
        <v>Buffer</v>
      </c>
      <c r="L502" s="16">
        <v>92.0</v>
      </c>
      <c r="M502" s="16">
        <v>243.0</v>
      </c>
      <c r="N502" s="16">
        <v>2.0</v>
      </c>
      <c r="O502" s="17"/>
      <c r="P502" s="18">
        <v>43639.25586805555</v>
      </c>
      <c r="Q502" s="1" t="s">
        <v>2524</v>
      </c>
      <c r="R502" s="1" t="s">
        <v>2525</v>
      </c>
      <c r="S502" s="13" t="s">
        <v>2526</v>
      </c>
      <c r="T502" s="14"/>
      <c r="U502" s="19" t="str">
        <f>HYPERLINK("https://pbs.twimg.com/profile_images/1142736367161696256/i5TLfoAD.png","View")</f>
        <v>View</v>
      </c>
      <c r="V502" s="14"/>
      <c r="W502" s="14"/>
      <c r="X502" s="14"/>
      <c r="Y502" s="14"/>
      <c r="Z502" s="14"/>
    </row>
    <row r="503">
      <c r="A503" s="11">
        <v>43847.51922453704</v>
      </c>
      <c r="B503" s="12" t="str">
        <f>HYPERLINK("https://twitter.com/lucygilroyTCP","@lucygilroyTCP")</f>
        <v>@lucygilroyTCP</v>
      </c>
      <c r="C503" s="1" t="s">
        <v>2527</v>
      </c>
      <c r="D503" s="1" t="s">
        <v>2528</v>
      </c>
      <c r="E503" s="12" t="str">
        <f>HYPERLINK("https://twitter.com/lucygilroyTCP/status/1218223378454196224","1218223378454196224")</f>
        <v>1218223378454196224</v>
      </c>
      <c r="F503" s="13" t="s">
        <v>2529</v>
      </c>
      <c r="G503" s="14"/>
      <c r="H503" s="12" t="str">
        <f>HYPERLINK("https://ctrlq.org/maps/address/#51.51603951,-0.14694373","Map")</f>
        <v>Map</v>
      </c>
      <c r="I503" s="15">
        <v>0.0</v>
      </c>
      <c r="J503" s="15">
        <v>1.0</v>
      </c>
      <c r="K503" s="12" t="str">
        <f>HYPERLINK("http://instagram.com","Instagram")</f>
        <v>Instagram</v>
      </c>
      <c r="L503" s="16">
        <v>139.0</v>
      </c>
      <c r="M503" s="16">
        <v>154.0</v>
      </c>
      <c r="N503" s="16">
        <v>10.0</v>
      </c>
      <c r="O503" s="17"/>
      <c r="P503" s="18">
        <v>42026.60315972222</v>
      </c>
      <c r="Q503" s="1" t="s">
        <v>2530</v>
      </c>
      <c r="R503" s="1" t="s">
        <v>2531</v>
      </c>
      <c r="S503" s="13" t="s">
        <v>2532</v>
      </c>
      <c r="T503" s="14"/>
      <c r="U503" s="19" t="str">
        <f>HYPERLINK("https://pbs.twimg.com/profile_images/618789652170936320/p6T6T400.jpg","View")</f>
        <v>View</v>
      </c>
      <c r="V503" s="14"/>
      <c r="W503" s="14"/>
      <c r="X503" s="14"/>
      <c r="Y503" s="14"/>
      <c r="Z503" s="14"/>
    </row>
    <row r="504">
      <c r="A504" s="11">
        <v>43847.51877314815</v>
      </c>
      <c r="B504" s="12" t="str">
        <f>HYPERLINK("https://twitter.com/TLA_champion","@TLA_champion")</f>
        <v>@TLA_champion</v>
      </c>
      <c r="C504" s="1" t="s">
        <v>306</v>
      </c>
      <c r="D504" s="1" t="s">
        <v>2533</v>
      </c>
      <c r="E504" s="12" t="str">
        <f>HYPERLINK("https://twitter.com/TLA_champion/status/1218223213764915200","1218223213764915200")</f>
        <v>1218223213764915200</v>
      </c>
      <c r="F504" s="13" t="s">
        <v>2534</v>
      </c>
      <c r="G504" s="13" t="s">
        <v>2535</v>
      </c>
      <c r="H504" s="14"/>
      <c r="I504" s="15">
        <v>0.0</v>
      </c>
      <c r="J504" s="15">
        <v>0.0</v>
      </c>
      <c r="K504" s="12" t="str">
        <f>HYPERLINK("https://buffer.com","Buffer")</f>
        <v>Buffer</v>
      </c>
      <c r="L504" s="16">
        <v>1270.0</v>
      </c>
      <c r="M504" s="16">
        <v>2002.0</v>
      </c>
      <c r="N504" s="16">
        <v>92.0</v>
      </c>
      <c r="O504" s="17"/>
      <c r="P504" s="18">
        <v>42024.52983796297</v>
      </c>
      <c r="Q504" s="1" t="s">
        <v>309</v>
      </c>
      <c r="R504" s="1" t="s">
        <v>310</v>
      </c>
      <c r="S504" s="13" t="s">
        <v>311</v>
      </c>
      <c r="T504" s="14"/>
      <c r="U504" s="19" t="str">
        <f>HYPERLINK("https://pbs.twimg.com/profile_images/928633251148828673/rZ78O3tA.jpg","View")</f>
        <v>View</v>
      </c>
      <c r="V504" s="14"/>
      <c r="W504" s="14"/>
      <c r="X504" s="14"/>
      <c r="Y504" s="14"/>
      <c r="Z504" s="14"/>
    </row>
    <row r="505">
      <c r="A505" s="11">
        <v>43847.518530092595</v>
      </c>
      <c r="B505" s="12" t="str">
        <f>HYPERLINK("https://twitter.com/ArtesianNatural","@ArtesianNatural")</f>
        <v>@ArtesianNatural</v>
      </c>
      <c r="C505" s="1" t="s">
        <v>2536</v>
      </c>
      <c r="D505" s="1" t="s">
        <v>2537</v>
      </c>
      <c r="E505" s="12" t="str">
        <f>HYPERLINK("https://twitter.com/ArtesianNatural/status/1218223126049218561","1218223126049218561")</f>
        <v>1218223126049218561</v>
      </c>
      <c r="F505" s="13" t="s">
        <v>2538</v>
      </c>
      <c r="G505" s="14"/>
      <c r="H505" s="12" t="str">
        <f>HYPERLINK("https://ctrlq.org/maps/address/#38.01157667,-121.3224298","Map")</f>
        <v>Map</v>
      </c>
      <c r="I505" s="15">
        <v>0.0</v>
      </c>
      <c r="J505" s="15">
        <v>0.0</v>
      </c>
      <c r="K505" s="12" t="str">
        <f>HYPERLINK("http://instagram.com","Instagram")</f>
        <v>Instagram</v>
      </c>
      <c r="L505" s="16">
        <v>225.0</v>
      </c>
      <c r="M505" s="16">
        <v>478.0</v>
      </c>
      <c r="N505" s="16">
        <v>9.0</v>
      </c>
      <c r="O505" s="17"/>
      <c r="P505" s="18">
        <v>40989.488958333335</v>
      </c>
      <c r="Q505" s="1" t="s">
        <v>2539</v>
      </c>
      <c r="R505" s="1" t="s">
        <v>2540</v>
      </c>
      <c r="S505" s="13" t="s">
        <v>2541</v>
      </c>
      <c r="T505" s="14"/>
      <c r="U505" s="19" t="str">
        <f>HYPERLINK("https://pbs.twimg.com/profile_images/1924384317/IMG_1184.JPG","View")</f>
        <v>View</v>
      </c>
      <c r="V505" s="14"/>
      <c r="W505" s="14"/>
      <c r="X505" s="14"/>
      <c r="Y505" s="14"/>
      <c r="Z505" s="14"/>
    </row>
    <row r="506">
      <c r="A506" s="11">
        <v>43847.518125</v>
      </c>
      <c r="B506" s="12" t="str">
        <f>HYPERLINK("https://twitter.com/DrRomie","@DrRomie")</f>
        <v>@DrRomie</v>
      </c>
      <c r="C506" s="1" t="s">
        <v>2542</v>
      </c>
      <c r="D506" s="1" t="s">
        <v>2543</v>
      </c>
      <c r="E506" s="12" t="str">
        <f>HYPERLINK("https://twitter.com/DrRomie/status/1218222979672420357","1218222979672420357")</f>
        <v>1218222979672420357</v>
      </c>
      <c r="F506" s="13" t="s">
        <v>2544</v>
      </c>
      <c r="G506" s="13" t="s">
        <v>2545</v>
      </c>
      <c r="H506" s="14"/>
      <c r="I506" s="15">
        <v>0.0</v>
      </c>
      <c r="J506" s="15">
        <v>3.0</v>
      </c>
      <c r="K506" s="12" t="str">
        <f>HYPERLINK("https://app.agorapulse.com","AgoraPulse Manager")</f>
        <v>AgoraPulse Manager</v>
      </c>
      <c r="L506" s="16">
        <v>37854.0</v>
      </c>
      <c r="M506" s="16">
        <v>30832.0</v>
      </c>
      <c r="N506" s="16">
        <v>1243.0</v>
      </c>
      <c r="O506" s="17"/>
      <c r="P506" s="18">
        <v>40332.75790509259</v>
      </c>
      <c r="Q506" s="1" t="s">
        <v>2546</v>
      </c>
      <c r="R506" s="1" t="s">
        <v>2547</v>
      </c>
      <c r="S506" s="13" t="s">
        <v>2548</v>
      </c>
      <c r="T506" s="14"/>
      <c r="U506" s="19" t="str">
        <f>HYPERLINK("https://pbs.twimg.com/profile_images/1191504710030651393/JD3hQ-NR.jpg","View")</f>
        <v>View</v>
      </c>
      <c r="V506" s="14"/>
      <c r="W506" s="14"/>
      <c r="X506" s="14"/>
      <c r="Y506" s="14"/>
      <c r="Z506" s="14"/>
    </row>
    <row r="507">
      <c r="A507" s="11">
        <v>43847.515081018515</v>
      </c>
      <c r="B507" s="12" t="str">
        <f>HYPERLINK("https://twitter.com/LaceyCroft","@LaceyCroft")</f>
        <v>@LaceyCroft</v>
      </c>
      <c r="C507" s="1" t="s">
        <v>2549</v>
      </c>
      <c r="D507" s="1" t="s">
        <v>2550</v>
      </c>
      <c r="E507" s="12" t="str">
        <f>HYPERLINK("https://twitter.com/LaceyCroft/status/1218221877027659777","1218221877027659777")</f>
        <v>1218221877027659777</v>
      </c>
      <c r="F507" s="13" t="s">
        <v>2551</v>
      </c>
      <c r="G507" s="14"/>
      <c r="H507" s="14"/>
      <c r="I507" s="15">
        <v>0.0</v>
      </c>
      <c r="J507" s="15">
        <v>1.0</v>
      </c>
      <c r="K507" s="12" t="str">
        <f>HYPERLINK("http://twitter.com/download/iphone","Twitter for iPhone")</f>
        <v>Twitter for iPhone</v>
      </c>
      <c r="L507" s="16">
        <v>485.0</v>
      </c>
      <c r="M507" s="16">
        <v>706.0</v>
      </c>
      <c r="N507" s="16">
        <v>17.0</v>
      </c>
      <c r="O507" s="17"/>
      <c r="P507" s="18">
        <v>41157.60903935185</v>
      </c>
      <c r="Q507" s="14"/>
      <c r="R507" s="1" t="s">
        <v>2552</v>
      </c>
      <c r="S507" s="14"/>
      <c r="T507" s="14"/>
      <c r="U507" s="19" t="str">
        <f>HYPERLINK("https://pbs.twimg.com/profile_images/1080965952722808833/yLXh5ydD.jpg","View")</f>
        <v>View</v>
      </c>
      <c r="V507" s="14"/>
      <c r="W507" s="14"/>
      <c r="X507" s="14"/>
      <c r="Y507" s="14"/>
      <c r="Z507" s="14"/>
    </row>
    <row r="508">
      <c r="A508" s="11">
        <v>43847.51049768519</v>
      </c>
      <c r="B508" s="12" t="str">
        <f>HYPERLINK("https://twitter.com/BodetUK","@BodetUK")</f>
        <v>@BodetUK</v>
      </c>
      <c r="C508" s="1" t="s">
        <v>2553</v>
      </c>
      <c r="D508" s="1" t="s">
        <v>2554</v>
      </c>
      <c r="E508" s="12" t="str">
        <f>HYPERLINK("https://twitter.com/BodetUK/status/1218220217593147392","1218220217593147392")</f>
        <v>1218220217593147392</v>
      </c>
      <c r="F508" s="13" t="s">
        <v>2555</v>
      </c>
      <c r="G508" s="13" t="s">
        <v>2556</v>
      </c>
      <c r="H508" s="14"/>
      <c r="I508" s="15">
        <v>0.0</v>
      </c>
      <c r="J508" s="15">
        <v>0.0</v>
      </c>
      <c r="K508" s="12" t="str">
        <f>HYPERLINK("https://www.hootsuite.com","Hootsuite Inc.")</f>
        <v>Hootsuite Inc.</v>
      </c>
      <c r="L508" s="16">
        <v>1168.0</v>
      </c>
      <c r="M508" s="16">
        <v>1993.0</v>
      </c>
      <c r="N508" s="16">
        <v>125.0</v>
      </c>
      <c r="O508" s="17"/>
      <c r="P508" s="18">
        <v>41715.280439814815</v>
      </c>
      <c r="Q508" s="1" t="s">
        <v>2557</v>
      </c>
      <c r="R508" s="1" t="s">
        <v>2558</v>
      </c>
      <c r="S508" s="13" t="s">
        <v>2559</v>
      </c>
      <c r="T508" s="14"/>
      <c r="U508" s="19" t="str">
        <f>HYPERLINK("https://pbs.twimg.com/profile_images/707628385267273731/Rd1_L7DC.jpg","View")</f>
        <v>View</v>
      </c>
      <c r="V508" s="14"/>
      <c r="W508" s="14"/>
      <c r="X508" s="14"/>
      <c r="Y508" s="14"/>
      <c r="Z508" s="14"/>
    </row>
    <row r="509">
      <c r="A509" s="11">
        <v>43847.507569444446</v>
      </c>
      <c r="B509" s="12" t="str">
        <f>HYPERLINK("https://twitter.com/lucygilroyTCP","@lucygilroyTCP")</f>
        <v>@lucygilroyTCP</v>
      </c>
      <c r="C509" s="1" t="s">
        <v>2527</v>
      </c>
      <c r="D509" s="1" t="s">
        <v>2560</v>
      </c>
      <c r="E509" s="12" t="str">
        <f>HYPERLINK("https://twitter.com/lucygilroyTCP/status/1218219153619922945","1218219153619922945")</f>
        <v>1218219153619922945</v>
      </c>
      <c r="F509" s="13" t="s">
        <v>2561</v>
      </c>
      <c r="G509" s="14"/>
      <c r="H509" s="14"/>
      <c r="I509" s="15">
        <v>0.0</v>
      </c>
      <c r="J509" s="15">
        <v>0.0</v>
      </c>
      <c r="K509" s="12" t="str">
        <f>HYPERLINK("http://twitter.com/download/iphone","Twitter for iPhone")</f>
        <v>Twitter for iPhone</v>
      </c>
      <c r="L509" s="16">
        <v>139.0</v>
      </c>
      <c r="M509" s="16">
        <v>154.0</v>
      </c>
      <c r="N509" s="16">
        <v>10.0</v>
      </c>
      <c r="O509" s="17"/>
      <c r="P509" s="18">
        <v>42026.60315972222</v>
      </c>
      <c r="Q509" s="1" t="s">
        <v>2530</v>
      </c>
      <c r="R509" s="1" t="s">
        <v>2531</v>
      </c>
      <c r="S509" s="13" t="s">
        <v>2532</v>
      </c>
      <c r="T509" s="14"/>
      <c r="U509" s="19" t="str">
        <f>HYPERLINK("https://pbs.twimg.com/profile_images/618789652170936320/p6T6T400.jpg","View")</f>
        <v>View</v>
      </c>
      <c r="V509" s="14"/>
      <c r="W509" s="14"/>
      <c r="X509" s="14"/>
      <c r="Y509" s="14"/>
      <c r="Z509" s="14"/>
    </row>
    <row r="510">
      <c r="A510" s="11">
        <v>43847.505000000005</v>
      </c>
      <c r="B510" s="12" t="str">
        <f>HYPERLINK("https://twitter.com/Hot_NewTech","@Hot_NewTech")</f>
        <v>@Hot_NewTech</v>
      </c>
      <c r="C510" s="1" t="s">
        <v>2562</v>
      </c>
      <c r="D510" s="1" t="s">
        <v>2563</v>
      </c>
      <c r="E510" s="12" t="str">
        <f>HYPERLINK("https://twitter.com/Hot_NewTech/status/1218218221326819328","1218218221326819328")</f>
        <v>1218218221326819328</v>
      </c>
      <c r="F510" s="14"/>
      <c r="G510" s="13" t="s">
        <v>2564</v>
      </c>
      <c r="H510" s="14"/>
      <c r="I510" s="15">
        <v>0.0</v>
      </c>
      <c r="J510" s="15">
        <v>0.0</v>
      </c>
      <c r="K510" s="12" t="str">
        <f>HYPERLINK("https://www.hootsuite.com","Hootsuite Inc.")</f>
        <v>Hootsuite Inc.</v>
      </c>
      <c r="L510" s="16">
        <v>3582.0</v>
      </c>
      <c r="M510" s="16">
        <v>120.0</v>
      </c>
      <c r="N510" s="16">
        <v>7.0</v>
      </c>
      <c r="O510" s="17"/>
      <c r="P510" s="18">
        <v>42542.758877314816</v>
      </c>
      <c r="Q510" s="1" t="s">
        <v>1493</v>
      </c>
      <c r="R510" s="1" t="s">
        <v>2565</v>
      </c>
      <c r="S510" s="13" t="s">
        <v>2566</v>
      </c>
      <c r="T510" s="14"/>
      <c r="U510" s="19" t="str">
        <f>HYPERLINK("https://pbs.twimg.com/profile_images/1215392197828198400/qoblCnpK.jpg","View")</f>
        <v>View</v>
      </c>
      <c r="V510" s="14"/>
      <c r="W510" s="14"/>
      <c r="X510" s="14"/>
      <c r="Y510" s="14"/>
      <c r="Z510" s="14"/>
    </row>
    <row r="511">
      <c r="A511" s="11">
        <v>43847.50373842593</v>
      </c>
      <c r="B511" s="12" t="str">
        <f>HYPERLINK("https://twitter.com/AmandaDudman","@AmandaDudman")</f>
        <v>@AmandaDudman</v>
      </c>
      <c r="C511" s="1" t="s">
        <v>2567</v>
      </c>
      <c r="D511" s="1" t="s">
        <v>2568</v>
      </c>
      <c r="E511" s="12" t="str">
        <f>HYPERLINK("https://twitter.com/AmandaDudman/status/1218217764176920576","1218217764176920576")</f>
        <v>1218217764176920576</v>
      </c>
      <c r="F511" s="14"/>
      <c r="G511" s="13" t="s">
        <v>2569</v>
      </c>
      <c r="H511" s="14"/>
      <c r="I511" s="15">
        <v>0.0</v>
      </c>
      <c r="J511" s="15">
        <v>1.0</v>
      </c>
      <c r="K511" s="12" t="str">
        <f>HYPERLINK("http://twitter.com/download/iphone","Twitter for iPhone")</f>
        <v>Twitter for iPhone</v>
      </c>
      <c r="L511" s="16">
        <v>542.0</v>
      </c>
      <c r="M511" s="16">
        <v>240.0</v>
      </c>
      <c r="N511" s="16">
        <v>143.0</v>
      </c>
      <c r="O511" s="17"/>
      <c r="P511" s="18">
        <v>40737.44917824074</v>
      </c>
      <c r="Q511" s="1" t="s">
        <v>2570</v>
      </c>
      <c r="R511" s="1" t="s">
        <v>2571</v>
      </c>
      <c r="S511" s="13" t="s">
        <v>2572</v>
      </c>
      <c r="T511" s="14"/>
      <c r="U511" s="19" t="str">
        <f>HYPERLINK("https://pbs.twimg.com/profile_images/3388678879/6d1cd288c57d87078dc201afd7add637.jpeg","View")</f>
        <v>View</v>
      </c>
      <c r="V511" s="14"/>
      <c r="W511" s="14"/>
      <c r="X511" s="14"/>
      <c r="Y511" s="14"/>
      <c r="Z511" s="14"/>
    </row>
    <row r="512">
      <c r="A512" s="11">
        <v>43847.50368055556</v>
      </c>
      <c r="B512" s="12" t="str">
        <f>HYPERLINK("https://twitter.com/KaylaJWMarnach","@KaylaJWMarnach")</f>
        <v>@KaylaJWMarnach</v>
      </c>
      <c r="C512" s="1" t="s">
        <v>2573</v>
      </c>
      <c r="D512" s="1" t="s">
        <v>2574</v>
      </c>
      <c r="E512" s="12" t="str">
        <f>HYPERLINK("https://twitter.com/KaylaJWMarnach/status/1218217743503233026","1218217743503233026")</f>
        <v>1218217743503233026</v>
      </c>
      <c r="F512" s="13" t="s">
        <v>2575</v>
      </c>
      <c r="G512" s="14"/>
      <c r="H512" s="14"/>
      <c r="I512" s="15">
        <v>0.0</v>
      </c>
      <c r="J512" s="15">
        <v>0.0</v>
      </c>
      <c r="K512" s="12" t="str">
        <f>HYPERLINK("https://www.socialoomph.com","SocialOomph")</f>
        <v>SocialOomph</v>
      </c>
      <c r="L512" s="16">
        <v>732.0</v>
      </c>
      <c r="M512" s="16">
        <v>616.0</v>
      </c>
      <c r="N512" s="16">
        <v>11.0</v>
      </c>
      <c r="O512" s="17"/>
      <c r="P512" s="18">
        <v>42196.611921296295</v>
      </c>
      <c r="Q512" s="1" t="s">
        <v>2576</v>
      </c>
      <c r="R512" s="1" t="s">
        <v>2577</v>
      </c>
      <c r="S512" s="13" t="s">
        <v>2578</v>
      </c>
      <c r="T512" s="14"/>
      <c r="U512" s="19" t="str">
        <f>HYPERLINK("https://pbs.twimg.com/profile_images/1024364889651863552/68xRiKXZ.jpg","View")</f>
        <v>View</v>
      </c>
      <c r="V512" s="14"/>
      <c r="W512" s="14"/>
      <c r="X512" s="14"/>
      <c r="Y512" s="14"/>
      <c r="Z512" s="14"/>
    </row>
    <row r="513">
      <c r="A513" s="11">
        <v>43847.50357638889</v>
      </c>
      <c r="B513" s="12" t="str">
        <f>HYPERLINK("https://twitter.com/ShoshanaSheaPhD","@ShoshanaSheaPhD")</f>
        <v>@ShoshanaSheaPhD</v>
      </c>
      <c r="C513" s="1" t="s">
        <v>2579</v>
      </c>
      <c r="D513" s="1" t="s">
        <v>2580</v>
      </c>
      <c r="E513" s="12" t="str">
        <f>HYPERLINK("https://twitter.com/ShoshanaSheaPhD/status/1218217708552146945","1218217708552146945")</f>
        <v>1218217708552146945</v>
      </c>
      <c r="F513" s="13" t="s">
        <v>2581</v>
      </c>
      <c r="G513" s="13" t="s">
        <v>2582</v>
      </c>
      <c r="H513" s="14"/>
      <c r="I513" s="15">
        <v>1.0</v>
      </c>
      <c r="J513" s="15">
        <v>2.0</v>
      </c>
      <c r="K513" s="12" t="str">
        <f>HYPERLINK("https://www.hootsuite.com","Hootsuite Inc.")</f>
        <v>Hootsuite Inc.</v>
      </c>
      <c r="L513" s="16">
        <v>116.0</v>
      </c>
      <c r="M513" s="16">
        <v>287.0</v>
      </c>
      <c r="N513" s="16">
        <v>8.0</v>
      </c>
      <c r="O513" s="17"/>
      <c r="P513" s="18">
        <v>42631.587951388894</v>
      </c>
      <c r="Q513" s="1" t="s">
        <v>2583</v>
      </c>
      <c r="R513" s="1" t="s">
        <v>2584</v>
      </c>
      <c r="S513" s="13" t="s">
        <v>2585</v>
      </c>
      <c r="T513" s="14"/>
      <c r="U513" s="19" t="str">
        <f>HYPERLINK("https://pbs.twimg.com/profile_images/777573654234148864/yTOBZpBd.jpg","View")</f>
        <v>View</v>
      </c>
      <c r="V513" s="14"/>
      <c r="W513" s="14"/>
      <c r="X513" s="14"/>
      <c r="Y513" s="14"/>
      <c r="Z513" s="14"/>
    </row>
    <row r="514">
      <c r="A514" s="11">
        <v>43847.50261574074</v>
      </c>
      <c r="B514" s="12" t="str">
        <f>HYPERLINK("https://twitter.com/AnthonyBoucard","@AnthonyBoucard")</f>
        <v>@AnthonyBoucard</v>
      </c>
      <c r="C514" s="1" t="s">
        <v>2068</v>
      </c>
      <c r="D514" s="1" t="s">
        <v>2586</v>
      </c>
      <c r="E514" s="12" t="str">
        <f>HYPERLINK("https://twitter.com/AnthonyBoucard/status/1218217359447445505","1218217359447445505")</f>
        <v>1218217359447445505</v>
      </c>
      <c r="F514" s="14"/>
      <c r="G514" s="14"/>
      <c r="H514" s="14"/>
      <c r="I514" s="15">
        <v>1.0</v>
      </c>
      <c r="J514" s="15">
        <v>0.0</v>
      </c>
      <c r="K514" s="12" t="str">
        <f>HYPERLINK("https://mobile.twitter.com","Twitter Web App")</f>
        <v>Twitter Web App</v>
      </c>
      <c r="L514" s="16">
        <v>216.0</v>
      </c>
      <c r="M514" s="16">
        <v>1234.0</v>
      </c>
      <c r="N514" s="16">
        <v>1.0</v>
      </c>
      <c r="O514" s="17"/>
      <c r="P514" s="18">
        <v>43605.559953703705</v>
      </c>
      <c r="Q514" s="1" t="s">
        <v>2070</v>
      </c>
      <c r="R514" s="1" t="s">
        <v>2071</v>
      </c>
      <c r="S514" s="13" t="s">
        <v>2072</v>
      </c>
      <c r="T514" s="14"/>
      <c r="U514" s="19" t="str">
        <f>HYPERLINK("https://pbs.twimg.com/profile_images/1212838182829641728/MYcMidc4.jpg","View")</f>
        <v>View</v>
      </c>
      <c r="V514" s="14"/>
      <c r="W514" s="14"/>
      <c r="X514" s="14"/>
      <c r="Y514" s="14"/>
      <c r="Z514" s="14"/>
    </row>
    <row r="515">
      <c r="A515" s="11">
        <v>43847.50234953704</v>
      </c>
      <c r="B515" s="12" t="str">
        <f>HYPERLINK("https://twitter.com/HillsideATL","@HillsideATL")</f>
        <v>@HillsideATL</v>
      </c>
      <c r="C515" s="1" t="s">
        <v>2587</v>
      </c>
      <c r="D515" s="1" t="s">
        <v>2588</v>
      </c>
      <c r="E515" s="12" t="str">
        <f>HYPERLINK("https://twitter.com/HillsideATL/status/1218217261137387521","1218217261137387521")</f>
        <v>1218217261137387521</v>
      </c>
      <c r="F515" s="13" t="s">
        <v>2589</v>
      </c>
      <c r="G515" s="13" t="s">
        <v>2590</v>
      </c>
      <c r="H515" s="14"/>
      <c r="I515" s="15">
        <v>0.0</v>
      </c>
      <c r="J515" s="15">
        <v>1.0</v>
      </c>
      <c r="K515" s="12" t="str">
        <f>HYPERLINK("https://buffer.com","Buffer")</f>
        <v>Buffer</v>
      </c>
      <c r="L515" s="16">
        <v>249.0</v>
      </c>
      <c r="M515" s="16">
        <v>602.0</v>
      </c>
      <c r="N515" s="16">
        <v>14.0</v>
      </c>
      <c r="O515" s="17"/>
      <c r="P515" s="18">
        <v>40861.49267361111</v>
      </c>
      <c r="Q515" s="1" t="s">
        <v>550</v>
      </c>
      <c r="R515" s="1" t="s">
        <v>2591</v>
      </c>
      <c r="S515" s="13" t="s">
        <v>2592</v>
      </c>
      <c r="T515" s="14"/>
      <c r="U515" s="19" t="str">
        <f>HYPERLINK("https://pbs.twimg.com/profile_images/968545814409707520/JTqenzTZ.jpg","View")</f>
        <v>View</v>
      </c>
      <c r="V515" s="14"/>
      <c r="W515" s="14"/>
      <c r="X515" s="14"/>
      <c r="Y515" s="14"/>
      <c r="Z515" s="14"/>
    </row>
    <row r="516">
      <c r="A516" s="11">
        <v>43847.502118055556</v>
      </c>
      <c r="B516" s="12" t="str">
        <f>HYPERLINK("https://twitter.com/ReachMarionCo","@ReachMarionCo")</f>
        <v>@ReachMarionCo</v>
      </c>
      <c r="C516" s="1" t="s">
        <v>2593</v>
      </c>
      <c r="D516" s="1" t="s">
        <v>2594</v>
      </c>
      <c r="E516" s="12" t="str">
        <f>HYPERLINK("https://twitter.com/ReachMarionCo/status/1218217180568989696","1218217180568989696")</f>
        <v>1218217180568989696</v>
      </c>
      <c r="F516" s="13" t="s">
        <v>2595</v>
      </c>
      <c r="G516" s="13" t="s">
        <v>2596</v>
      </c>
      <c r="H516" s="14"/>
      <c r="I516" s="15">
        <v>0.0</v>
      </c>
      <c r="J516" s="15">
        <v>0.0</v>
      </c>
      <c r="K516" s="12" t="str">
        <f t="shared" ref="K516:K518" si="48">HYPERLINK("https://www.hootsuite.com","Hootsuite Inc.")</f>
        <v>Hootsuite Inc.</v>
      </c>
      <c r="L516" s="16">
        <v>17.0</v>
      </c>
      <c r="M516" s="16">
        <v>178.0</v>
      </c>
      <c r="N516" s="16">
        <v>0.0</v>
      </c>
      <c r="O516" s="17"/>
      <c r="P516" s="18">
        <v>43734.65608796296</v>
      </c>
      <c r="Q516" s="14"/>
      <c r="R516" s="1" t="s">
        <v>2597</v>
      </c>
      <c r="S516" s="14"/>
      <c r="T516" s="14"/>
      <c r="U516" s="19" t="str">
        <f>HYPERLINK("https://pbs.twimg.com/profile_images/1177308094751236096/dteK38dK.jpg","View")</f>
        <v>View</v>
      </c>
      <c r="V516" s="14"/>
      <c r="W516" s="14"/>
      <c r="X516" s="14"/>
      <c r="Y516" s="14"/>
      <c r="Z516" s="14"/>
    </row>
    <row r="517">
      <c r="A517" s="11">
        <v>43847.501909722225</v>
      </c>
      <c r="B517" s="12" t="str">
        <f>HYPERLINK("https://twitter.com/SellersDale","@SellersDale")</f>
        <v>@SellersDale</v>
      </c>
      <c r="C517" s="1" t="s">
        <v>2598</v>
      </c>
      <c r="D517" s="1" t="s">
        <v>2599</v>
      </c>
      <c r="E517" s="12" t="str">
        <f>HYPERLINK("https://twitter.com/SellersDale/status/1218217102311591938","1218217102311591938")</f>
        <v>1218217102311591938</v>
      </c>
      <c r="F517" s="13" t="s">
        <v>2600</v>
      </c>
      <c r="G517" s="13" t="s">
        <v>2601</v>
      </c>
      <c r="H517" s="14"/>
      <c r="I517" s="15">
        <v>0.0</v>
      </c>
      <c r="J517" s="15">
        <v>1.0</v>
      </c>
      <c r="K517" s="12" t="str">
        <f t="shared" si="48"/>
        <v>Hootsuite Inc.</v>
      </c>
      <c r="L517" s="16">
        <v>3140.0</v>
      </c>
      <c r="M517" s="16">
        <v>900.0</v>
      </c>
      <c r="N517" s="16">
        <v>18.0</v>
      </c>
      <c r="O517" s="17"/>
      <c r="P517" s="18">
        <v>41383.05278935185</v>
      </c>
      <c r="Q517" s="1" t="s">
        <v>2602</v>
      </c>
      <c r="R517" s="1" t="s">
        <v>2603</v>
      </c>
      <c r="S517" s="13" t="s">
        <v>2600</v>
      </c>
      <c r="T517" s="14"/>
      <c r="U517" s="19" t="str">
        <f>HYPERLINK("https://pbs.twimg.com/profile_images/943661937317040128/QT5Zf3FE.jpg","View")</f>
        <v>View</v>
      </c>
      <c r="V517" s="14"/>
      <c r="W517" s="14"/>
      <c r="X517" s="14"/>
      <c r="Y517" s="14"/>
      <c r="Z517" s="14"/>
    </row>
    <row r="518">
      <c r="A518" s="11">
        <v>43847.50184027778</v>
      </c>
      <c r="B518" s="12" t="str">
        <f>HYPERLINK("https://twitter.com/WVJustice","@WVJustice")</f>
        <v>@WVJustice</v>
      </c>
      <c r="C518" s="1" t="s">
        <v>2604</v>
      </c>
      <c r="D518" s="1" t="s">
        <v>2605</v>
      </c>
      <c r="E518" s="12" t="str">
        <f>HYPERLINK("https://twitter.com/WVJustice/status/1218217076642525186","1218217076642525186")</f>
        <v>1218217076642525186</v>
      </c>
      <c r="F518" s="13" t="s">
        <v>2606</v>
      </c>
      <c r="G518" s="14"/>
      <c r="H518" s="14"/>
      <c r="I518" s="15">
        <v>0.0</v>
      </c>
      <c r="J518" s="15">
        <v>0.0</v>
      </c>
      <c r="K518" s="12" t="str">
        <f t="shared" si="48"/>
        <v>Hootsuite Inc.</v>
      </c>
      <c r="L518" s="16">
        <v>158.0</v>
      </c>
      <c r="M518" s="16">
        <v>130.0</v>
      </c>
      <c r="N518" s="16">
        <v>2.0</v>
      </c>
      <c r="O518" s="17"/>
      <c r="P518" s="18">
        <v>40583.72267361111</v>
      </c>
      <c r="Q518" s="1" t="s">
        <v>2607</v>
      </c>
      <c r="R518" s="1" t="s">
        <v>2608</v>
      </c>
      <c r="S518" s="13" t="s">
        <v>2609</v>
      </c>
      <c r="T518" s="14"/>
      <c r="U518" s="19" t="str">
        <f>HYPERLINK("https://pbs.twimg.com/profile_images/1103356037359382531/cGhrVN-C.png","View")</f>
        <v>View</v>
      </c>
      <c r="V518" s="14"/>
      <c r="W518" s="14"/>
      <c r="X518" s="14"/>
      <c r="Y518" s="14"/>
      <c r="Z518" s="14"/>
    </row>
    <row r="519">
      <c r="A519" s="11">
        <v>43847.50105324074</v>
      </c>
      <c r="B519" s="12" t="str">
        <f>HYPERLINK("https://twitter.com/yogaclassesnear","@yogaclassesnear")</f>
        <v>@yogaclassesnear</v>
      </c>
      <c r="C519" s="1" t="s">
        <v>2610</v>
      </c>
      <c r="D519" s="1" t="s">
        <v>2611</v>
      </c>
      <c r="E519" s="12" t="str">
        <f>HYPERLINK("https://twitter.com/yogaclassesnear/status/1218216793673781250","1218216793673781250")</f>
        <v>1218216793673781250</v>
      </c>
      <c r="F519" s="13" t="s">
        <v>2612</v>
      </c>
      <c r="G519" s="13" t="s">
        <v>2613</v>
      </c>
      <c r="H519" s="14"/>
      <c r="I519" s="15">
        <v>0.0</v>
      </c>
      <c r="J519" s="15">
        <v>0.0</v>
      </c>
      <c r="K519" s="12" t="str">
        <f>HYPERLINK("https://missinglettr.com","Missinglettr")</f>
        <v>Missinglettr</v>
      </c>
      <c r="L519" s="16">
        <v>14.0</v>
      </c>
      <c r="M519" s="16">
        <v>13.0</v>
      </c>
      <c r="N519" s="16">
        <v>0.0</v>
      </c>
      <c r="O519" s="17"/>
      <c r="P519" s="18">
        <v>42695.48199074074</v>
      </c>
      <c r="Q519" s="14"/>
      <c r="R519" s="1" t="s">
        <v>2392</v>
      </c>
      <c r="S519" s="13" t="s">
        <v>2393</v>
      </c>
      <c r="T519" s="14"/>
      <c r="U519" s="19" t="str">
        <f>HYPERLINK("https://pbs.twimg.com/profile_images/984580494737096704/_24v935H.jpg","View")</f>
        <v>View</v>
      </c>
      <c r="V519" s="14"/>
      <c r="W519" s="14"/>
      <c r="X519" s="14"/>
      <c r="Y519" s="14"/>
      <c r="Z519" s="14"/>
    </row>
    <row r="520">
      <c r="A520" s="11">
        <v>43847.50047453704</v>
      </c>
      <c r="B520" s="12" t="str">
        <f>HYPERLINK("https://twitter.com/HealingSoundsTx","@HealingSoundsTx")</f>
        <v>@HealingSoundsTx</v>
      </c>
      <c r="C520" s="1" t="s">
        <v>587</v>
      </c>
      <c r="D520" s="1" t="s">
        <v>2614</v>
      </c>
      <c r="E520" s="12" t="str">
        <f>HYPERLINK("https://twitter.com/HealingSoundsTx/status/1218216582377328640","1218216582377328640")</f>
        <v>1218216582377328640</v>
      </c>
      <c r="F520" s="13" t="s">
        <v>2615</v>
      </c>
      <c r="G520" s="14"/>
      <c r="H520" s="14"/>
      <c r="I520" s="15">
        <v>0.0</v>
      </c>
      <c r="J520" s="15">
        <v>1.0</v>
      </c>
      <c r="K520" s="12" t="str">
        <f>HYPERLINK("https://smarterqueue.com","SmarterQueue")</f>
        <v>SmarterQueue</v>
      </c>
      <c r="L520" s="16">
        <v>1071.0</v>
      </c>
      <c r="M520" s="16">
        <v>791.0</v>
      </c>
      <c r="N520" s="16">
        <v>170.0</v>
      </c>
      <c r="O520" s="17"/>
      <c r="P520" s="18">
        <v>40752.95190972222</v>
      </c>
      <c r="Q520" s="1" t="s">
        <v>590</v>
      </c>
      <c r="R520" s="1" t="s">
        <v>591</v>
      </c>
      <c r="S520" s="13" t="s">
        <v>592</v>
      </c>
      <c r="T520" s="14"/>
      <c r="U520" s="19" t="str">
        <f>HYPERLINK("https://pbs.twimg.com/profile_images/1039513853443227648/UEQFTVre.jpg","View")</f>
        <v>View</v>
      </c>
      <c r="V520" s="14"/>
      <c r="W520" s="14"/>
      <c r="X520" s="14"/>
      <c r="Y520" s="14"/>
      <c r="Z520" s="14"/>
    </row>
    <row r="521">
      <c r="A521" s="11">
        <v>43847.50030092592</v>
      </c>
      <c r="B521" s="12" t="str">
        <f>HYPERLINK("https://twitter.com/GregoryJantzPhD","@GregoryJantzPhD")</f>
        <v>@GregoryJantzPhD</v>
      </c>
      <c r="C521" s="1" t="s">
        <v>2616</v>
      </c>
      <c r="D521" s="1" t="s">
        <v>2617</v>
      </c>
      <c r="E521" s="12" t="str">
        <f>HYPERLINK("https://twitter.com/GregoryJantzPhD/status/1218216521660620801","1218216521660620801")</f>
        <v>1218216521660620801</v>
      </c>
      <c r="F521" s="13" t="s">
        <v>2618</v>
      </c>
      <c r="G521" s="14"/>
      <c r="H521" s="14"/>
      <c r="I521" s="15">
        <v>0.0</v>
      </c>
      <c r="J521" s="15">
        <v>0.0</v>
      </c>
      <c r="K521" s="12" t="str">
        <f>HYPERLINK("https://www.socialoomph.com","SocialOomph")</f>
        <v>SocialOomph</v>
      </c>
      <c r="L521" s="16">
        <v>10724.0</v>
      </c>
      <c r="M521" s="16">
        <v>399.0</v>
      </c>
      <c r="N521" s="16">
        <v>275.0</v>
      </c>
      <c r="O521" s="17"/>
      <c r="P521" s="18">
        <v>39859.773831018516</v>
      </c>
      <c r="Q521" s="1" t="s">
        <v>2619</v>
      </c>
      <c r="R521" s="1" t="s">
        <v>2620</v>
      </c>
      <c r="S521" s="13" t="s">
        <v>2621</v>
      </c>
      <c r="T521" s="14"/>
      <c r="U521" s="19" t="str">
        <f>HYPERLINK("https://pbs.twimg.com/profile_images/1112172922615922689/I8AoysNW.png","View")</f>
        <v>View</v>
      </c>
      <c r="V521" s="14"/>
      <c r="W521" s="14"/>
      <c r="X521" s="14"/>
      <c r="Y521" s="14"/>
      <c r="Z521" s="14"/>
    </row>
    <row r="522">
      <c r="A522" s="11">
        <v>43847.50005787037</v>
      </c>
      <c r="B522" s="12" t="str">
        <f>HYPERLINK("https://twitter.com/MoiContreLaVie","@MoiContreLaVie")</f>
        <v>@MoiContreLaVie</v>
      </c>
      <c r="C522" s="1" t="s">
        <v>2622</v>
      </c>
      <c r="D522" s="1" t="s">
        <v>2623</v>
      </c>
      <c r="E522" s="12" t="str">
        <f>HYPERLINK("https://twitter.com/MoiContreLaVie/status/1218216432082620417","1218216432082620417")</f>
        <v>1218216432082620417</v>
      </c>
      <c r="F522" s="13" t="s">
        <v>2624</v>
      </c>
      <c r="G522" s="13" t="s">
        <v>2625</v>
      </c>
      <c r="H522" s="14"/>
      <c r="I522" s="15">
        <v>0.0</v>
      </c>
      <c r="J522" s="15">
        <v>1.0</v>
      </c>
      <c r="K522" s="12" t="str">
        <f>HYPERLINK("http://twitter.com/download/android","Twitter for Android")</f>
        <v>Twitter for Android</v>
      </c>
      <c r="L522" s="16">
        <v>8323.0</v>
      </c>
      <c r="M522" s="16">
        <v>4791.0</v>
      </c>
      <c r="N522" s="16">
        <v>266.0</v>
      </c>
      <c r="O522" s="17"/>
      <c r="P522" s="18">
        <v>40919.785844907405</v>
      </c>
      <c r="Q522" s="1" t="s">
        <v>2626</v>
      </c>
      <c r="R522" s="1" t="s">
        <v>2627</v>
      </c>
      <c r="S522" s="13" t="s">
        <v>2628</v>
      </c>
      <c r="T522" s="14"/>
      <c r="U522" s="19" t="str">
        <f>HYPERLINK("https://pbs.twimg.com/profile_images/690220777002504192/5rQ_JgCI.jpg","View")</f>
        <v>View</v>
      </c>
      <c r="V522" s="14"/>
      <c r="W522" s="14"/>
      <c r="X522" s="14"/>
      <c r="Y522" s="14"/>
      <c r="Z522" s="14"/>
    </row>
    <row r="523">
      <c r="A523" s="11">
        <v>43847.49729166667</v>
      </c>
      <c r="B523" s="12" t="str">
        <f>HYPERLINK("https://twitter.com/JBurlowski","@JBurlowski")</f>
        <v>@JBurlowski</v>
      </c>
      <c r="C523" s="1" t="s">
        <v>2629</v>
      </c>
      <c r="D523" s="1" t="s">
        <v>2630</v>
      </c>
      <c r="E523" s="12" t="str">
        <f>HYPERLINK("https://twitter.com/JBurlowski/status/1218215431913209856","1218215431913209856")</f>
        <v>1218215431913209856</v>
      </c>
      <c r="F523" s="13" t="s">
        <v>2631</v>
      </c>
      <c r="G523" s="14"/>
      <c r="H523" s="14"/>
      <c r="I523" s="15">
        <v>0.0</v>
      </c>
      <c r="J523" s="15">
        <v>0.0</v>
      </c>
      <c r="K523" s="12" t="str">
        <f>HYPERLINK("https://coschedule.com","CoSchedule")</f>
        <v>CoSchedule</v>
      </c>
      <c r="L523" s="16">
        <v>1044.0</v>
      </c>
      <c r="M523" s="16">
        <v>615.0</v>
      </c>
      <c r="N523" s="16">
        <v>168.0</v>
      </c>
      <c r="O523" s="17"/>
      <c r="P523" s="18">
        <v>40663.678564814814</v>
      </c>
      <c r="Q523" s="1" t="s">
        <v>2632</v>
      </c>
      <c r="R523" s="1" t="s">
        <v>2633</v>
      </c>
      <c r="S523" s="13" t="s">
        <v>2634</v>
      </c>
      <c r="T523" s="14"/>
      <c r="U523" s="19" t="str">
        <f>HYPERLINK("https://pbs.twimg.com/profile_images/1334875801/JeanieB-048_web.jpg","View")</f>
        <v>View</v>
      </c>
      <c r="V523" s="14"/>
      <c r="W523" s="14"/>
      <c r="X523" s="14"/>
      <c r="Y523" s="14"/>
      <c r="Z523" s="14"/>
    </row>
    <row r="524">
      <c r="A524" s="11">
        <v>43847.496712962966</v>
      </c>
      <c r="B524" s="12" t="str">
        <f>HYPERLINK("https://twitter.com/OCUrologyAssoc","@OCUrologyAssoc")</f>
        <v>@OCUrologyAssoc</v>
      </c>
      <c r="C524" s="1" t="s">
        <v>2635</v>
      </c>
      <c r="D524" s="1" t="s">
        <v>2636</v>
      </c>
      <c r="E524" s="12" t="str">
        <f>HYPERLINK("https://twitter.com/OCUrologyAssoc/status/1218215222294589446","1218215222294589446")</f>
        <v>1218215222294589446</v>
      </c>
      <c r="F524" s="13" t="s">
        <v>2637</v>
      </c>
      <c r="G524" s="14"/>
      <c r="H524" s="14"/>
      <c r="I524" s="15">
        <v>0.0</v>
      </c>
      <c r="J524" s="15">
        <v>1.0</v>
      </c>
      <c r="K524" s="12" t="str">
        <f>HYPERLINK("https://www.hootsuite.com","Hootsuite Inc.")</f>
        <v>Hootsuite Inc.</v>
      </c>
      <c r="L524" s="16">
        <v>127.0</v>
      </c>
      <c r="M524" s="16">
        <v>2.0</v>
      </c>
      <c r="N524" s="16">
        <v>2.0</v>
      </c>
      <c r="O524" s="17"/>
      <c r="P524" s="18">
        <v>41562.81690972222</v>
      </c>
      <c r="Q524" s="1" t="s">
        <v>841</v>
      </c>
      <c r="R524" s="1" t="s">
        <v>2638</v>
      </c>
      <c r="S524" s="13" t="s">
        <v>2639</v>
      </c>
      <c r="T524" s="14"/>
      <c r="U524" s="19" t="str">
        <f>HYPERLINK("https://pbs.twimg.com/profile_images/428275600386555904/cIaejCWN.jpeg","View")</f>
        <v>View</v>
      </c>
      <c r="V524" s="14"/>
      <c r="W524" s="14"/>
      <c r="X524" s="14"/>
      <c r="Y524" s="14"/>
      <c r="Z524" s="14"/>
    </row>
    <row r="525">
      <c r="A525" s="11">
        <v>43847.493055555555</v>
      </c>
      <c r="B525" s="12" t="str">
        <f>HYPERLINK("https://twitter.com/TrainingMindful","@TrainingMindful")</f>
        <v>@TrainingMindful</v>
      </c>
      <c r="C525" s="1" t="s">
        <v>94</v>
      </c>
      <c r="D525" s="1" t="s">
        <v>2640</v>
      </c>
      <c r="E525" s="12" t="str">
        <f>HYPERLINK("https://twitter.com/TrainingMindful/status/1218213895355224064","1218213895355224064")</f>
        <v>1218213895355224064</v>
      </c>
      <c r="F525" s="13" t="s">
        <v>2641</v>
      </c>
      <c r="G525" s="14"/>
      <c r="H525" s="14"/>
      <c r="I525" s="15">
        <v>0.0</v>
      </c>
      <c r="J525" s="15">
        <v>0.0</v>
      </c>
      <c r="K525" s="12" t="str">
        <f>HYPERLINK("https://www.socialoomph.com","SocialOomph")</f>
        <v>SocialOomph</v>
      </c>
      <c r="L525" s="16">
        <v>185303.0</v>
      </c>
      <c r="M525" s="16">
        <v>43980.0</v>
      </c>
      <c r="N525" s="16">
        <v>2800.0</v>
      </c>
      <c r="O525" s="17"/>
      <c r="P525" s="18">
        <v>41286.039305555554</v>
      </c>
      <c r="Q525" s="1" t="s">
        <v>97</v>
      </c>
      <c r="R525" s="1" t="s">
        <v>98</v>
      </c>
      <c r="S525" s="13" t="s">
        <v>99</v>
      </c>
      <c r="T525" s="14"/>
      <c r="U525" s="19" t="str">
        <f>HYPERLINK("https://pbs.twimg.com/profile_images/566526924059459584/gdMxDA9x.jpeg","View")</f>
        <v>View</v>
      </c>
      <c r="V525" s="14"/>
      <c r="W525" s="14"/>
      <c r="X525" s="14"/>
      <c r="Y525" s="14"/>
      <c r="Z525" s="14"/>
    </row>
    <row r="526">
      <c r="A526" s="11">
        <v>43847.49086805555</v>
      </c>
      <c r="B526" s="12" t="str">
        <f>HYPERLINK("https://twitter.com/jeffj55406","@jeffj55406")</f>
        <v>@jeffj55406</v>
      </c>
      <c r="C526" s="1" t="s">
        <v>2642</v>
      </c>
      <c r="D526" s="1" t="s">
        <v>2643</v>
      </c>
      <c r="E526" s="12" t="str">
        <f>HYPERLINK("https://twitter.com/jeffj55406/status/1218213101809623044","1218213101809623044")</f>
        <v>1218213101809623044</v>
      </c>
      <c r="F526" s="14"/>
      <c r="G526" s="13" t="s">
        <v>2644</v>
      </c>
      <c r="H526" s="14"/>
      <c r="I526" s="15">
        <v>0.0</v>
      </c>
      <c r="J526" s="15">
        <v>0.0</v>
      </c>
      <c r="K526" s="12" t="str">
        <f>HYPERLINK("https://mobile.twitter.com","Twitter Web App")</f>
        <v>Twitter Web App</v>
      </c>
      <c r="L526" s="16">
        <v>205.0</v>
      </c>
      <c r="M526" s="16">
        <v>454.0</v>
      </c>
      <c r="N526" s="16">
        <v>8.0</v>
      </c>
      <c r="O526" s="17"/>
      <c r="P526" s="18">
        <v>39737.96228009259</v>
      </c>
      <c r="Q526" s="1" t="s">
        <v>2645</v>
      </c>
      <c r="R526" s="1" t="s">
        <v>2646</v>
      </c>
      <c r="S526" s="13" t="s">
        <v>2647</v>
      </c>
      <c r="T526" s="14"/>
      <c r="U526" s="19" t="str">
        <f>HYPERLINK("https://pbs.twimg.com/profile_images/62248510/mmmlemony.jpg","View")</f>
        <v>View</v>
      </c>
      <c r="V526" s="14"/>
      <c r="W526" s="14"/>
      <c r="X526" s="14"/>
      <c r="Y526" s="14"/>
      <c r="Z526" s="14"/>
    </row>
    <row r="527">
      <c r="A527" s="11">
        <v>43847.48920138889</v>
      </c>
      <c r="B527" s="12" t="str">
        <f>HYPERLINK("https://twitter.com/rayfreemanpsyc1","@rayfreemanpsyc1")</f>
        <v>@rayfreemanpsyc1</v>
      </c>
      <c r="C527" s="1" t="s">
        <v>2648</v>
      </c>
      <c r="D527" s="1" t="s">
        <v>2649</v>
      </c>
      <c r="E527" s="12" t="str">
        <f>HYPERLINK("https://twitter.com/rayfreemanpsyc1/status/1218212499939442689","1218212499939442689")</f>
        <v>1218212499939442689</v>
      </c>
      <c r="F527" s="13" t="s">
        <v>2650</v>
      </c>
      <c r="G527" s="14"/>
      <c r="H527" s="14"/>
      <c r="I527" s="15">
        <v>0.0</v>
      </c>
      <c r="J527" s="15">
        <v>0.0</v>
      </c>
      <c r="K527" s="12" t="str">
        <f>HYPERLINK("http://instagram.com","Instagram")</f>
        <v>Instagram</v>
      </c>
      <c r="L527" s="16">
        <v>356.0</v>
      </c>
      <c r="M527" s="16">
        <v>903.0</v>
      </c>
      <c r="N527" s="16">
        <v>1.0</v>
      </c>
      <c r="O527" s="17"/>
      <c r="P527" s="18">
        <v>43760.473541666666</v>
      </c>
      <c r="Q527" s="14"/>
      <c r="R527" s="1" t="s">
        <v>2651</v>
      </c>
      <c r="S527" s="14"/>
      <c r="T527" s="14"/>
      <c r="U527" s="19" t="str">
        <f>HYPERLINK("https://pbs.twimg.com/profile_images/1186664231187472385/kITnKJJc.jpg","View")</f>
        <v>View</v>
      </c>
      <c r="V527" s="14"/>
      <c r="W527" s="14"/>
      <c r="X527" s="14"/>
      <c r="Y527" s="14"/>
      <c r="Z527" s="14"/>
    </row>
    <row r="528">
      <c r="A528" s="11">
        <v>43847.488750000004</v>
      </c>
      <c r="B528" s="12" t="str">
        <f>HYPERLINK("https://twitter.com/mindtreeDBT","@mindtreeDBT")</f>
        <v>@mindtreeDBT</v>
      </c>
      <c r="C528" s="1" t="s">
        <v>2652</v>
      </c>
      <c r="D528" s="1" t="s">
        <v>2653</v>
      </c>
      <c r="E528" s="12" t="str">
        <f>HYPERLINK("https://twitter.com/mindtreeDBT/status/1218212334507831297","1218212334507831297")</f>
        <v>1218212334507831297</v>
      </c>
      <c r="F528" s="13" t="s">
        <v>2654</v>
      </c>
      <c r="G528" s="14"/>
      <c r="H528" s="14"/>
      <c r="I528" s="15">
        <v>0.0</v>
      </c>
      <c r="J528" s="15">
        <v>1.0</v>
      </c>
      <c r="K528" s="12" t="str">
        <f>HYPERLINK("http://twitter.com/#!/download/ipad","Twitter for iPad")</f>
        <v>Twitter for iPad</v>
      </c>
      <c r="L528" s="16">
        <v>1432.0</v>
      </c>
      <c r="M528" s="16">
        <v>1108.0</v>
      </c>
      <c r="N528" s="16">
        <v>61.0</v>
      </c>
      <c r="O528" s="17"/>
      <c r="P528" s="18">
        <v>41324.42309027778</v>
      </c>
      <c r="Q528" s="1" t="s">
        <v>2655</v>
      </c>
      <c r="R528" s="1" t="s">
        <v>2656</v>
      </c>
      <c r="S528" s="14"/>
      <c r="T528" s="14"/>
      <c r="U528" s="19" t="str">
        <f>HYPERLINK("https://pbs.twimg.com/profile_images/567661503898468352/wvALq4Ur.png","View")</f>
        <v>View</v>
      </c>
      <c r="V528" s="14"/>
      <c r="W528" s="14"/>
      <c r="X528" s="14"/>
      <c r="Y528" s="14"/>
      <c r="Z528" s="14"/>
    </row>
    <row r="529">
      <c r="A529" s="11">
        <v>43847.486168981486</v>
      </c>
      <c r="B529" s="12" t="str">
        <f>HYPERLINK("https://twitter.com/HealthyandFitn6","@HealthyandFitn6")</f>
        <v>@HealthyandFitn6</v>
      </c>
      <c r="C529" s="1" t="s">
        <v>787</v>
      </c>
      <c r="D529" s="1" t="s">
        <v>2657</v>
      </c>
      <c r="E529" s="12" t="str">
        <f>HYPERLINK("https://twitter.com/HealthyandFitn6/status/1218211400264441857","1218211400264441857")</f>
        <v>1218211400264441857</v>
      </c>
      <c r="F529" s="13" t="s">
        <v>2658</v>
      </c>
      <c r="G529" s="13" t="s">
        <v>2659</v>
      </c>
      <c r="H529" s="14"/>
      <c r="I529" s="15">
        <v>1.0</v>
      </c>
      <c r="J529" s="15">
        <v>0.0</v>
      </c>
      <c r="K529" s="12" t="str">
        <f>HYPERLINK("https://crowdfireapp.com","Crowdfire App")</f>
        <v>Crowdfire App</v>
      </c>
      <c r="L529" s="16">
        <v>121.0</v>
      </c>
      <c r="M529" s="16">
        <v>51.0</v>
      </c>
      <c r="N529" s="16">
        <v>0.0</v>
      </c>
      <c r="O529" s="17"/>
      <c r="P529" s="18">
        <v>43752.99784722222</v>
      </c>
      <c r="Q529" s="14"/>
      <c r="R529" s="1" t="s">
        <v>791</v>
      </c>
      <c r="S529" s="13" t="s">
        <v>792</v>
      </c>
      <c r="T529" s="14"/>
      <c r="U529" s="19" t="str">
        <f>HYPERLINK("https://pbs.twimg.com/profile_images/1183954983550513152/LlRQvdFF.jpg","View")</f>
        <v>View</v>
      </c>
      <c r="V529" s="14"/>
      <c r="W529" s="14"/>
      <c r="X529" s="14"/>
      <c r="Y529" s="14"/>
      <c r="Z529" s="14"/>
    </row>
    <row r="530">
      <c r="A530" s="11">
        <v>43847.48495370371</v>
      </c>
      <c r="B530" s="12" t="str">
        <f>HYPERLINK("https://twitter.com/millertime6","@millertime6")</f>
        <v>@millertime6</v>
      </c>
      <c r="C530" s="1" t="s">
        <v>2660</v>
      </c>
      <c r="D530" s="1" t="s">
        <v>2661</v>
      </c>
      <c r="E530" s="12" t="str">
        <f>HYPERLINK("https://twitter.com/millertime6/status/1218210956775432193","1218210956775432193")</f>
        <v>1218210956775432193</v>
      </c>
      <c r="F530" s="13" t="s">
        <v>2662</v>
      </c>
      <c r="G530" s="14"/>
      <c r="H530" s="14"/>
      <c r="I530" s="15">
        <v>0.0</v>
      </c>
      <c r="J530" s="15">
        <v>0.0</v>
      </c>
      <c r="K530" s="12" t="str">
        <f>HYPERLINK("http://www.linkedin.com/","LinkedIn")</f>
        <v>LinkedIn</v>
      </c>
      <c r="L530" s="16">
        <v>502.0</v>
      </c>
      <c r="M530" s="16">
        <v>1664.0</v>
      </c>
      <c r="N530" s="16">
        <v>31.0</v>
      </c>
      <c r="O530" s="17"/>
      <c r="P530" s="18">
        <v>39908.41763888889</v>
      </c>
      <c r="Q530" s="1" t="s">
        <v>2663</v>
      </c>
      <c r="R530" s="1" t="s">
        <v>2664</v>
      </c>
      <c r="S530" s="13" t="s">
        <v>2665</v>
      </c>
      <c r="T530" s="14"/>
      <c r="U530" s="19" t="str">
        <f>HYPERLINK("https://pbs.twimg.com/profile_images/1146434923303251968/L55mbuik.jpg","View")</f>
        <v>View</v>
      </c>
      <c r="V530" s="14"/>
      <c r="W530" s="14"/>
      <c r="X530" s="14"/>
      <c r="Y530" s="14"/>
      <c r="Z530" s="14"/>
    </row>
    <row r="531">
      <c r="A531" s="11">
        <v>43847.48376157407</v>
      </c>
      <c r="B531" s="12" t="str">
        <f>HYPERLINK("https://twitter.com/eliostruyf","@eliostruyf")</f>
        <v>@eliostruyf</v>
      </c>
      <c r="C531" s="1" t="s">
        <v>2666</v>
      </c>
      <c r="D531" s="1" t="s">
        <v>2667</v>
      </c>
      <c r="E531" s="12" t="str">
        <f>HYPERLINK("https://twitter.com/eliostruyf/status/1218210526565670912","1218210526565670912")</f>
        <v>1218210526565670912</v>
      </c>
      <c r="F531" s="13" t="s">
        <v>2668</v>
      </c>
      <c r="G531" s="14"/>
      <c r="H531" s="14"/>
      <c r="I531" s="15">
        <v>0.0</v>
      </c>
      <c r="J531" s="15">
        <v>3.0</v>
      </c>
      <c r="K531" s="12" t="str">
        <f>HYPERLINK("https://about.twitter.com/products/tweetdeck","TweetDeck")</f>
        <v>TweetDeck</v>
      </c>
      <c r="L531" s="16">
        <v>4259.0</v>
      </c>
      <c r="M531" s="16">
        <v>1123.0</v>
      </c>
      <c r="N531" s="16">
        <v>271.0</v>
      </c>
      <c r="O531" s="17"/>
      <c r="P531" s="18">
        <v>40308.160520833335</v>
      </c>
      <c r="Q531" s="1" t="s">
        <v>2669</v>
      </c>
      <c r="R531" s="1" t="s">
        <v>2670</v>
      </c>
      <c r="S531" s="13" t="s">
        <v>2671</v>
      </c>
      <c r="T531" s="14"/>
      <c r="U531" s="19" t="str">
        <f>HYPERLINK("https://pbs.twimg.com/profile_images/1189139476435689472/sb99khOB.jpg","View")</f>
        <v>View</v>
      </c>
      <c r="V531" s="14"/>
      <c r="W531" s="14"/>
      <c r="X531" s="14"/>
      <c r="Y531" s="14"/>
      <c r="Z531" s="14"/>
    </row>
    <row r="532">
      <c r="A532" s="11">
        <v>43847.481354166666</v>
      </c>
      <c r="B532" s="12" t="str">
        <f>HYPERLINK("https://twitter.com/drcarlamanly","@drcarlamanly")</f>
        <v>@drcarlamanly</v>
      </c>
      <c r="C532" s="1" t="s">
        <v>2672</v>
      </c>
      <c r="D532" s="1" t="s">
        <v>2673</v>
      </c>
      <c r="E532" s="12" t="str">
        <f>HYPERLINK("https://twitter.com/drcarlamanly/status/1218209655496691712","1218209655496691712")</f>
        <v>1218209655496691712</v>
      </c>
      <c r="F532" s="13" t="s">
        <v>2674</v>
      </c>
      <c r="G532" s="14"/>
      <c r="H532" s="14"/>
      <c r="I532" s="15">
        <v>0.0</v>
      </c>
      <c r="J532" s="15">
        <v>5.0</v>
      </c>
      <c r="K532" s="12" t="str">
        <f t="shared" ref="K532:K533" si="49">HYPERLINK("https://mobile.twitter.com","Twitter Web App")</f>
        <v>Twitter Web App</v>
      </c>
      <c r="L532" s="16">
        <v>77.0</v>
      </c>
      <c r="M532" s="16">
        <v>45.0</v>
      </c>
      <c r="N532" s="16">
        <v>1.0</v>
      </c>
      <c r="O532" s="17"/>
      <c r="P532" s="18">
        <v>40634.4477662037</v>
      </c>
      <c r="Q532" s="1" t="s">
        <v>2675</v>
      </c>
      <c r="R532" s="1" t="s">
        <v>2676</v>
      </c>
      <c r="S532" s="13" t="s">
        <v>2677</v>
      </c>
      <c r="T532" s="14"/>
      <c r="U532" s="19" t="str">
        <f>HYPERLINK("https://pbs.twimg.com/profile_images/1126264303303053312/DRJIMvS4.png","View")</f>
        <v>View</v>
      </c>
      <c r="V532" s="14"/>
      <c r="W532" s="14"/>
      <c r="X532" s="14"/>
      <c r="Y532" s="14"/>
      <c r="Z532" s="14"/>
    </row>
    <row r="533">
      <c r="A533" s="11">
        <v>43847.47534722222</v>
      </c>
      <c r="B533" s="12" t="str">
        <f>HYPERLINK("https://twitter.com/cmkhealthatwork","@cmkhealthatwork")</f>
        <v>@cmkhealthatwork</v>
      </c>
      <c r="C533" s="1" t="s">
        <v>2678</v>
      </c>
      <c r="D533" s="1" t="s">
        <v>2679</v>
      </c>
      <c r="E533" s="12" t="str">
        <f>HYPERLINK("https://twitter.com/cmkhealthatwork/status/1218207476736253952","1218207476736253952")</f>
        <v>1218207476736253952</v>
      </c>
      <c r="F533" s="13" t="s">
        <v>2680</v>
      </c>
      <c r="G533" s="13" t="s">
        <v>2681</v>
      </c>
      <c r="H533" s="14"/>
      <c r="I533" s="15">
        <v>0.0</v>
      </c>
      <c r="J533" s="15">
        <v>1.0</v>
      </c>
      <c r="K533" s="12" t="str">
        <f t="shared" si="49"/>
        <v>Twitter Web App</v>
      </c>
      <c r="L533" s="16">
        <v>5248.0</v>
      </c>
      <c r="M533" s="16">
        <v>4179.0</v>
      </c>
      <c r="N533" s="16">
        <v>854.0</v>
      </c>
      <c r="O533" s="17"/>
      <c r="P533" s="18">
        <v>40996.615578703706</v>
      </c>
      <c r="Q533" s="1" t="s">
        <v>2682</v>
      </c>
      <c r="R533" s="1" t="s">
        <v>2683</v>
      </c>
      <c r="S533" s="13" t="s">
        <v>2684</v>
      </c>
      <c r="T533" s="14"/>
      <c r="U533" s="19" t="str">
        <f>HYPERLINK("https://pbs.twimg.com/profile_images/1161788741918367745/51nqRy25.jpg","View")</f>
        <v>View</v>
      </c>
      <c r="V533" s="14"/>
      <c r="W533" s="14"/>
      <c r="X533" s="14"/>
      <c r="Y533" s="14"/>
      <c r="Z533" s="14"/>
    </row>
    <row r="534">
      <c r="A534" s="11">
        <v>43847.47306712963</v>
      </c>
      <c r="B534" s="12" t="str">
        <f>HYPERLINK("https://twitter.com/itsgardningtime","@itsgardningtime")</f>
        <v>@itsgardningtime</v>
      </c>
      <c r="C534" s="1" t="s">
        <v>1169</v>
      </c>
      <c r="D534" s="1" t="s">
        <v>2685</v>
      </c>
      <c r="E534" s="12" t="str">
        <f>HYPERLINK("https://twitter.com/itsgardningtime/status/1218206653046124544","1218206653046124544")</f>
        <v>1218206653046124544</v>
      </c>
      <c r="F534" s="13" t="s">
        <v>2686</v>
      </c>
      <c r="G534" s="14"/>
      <c r="H534" s="14"/>
      <c r="I534" s="15">
        <v>0.0</v>
      </c>
      <c r="J534" s="15">
        <v>0.0</v>
      </c>
      <c r="K534" s="12" t="str">
        <f>HYPERLINK("http://itsgardeningtime.com","its_twitter_app")</f>
        <v>its_twitter_app</v>
      </c>
      <c r="L534" s="16">
        <v>4886.0</v>
      </c>
      <c r="M534" s="16">
        <v>1450.0</v>
      </c>
      <c r="N534" s="16">
        <v>112.0</v>
      </c>
      <c r="O534" s="17"/>
      <c r="P534" s="18">
        <v>41797.48112268519</v>
      </c>
      <c r="Q534" s="1" t="s">
        <v>1172</v>
      </c>
      <c r="R534" s="1" t="s">
        <v>1173</v>
      </c>
      <c r="S534" s="13" t="s">
        <v>1174</v>
      </c>
      <c r="T534" s="14"/>
      <c r="U534" s="19" t="str">
        <f>HYPERLINK("https://pbs.twimg.com/profile_images/475316354694660096/LwQ1yvEV.jpeg","View")</f>
        <v>View</v>
      </c>
      <c r="V534" s="14"/>
      <c r="W534" s="14"/>
      <c r="X534" s="14"/>
      <c r="Y534" s="14"/>
      <c r="Z534" s="14"/>
    </row>
    <row r="535">
      <c r="A535" s="11">
        <v>43847.46895833334</v>
      </c>
      <c r="B535" s="12" t="str">
        <f>HYPERLINK("https://twitter.com/Dystoniabook1","@Dystoniabook1")</f>
        <v>@Dystoniabook1</v>
      </c>
      <c r="C535" s="1" t="s">
        <v>2687</v>
      </c>
      <c r="D535" s="1" t="s">
        <v>2688</v>
      </c>
      <c r="E535" s="12" t="str">
        <f>HYPERLINK("https://twitter.com/Dystoniabook1/status/1218205162227085312","1218205162227085312")</f>
        <v>1218205162227085312</v>
      </c>
      <c r="F535" s="13" t="s">
        <v>2689</v>
      </c>
      <c r="G535" s="13" t="s">
        <v>2690</v>
      </c>
      <c r="H535" s="14"/>
      <c r="I535" s="15">
        <v>0.0</v>
      </c>
      <c r="J535" s="15">
        <v>1.0</v>
      </c>
      <c r="K535" s="12" t="str">
        <f>HYPERLINK("http://www.mailchimp.com","Mailchimp")</f>
        <v>Mailchimp</v>
      </c>
      <c r="L535" s="16">
        <v>930.0</v>
      </c>
      <c r="M535" s="16">
        <v>868.0</v>
      </c>
      <c r="N535" s="16">
        <v>89.0</v>
      </c>
      <c r="O535" s="17"/>
      <c r="P535" s="18">
        <v>42057.12128472222</v>
      </c>
      <c r="Q535" s="14"/>
      <c r="R535" s="1" t="s">
        <v>2691</v>
      </c>
      <c r="S535" s="13" t="s">
        <v>2692</v>
      </c>
      <c r="T535" s="14"/>
      <c r="U535" s="19" t="str">
        <f>HYPERLINK("https://pbs.twimg.com/profile_images/1069763237833596928/nIOnphYm.jpg","View")</f>
        <v>View</v>
      </c>
      <c r="V535" s="14"/>
      <c r="W535" s="14"/>
      <c r="X535" s="14"/>
      <c r="Y535" s="14"/>
      <c r="Z535" s="14"/>
    </row>
    <row r="536">
      <c r="A536" s="11">
        <v>43847.467928240745</v>
      </c>
      <c r="B536" s="12" t="str">
        <f>HYPERLINK("https://twitter.com/avdrst","@avdrst")</f>
        <v>@avdrst</v>
      </c>
      <c r="C536" s="1" t="s">
        <v>2693</v>
      </c>
      <c r="D536" s="1" t="s">
        <v>2694</v>
      </c>
      <c r="E536" s="12" t="str">
        <f>HYPERLINK("https://twitter.com/avdrst/status/1218204787415638016","1218204787415638016")</f>
        <v>1218204787415638016</v>
      </c>
      <c r="F536" s="13" t="s">
        <v>2695</v>
      </c>
      <c r="G536" s="14"/>
      <c r="H536" s="14"/>
      <c r="I536" s="15">
        <v>0.0</v>
      </c>
      <c r="J536" s="15">
        <v>0.0</v>
      </c>
      <c r="K536" s="12" t="str">
        <f>HYPERLINK("http://twitter.com/download/android","Twitter for Android")</f>
        <v>Twitter for Android</v>
      </c>
      <c r="L536" s="16">
        <v>890.0</v>
      </c>
      <c r="M536" s="16">
        <v>1609.0</v>
      </c>
      <c r="N536" s="16">
        <v>77.0</v>
      </c>
      <c r="O536" s="17"/>
      <c r="P536" s="18">
        <v>42719.59254629629</v>
      </c>
      <c r="Q536" s="1" t="s">
        <v>2696</v>
      </c>
      <c r="R536" s="1" t="s">
        <v>2697</v>
      </c>
      <c r="S536" s="13" t="s">
        <v>2698</v>
      </c>
      <c r="T536" s="14"/>
      <c r="U536" s="19" t="str">
        <f>HYPERLINK("https://pbs.twimg.com/profile_images/986187240933126144/BuFhenbE.jpg","View")</f>
        <v>View</v>
      </c>
      <c r="V536" s="14"/>
      <c r="W536" s="14"/>
      <c r="X536" s="14"/>
      <c r="Y536" s="14"/>
      <c r="Z536" s="14"/>
    </row>
    <row r="537">
      <c r="A537" s="11">
        <v>43847.46648148148</v>
      </c>
      <c r="B537" s="12" t="str">
        <f>HYPERLINK("https://twitter.com/tslinger","@tslinger")</f>
        <v>@tslinger</v>
      </c>
      <c r="C537" s="1" t="s">
        <v>2699</v>
      </c>
      <c r="D537" s="1" t="s">
        <v>2700</v>
      </c>
      <c r="E537" s="12" t="str">
        <f>HYPERLINK("https://twitter.com/tslinger/status/1218204265929494529","1218204265929494529")</f>
        <v>1218204265929494529</v>
      </c>
      <c r="F537" s="14"/>
      <c r="G537" s="14"/>
      <c r="H537" s="14"/>
      <c r="I537" s="15">
        <v>0.0</v>
      </c>
      <c r="J537" s="15">
        <v>0.0</v>
      </c>
      <c r="K537" s="12" t="str">
        <f>HYPERLINK("http://twitter.com/#!/download/ipad","Twitter for iPad")</f>
        <v>Twitter for iPad</v>
      </c>
      <c r="L537" s="16">
        <v>307.0</v>
      </c>
      <c r="M537" s="16">
        <v>383.0</v>
      </c>
      <c r="N537" s="16">
        <v>25.0</v>
      </c>
      <c r="O537" s="17"/>
      <c r="P537" s="18">
        <v>39892.14931712963</v>
      </c>
      <c r="Q537" s="1" t="s">
        <v>2701</v>
      </c>
      <c r="R537" s="1" t="s">
        <v>2702</v>
      </c>
      <c r="S537" s="13" t="s">
        <v>2703</v>
      </c>
      <c r="T537" s="14"/>
      <c r="U537" s="19" t="str">
        <f>HYPERLINK("https://pbs.twimg.com/profile_images/1197089522460372994/9l-qcOBD.jpg","View")</f>
        <v>View</v>
      </c>
      <c r="V537" s="14"/>
      <c r="W537" s="14"/>
      <c r="X537" s="14"/>
      <c r="Y537" s="14"/>
      <c r="Z537" s="14"/>
    </row>
    <row r="538">
      <c r="A538" s="11">
        <v>43847.465046296296</v>
      </c>
      <c r="B538" s="12" t="str">
        <f>HYPERLINK("https://twitter.com/getversus","@getversus")</f>
        <v>@getversus</v>
      </c>
      <c r="C538" s="1" t="s">
        <v>2704</v>
      </c>
      <c r="D538" s="1" t="s">
        <v>2705</v>
      </c>
      <c r="E538" s="12" t="str">
        <f>HYPERLINK("https://twitter.com/getversus/status/1218203745466470405","1218203745466470405")</f>
        <v>1218203745466470405</v>
      </c>
      <c r="F538" s="14"/>
      <c r="G538" s="13" t="s">
        <v>2706</v>
      </c>
      <c r="H538" s="14"/>
      <c r="I538" s="15">
        <v>0.0</v>
      </c>
      <c r="J538" s="15">
        <v>0.0</v>
      </c>
      <c r="K538" s="12" t="str">
        <f>HYPERLINK("https://mobile.twitter.com","Twitter Web App")</f>
        <v>Twitter Web App</v>
      </c>
      <c r="L538" s="16">
        <v>540.0</v>
      </c>
      <c r="M538" s="16">
        <v>1709.0</v>
      </c>
      <c r="N538" s="16">
        <v>17.0</v>
      </c>
      <c r="O538" s="17"/>
      <c r="P538" s="18">
        <v>41102.62991898148</v>
      </c>
      <c r="Q538" s="14"/>
      <c r="R538" s="1" t="s">
        <v>2707</v>
      </c>
      <c r="S538" s="13" t="s">
        <v>2708</v>
      </c>
      <c r="T538" s="14"/>
      <c r="U538" s="19" t="str">
        <f>HYPERLINK("https://pbs.twimg.com/profile_images/1206980768053915650/NhIVh1j3.jpg","View")</f>
        <v>View</v>
      </c>
      <c r="V538" s="14"/>
      <c r="W538" s="14"/>
      <c r="X538" s="14"/>
      <c r="Y538" s="14"/>
      <c r="Z538" s="14"/>
    </row>
    <row r="539">
      <c r="A539" s="11">
        <v>43847.46340277778</v>
      </c>
      <c r="B539" s="12" t="str">
        <f>HYPERLINK("https://twitter.com/GaianTherapy","@GaianTherapy")</f>
        <v>@GaianTherapy</v>
      </c>
      <c r="C539" s="1" t="s">
        <v>2709</v>
      </c>
      <c r="D539" s="1" t="s">
        <v>2710</v>
      </c>
      <c r="E539" s="12" t="str">
        <f>HYPERLINK("https://twitter.com/GaianTherapy/status/1218203150072467456","1218203150072467456")</f>
        <v>1218203150072467456</v>
      </c>
      <c r="F539" s="13" t="s">
        <v>2711</v>
      </c>
      <c r="G539" s="13" t="s">
        <v>2712</v>
      </c>
      <c r="H539" s="14"/>
      <c r="I539" s="15">
        <v>0.0</v>
      </c>
      <c r="J539" s="15">
        <v>0.0</v>
      </c>
      <c r="K539" s="12" t="str">
        <f>HYPERLINK("http://postplanner.com","Post Planner Inc.")</f>
        <v>Post Planner Inc.</v>
      </c>
      <c r="L539" s="16">
        <v>336.0</v>
      </c>
      <c r="M539" s="16">
        <v>825.0</v>
      </c>
      <c r="N539" s="16">
        <v>0.0</v>
      </c>
      <c r="O539" s="17"/>
      <c r="P539" s="18">
        <v>43371.03839120371</v>
      </c>
      <c r="Q539" s="1" t="s">
        <v>2713</v>
      </c>
      <c r="R539" s="1" t="s">
        <v>2714</v>
      </c>
      <c r="S539" s="13" t="s">
        <v>2715</v>
      </c>
      <c r="T539" s="14"/>
      <c r="U539" s="19" t="str">
        <f>HYPERLINK("https://pbs.twimg.com/profile_images/1174195108738191360/Y67-MMgH.jpg","View")</f>
        <v>View</v>
      </c>
      <c r="V539" s="14"/>
      <c r="W539" s="14"/>
      <c r="X539" s="14"/>
      <c r="Y539" s="14"/>
      <c r="Z539" s="14"/>
    </row>
    <row r="540">
      <c r="A540" s="11">
        <v>43847.4605787037</v>
      </c>
      <c r="B540" s="12" t="str">
        <f>HYPERLINK("https://twitter.com/neuroflowlive","@neuroflowlive")</f>
        <v>@neuroflowlive</v>
      </c>
      <c r="C540" s="1" t="s">
        <v>2288</v>
      </c>
      <c r="D540" s="1" t="s">
        <v>2716</v>
      </c>
      <c r="E540" s="12" t="str">
        <f>HYPERLINK("https://twitter.com/neuroflowlive/status/1218202125391413249","1218202125391413249")</f>
        <v>1218202125391413249</v>
      </c>
      <c r="F540" s="13" t="s">
        <v>2717</v>
      </c>
      <c r="G540" s="14"/>
      <c r="H540" s="14"/>
      <c r="I540" s="15">
        <v>0.0</v>
      </c>
      <c r="J540" s="15">
        <v>1.0</v>
      </c>
      <c r="K540" s="12" t="str">
        <f>HYPERLINK("http://www.hubspot.com/","HubSpot")</f>
        <v>HubSpot</v>
      </c>
      <c r="L540" s="16">
        <v>888.0</v>
      </c>
      <c r="M540" s="16">
        <v>1447.0</v>
      </c>
      <c r="N540" s="16">
        <v>16.0</v>
      </c>
      <c r="O540" s="17"/>
      <c r="P540" s="18">
        <v>42802.66462962963</v>
      </c>
      <c r="Q540" s="1" t="s">
        <v>2015</v>
      </c>
      <c r="R540" s="1" t="s">
        <v>2291</v>
      </c>
      <c r="S540" s="13" t="s">
        <v>2292</v>
      </c>
      <c r="T540" s="14"/>
      <c r="U540" s="19" t="str">
        <f>HYPERLINK("https://pbs.twimg.com/profile_images/1048386258378973184/mkvdztzj.jpg","View")</f>
        <v>View</v>
      </c>
      <c r="V540" s="14"/>
      <c r="W540" s="14"/>
      <c r="X540" s="14"/>
      <c r="Y540" s="14"/>
      <c r="Z540" s="14"/>
    </row>
    <row r="541">
      <c r="A541" s="11">
        <v>43847.459814814814</v>
      </c>
      <c r="B541" s="12" t="str">
        <f>HYPERLINK("https://twitter.com/APAHelpCenter","@APAHelpCenter")</f>
        <v>@APAHelpCenter</v>
      </c>
      <c r="C541" s="1" t="s">
        <v>2718</v>
      </c>
      <c r="D541" s="1" t="s">
        <v>2719</v>
      </c>
      <c r="E541" s="12" t="str">
        <f>HYPERLINK("https://twitter.com/APAHelpCenter/status/1218201848131334146","1218201848131334146")</f>
        <v>1218201848131334146</v>
      </c>
      <c r="F541" s="13" t="s">
        <v>2720</v>
      </c>
      <c r="G541" s="14"/>
      <c r="H541" s="14"/>
      <c r="I541" s="15">
        <v>0.0</v>
      </c>
      <c r="J541" s="15">
        <v>1.0</v>
      </c>
      <c r="K541" s="12" t="str">
        <f t="shared" ref="K541:K542" si="50">HYPERLINK("https://www.hootsuite.com","Hootsuite Inc.")</f>
        <v>Hootsuite Inc.</v>
      </c>
      <c r="L541" s="16">
        <v>30432.0</v>
      </c>
      <c r="M541" s="16">
        <v>490.0</v>
      </c>
      <c r="N541" s="16">
        <v>837.0</v>
      </c>
      <c r="O541" s="17"/>
      <c r="P541" s="18">
        <v>39821.393275462964</v>
      </c>
      <c r="Q541" s="1" t="s">
        <v>2263</v>
      </c>
      <c r="R541" s="1" t="s">
        <v>2721</v>
      </c>
      <c r="S541" s="13" t="s">
        <v>2722</v>
      </c>
      <c r="T541" s="14"/>
      <c r="U541" s="19" t="str">
        <f>HYPERLINK("https://pbs.twimg.com/profile_images/223526386/twitter.jpg","View")</f>
        <v>View</v>
      </c>
      <c r="V541" s="14"/>
      <c r="W541" s="14"/>
      <c r="X541" s="14"/>
      <c r="Y541" s="14"/>
      <c r="Z541" s="14"/>
    </row>
    <row r="542">
      <c r="A542" s="11">
        <v>43847.45894675926</v>
      </c>
      <c r="B542" s="12" t="str">
        <f>HYPERLINK("https://twitter.com/itsettled","@itsettled")</f>
        <v>@itsettled</v>
      </c>
      <c r="C542" s="1" t="s">
        <v>2723</v>
      </c>
      <c r="D542" s="1" t="s">
        <v>2724</v>
      </c>
      <c r="E542" s="12" t="str">
        <f>HYPERLINK("https://twitter.com/itsettled/status/1218201534305095686","1218201534305095686")</f>
        <v>1218201534305095686</v>
      </c>
      <c r="F542" s="13" t="s">
        <v>2725</v>
      </c>
      <c r="G542" s="13" t="s">
        <v>2726</v>
      </c>
      <c r="H542" s="14"/>
      <c r="I542" s="15">
        <v>1.0</v>
      </c>
      <c r="J542" s="15">
        <v>1.0</v>
      </c>
      <c r="K542" s="12" t="str">
        <f t="shared" si="50"/>
        <v>Hootsuite Inc.</v>
      </c>
      <c r="L542" s="16">
        <v>24.0</v>
      </c>
      <c r="M542" s="16">
        <v>151.0</v>
      </c>
      <c r="N542" s="16">
        <v>0.0</v>
      </c>
      <c r="O542" s="17"/>
      <c r="P542" s="18">
        <v>43655.69770833333</v>
      </c>
      <c r="Q542" s="1" t="s">
        <v>263</v>
      </c>
      <c r="R542" s="1" t="s">
        <v>2727</v>
      </c>
      <c r="S542" s="13" t="s">
        <v>2725</v>
      </c>
      <c r="T542" s="14"/>
      <c r="U542" s="19" t="str">
        <f>HYPERLINK("https://pbs.twimg.com/profile_images/1179127131474923525/BZCr3oDJ.jpg","View")</f>
        <v>View</v>
      </c>
      <c r="V542" s="14"/>
      <c r="W542" s="14"/>
      <c r="X542" s="14"/>
      <c r="Y542" s="14"/>
      <c r="Z542" s="14"/>
    </row>
    <row r="543">
      <c r="A543" s="11">
        <v>43847.458506944444</v>
      </c>
      <c r="B543" s="12" t="str">
        <f>HYPERLINK("https://twitter.com/coumcollege","@coumcollege")</f>
        <v>@coumcollege</v>
      </c>
      <c r="C543" s="1" t="s">
        <v>2728</v>
      </c>
      <c r="D543" s="1" t="s">
        <v>2729</v>
      </c>
      <c r="E543" s="12" t="str">
        <f>HYPERLINK("https://twitter.com/coumcollege/status/1218201373055115266","1218201373055115266")</f>
        <v>1218201373055115266</v>
      </c>
      <c r="F543" s="13" t="s">
        <v>2730</v>
      </c>
      <c r="G543" s="13" t="s">
        <v>2731</v>
      </c>
      <c r="H543" s="14"/>
      <c r="I543" s="15">
        <v>1.0</v>
      </c>
      <c r="J543" s="15">
        <v>2.0</v>
      </c>
      <c r="K543" s="12" t="str">
        <f>HYPERLINK("https://buffer.com","Buffer")</f>
        <v>Buffer</v>
      </c>
      <c r="L543" s="16">
        <v>362.0</v>
      </c>
      <c r="M543" s="16">
        <v>292.0</v>
      </c>
      <c r="N543" s="16">
        <v>9.0</v>
      </c>
      <c r="O543" s="17"/>
      <c r="P543" s="18">
        <v>41845.545960648145</v>
      </c>
      <c r="Q543" s="14"/>
      <c r="R543" s="14"/>
      <c r="S543" s="13" t="s">
        <v>2732</v>
      </c>
      <c r="T543" s="14"/>
      <c r="U543" s="19" t="str">
        <f>HYPERLINK("https://pbs.twimg.com/profile_images/950279575237402624/d2FSupsK.jpg","View")</f>
        <v>View</v>
      </c>
      <c r="V543" s="14"/>
      <c r="W543" s="14"/>
      <c r="X543" s="14"/>
      <c r="Y543" s="14"/>
      <c r="Z543" s="14"/>
    </row>
    <row r="544">
      <c r="A544" s="11">
        <v>43847.45833333333</v>
      </c>
      <c r="B544" s="12" t="str">
        <f>HYPERLINK("https://twitter.com/WeHearYouZA","@WeHearYouZA")</f>
        <v>@WeHearYouZA</v>
      </c>
      <c r="C544" s="1" t="s">
        <v>2299</v>
      </c>
      <c r="D544" s="1" t="s">
        <v>2733</v>
      </c>
      <c r="E544" s="12" t="str">
        <f>HYPERLINK("https://twitter.com/WeHearYouZA/status/1218201312547835905","1218201312547835905")</f>
        <v>1218201312547835905</v>
      </c>
      <c r="F544" s="14"/>
      <c r="G544" s="13" t="s">
        <v>2734</v>
      </c>
      <c r="H544" s="14"/>
      <c r="I544" s="15">
        <v>0.0</v>
      </c>
      <c r="J544" s="15">
        <v>0.0</v>
      </c>
      <c r="K544" s="12" t="str">
        <f>HYPERLINK("https://about.twitter.com/products/tweetdeck","TweetDeck")</f>
        <v>TweetDeck</v>
      </c>
      <c r="L544" s="16">
        <v>26.0</v>
      </c>
      <c r="M544" s="16">
        <v>43.0</v>
      </c>
      <c r="N544" s="16">
        <v>4.0</v>
      </c>
      <c r="O544" s="17"/>
      <c r="P544" s="18">
        <v>43661.22396990741</v>
      </c>
      <c r="Q544" s="1" t="s">
        <v>2302</v>
      </c>
      <c r="R544" s="1" t="s">
        <v>2303</v>
      </c>
      <c r="S544" s="13" t="s">
        <v>2304</v>
      </c>
      <c r="T544" s="14"/>
      <c r="U544" s="19" t="str">
        <f>HYPERLINK("https://pbs.twimg.com/profile_images/1153562188415737856/1QVWKhWI.jpg","View")</f>
        <v>View</v>
      </c>
      <c r="V544" s="14"/>
      <c r="W544" s="14"/>
      <c r="X544" s="14"/>
      <c r="Y544" s="14"/>
      <c r="Z544" s="14"/>
    </row>
    <row r="545">
      <c r="A545" s="11">
        <v>43847.454988425925</v>
      </c>
      <c r="B545" s="12" t="str">
        <f>HYPERLINK("https://twitter.com/ClareDavis_","@ClareDavis_")</f>
        <v>@ClareDavis_</v>
      </c>
      <c r="C545" s="1" t="s">
        <v>2735</v>
      </c>
      <c r="D545" s="1" t="s">
        <v>2736</v>
      </c>
      <c r="E545" s="12" t="str">
        <f>HYPERLINK("https://twitter.com/ClareDavis_/status/1218200101547663362","1218200101547663362")</f>
        <v>1218200101547663362</v>
      </c>
      <c r="F545" s="13" t="s">
        <v>2737</v>
      </c>
      <c r="G545" s="14"/>
      <c r="H545" s="14"/>
      <c r="I545" s="15">
        <v>0.0</v>
      </c>
      <c r="J545" s="15">
        <v>1.0</v>
      </c>
      <c r="K545" s="12" t="str">
        <f>HYPERLINK("https://www.hootsuite.com","Hootsuite Inc.")</f>
        <v>Hootsuite Inc.</v>
      </c>
      <c r="L545" s="16">
        <v>2096.0</v>
      </c>
      <c r="M545" s="16">
        <v>3453.0</v>
      </c>
      <c r="N545" s="16">
        <v>0.0</v>
      </c>
      <c r="O545" s="17"/>
      <c r="P545" s="18">
        <v>41550.40100694445</v>
      </c>
      <c r="Q545" s="1" t="s">
        <v>2738</v>
      </c>
      <c r="R545" s="1" t="s">
        <v>2739</v>
      </c>
      <c r="S545" s="13" t="s">
        <v>2740</v>
      </c>
      <c r="T545" s="14"/>
      <c r="U545" s="19" t="str">
        <f>HYPERLINK("https://pbs.twimg.com/profile_images/720564340655579136/3O-eB0Th.jpg","View")</f>
        <v>View</v>
      </c>
      <c r="V545" s="14"/>
      <c r="W545" s="14"/>
      <c r="X545" s="14"/>
      <c r="Y545" s="14"/>
      <c r="Z545" s="14"/>
    </row>
    <row r="546">
      <c r="A546" s="11">
        <v>43847.454189814816</v>
      </c>
      <c r="B546" s="12" t="str">
        <f>HYPERLINK("https://twitter.com/MHEstudents","@MHEstudents")</f>
        <v>@MHEstudents</v>
      </c>
      <c r="C546" s="1" t="s">
        <v>2741</v>
      </c>
      <c r="D546" s="1" t="s">
        <v>2742</v>
      </c>
      <c r="E546" s="12" t="str">
        <f>HYPERLINK("https://twitter.com/MHEstudents/status/1218199812052529153","1218199812052529153")</f>
        <v>1218199812052529153</v>
      </c>
      <c r="F546" s="13" t="s">
        <v>2743</v>
      </c>
      <c r="G546" s="14"/>
      <c r="H546" s="14"/>
      <c r="I546" s="15">
        <v>0.0</v>
      </c>
      <c r="J546" s="15">
        <v>4.0</v>
      </c>
      <c r="K546" s="12" t="str">
        <f>HYPERLINK("https://sproutsocial.com","Sprout Social")</f>
        <v>Sprout Social</v>
      </c>
      <c r="L546" s="16">
        <v>4953.0</v>
      </c>
      <c r="M546" s="16">
        <v>1707.0</v>
      </c>
      <c r="N546" s="16">
        <v>97.0</v>
      </c>
      <c r="O546" s="17"/>
      <c r="P546" s="18">
        <v>41107.65872685185</v>
      </c>
      <c r="Q546" s="14"/>
      <c r="R546" s="1" t="s">
        <v>2744</v>
      </c>
      <c r="S546" s="13" t="s">
        <v>2745</v>
      </c>
      <c r="T546" s="14"/>
      <c r="U546" s="19" t="str">
        <f>HYPERLINK("https://pbs.twimg.com/profile_images/1145696402170888193/JiRPj2jW.png","View")</f>
        <v>View</v>
      </c>
      <c r="V546" s="14"/>
      <c r="W546" s="14"/>
      <c r="X546" s="14"/>
      <c r="Y546" s="14"/>
      <c r="Z546" s="14"/>
    </row>
    <row r="547">
      <c r="A547" s="11">
        <v>43847.45372685185</v>
      </c>
      <c r="B547" s="12" t="str">
        <f>HYPERLINK("https://twitter.com/SmoggyThorpes","@SmoggyThorpes")</f>
        <v>@SmoggyThorpes</v>
      </c>
      <c r="C547" s="1" t="s">
        <v>2746</v>
      </c>
      <c r="D547" s="1" t="s">
        <v>2747</v>
      </c>
      <c r="E547" s="12" t="str">
        <f>HYPERLINK("https://twitter.com/SmoggyThorpes/status/1218199641319264257","1218199641319264257")</f>
        <v>1218199641319264257</v>
      </c>
      <c r="F547" s="14"/>
      <c r="G547" s="14"/>
      <c r="H547" s="14"/>
      <c r="I547" s="15">
        <v>1.0</v>
      </c>
      <c r="J547" s="15">
        <v>2.0</v>
      </c>
      <c r="K547" s="12" t="str">
        <f>HYPERLINK("http://twitter.com/download/android","Twitter for Android")</f>
        <v>Twitter for Android</v>
      </c>
      <c r="L547" s="16">
        <v>10.0</v>
      </c>
      <c r="M547" s="16">
        <v>229.0</v>
      </c>
      <c r="N547" s="16">
        <v>0.0</v>
      </c>
      <c r="O547" s="17"/>
      <c r="P547" s="18">
        <v>42748.465266203704</v>
      </c>
      <c r="Q547" s="14"/>
      <c r="R547" s="14"/>
      <c r="S547" s="14"/>
      <c r="T547" s="14"/>
      <c r="U547" s="19" t="str">
        <f>HYPERLINK("https://pbs.twimg.com/profile_images/820653262290485250/k7MjR2v5.jpg","View")</f>
        <v>View</v>
      </c>
      <c r="V547" s="14"/>
      <c r="W547" s="14"/>
      <c r="X547" s="14"/>
      <c r="Y547" s="14"/>
      <c r="Z547" s="14"/>
    </row>
    <row r="548">
      <c r="A548" s="11">
        <v>43847.45148148148</v>
      </c>
      <c r="B548" s="12" t="str">
        <f>HYPERLINK("https://twitter.com/JewishBoard","@JewishBoard")</f>
        <v>@JewishBoard</v>
      </c>
      <c r="C548" s="1" t="s">
        <v>2748</v>
      </c>
      <c r="D548" s="1" t="s">
        <v>2749</v>
      </c>
      <c r="E548" s="12" t="str">
        <f>HYPERLINK("https://twitter.com/JewishBoard/status/1218198830031699968","1218198830031699968")</f>
        <v>1218198830031699968</v>
      </c>
      <c r="F548" s="13" t="s">
        <v>2750</v>
      </c>
      <c r="G548" s="14"/>
      <c r="H548" s="14"/>
      <c r="I548" s="15">
        <v>1.0</v>
      </c>
      <c r="J548" s="15">
        <v>0.0</v>
      </c>
      <c r="K548" s="12" t="str">
        <f>HYPERLINK("https://sproutsocial.com","Sprout Social")</f>
        <v>Sprout Social</v>
      </c>
      <c r="L548" s="16">
        <v>997.0</v>
      </c>
      <c r="M548" s="16">
        <v>447.0</v>
      </c>
      <c r="N548" s="16">
        <v>45.0</v>
      </c>
      <c r="O548" s="17"/>
      <c r="P548" s="18">
        <v>41142.501076388886</v>
      </c>
      <c r="Q548" s="1" t="s">
        <v>809</v>
      </c>
      <c r="R548" s="1" t="s">
        <v>2751</v>
      </c>
      <c r="S548" s="13" t="s">
        <v>2752</v>
      </c>
      <c r="T548" s="14"/>
      <c r="U548" s="19" t="str">
        <f>HYPERLINK("https://pbs.twimg.com/profile_images/1149692873387978752/9U4FGGea.png","View")</f>
        <v>View</v>
      </c>
      <c r="V548" s="14"/>
      <c r="W548" s="14"/>
      <c r="X548" s="14"/>
      <c r="Y548" s="14"/>
      <c r="Z548" s="14"/>
    </row>
    <row r="549">
      <c r="A549" s="11">
        <v>43847.45136574074</v>
      </c>
      <c r="B549" s="12" t="str">
        <f>HYPERLINK("https://twitter.com/ajayrara","@ajayrara")</f>
        <v>@ajayrara</v>
      </c>
      <c r="C549" s="1" t="s">
        <v>2753</v>
      </c>
      <c r="D549" s="1" t="s">
        <v>2754</v>
      </c>
      <c r="E549" s="12" t="str">
        <f>HYPERLINK("https://twitter.com/ajayrara/status/1218198788851896321","1218198788851896321")</f>
        <v>1218198788851896321</v>
      </c>
      <c r="F549" s="14"/>
      <c r="G549" s="14"/>
      <c r="H549" s="14"/>
      <c r="I549" s="15">
        <v>0.0</v>
      </c>
      <c r="J549" s="15">
        <v>5.0</v>
      </c>
      <c r="K549" s="12" t="str">
        <f>HYPERLINK("https://mobile.twitter.com","Twitter Web App")</f>
        <v>Twitter Web App</v>
      </c>
      <c r="L549" s="16">
        <v>1091.0</v>
      </c>
      <c r="M549" s="16">
        <v>13.0</v>
      </c>
      <c r="N549" s="16">
        <v>9.0</v>
      </c>
      <c r="O549" s="17"/>
      <c r="P549" s="18">
        <v>40109.36105324074</v>
      </c>
      <c r="Q549" s="1" t="s">
        <v>1472</v>
      </c>
      <c r="R549" s="1" t="s">
        <v>2755</v>
      </c>
      <c r="S549" s="14"/>
      <c r="T549" s="14"/>
      <c r="U549" s="19" t="str">
        <f>HYPERLINK("https://pbs.twimg.com/profile_images/1101930984314875904/Gtx1fmIY.jpg","View")</f>
        <v>View</v>
      </c>
      <c r="V549" s="14"/>
      <c r="W549" s="14"/>
      <c r="X549" s="14"/>
      <c r="Y549" s="14"/>
      <c r="Z549" s="14"/>
    </row>
    <row r="550">
      <c r="A550" s="11">
        <v>43847.451319444444</v>
      </c>
      <c r="B550" s="12" t="str">
        <f>HYPERLINK("https://twitter.com/DartmouthHCF","@DartmouthHCF")</f>
        <v>@DartmouthHCF</v>
      </c>
      <c r="C550" s="1" t="s">
        <v>2756</v>
      </c>
      <c r="D550" s="1" t="s">
        <v>2757</v>
      </c>
      <c r="E550" s="12" t="str">
        <f>HYPERLINK("https://twitter.com/DartmouthHCF/status/1218198771055714307","1218198771055714307")</f>
        <v>1218198771055714307</v>
      </c>
      <c r="F550" s="13" t="s">
        <v>2758</v>
      </c>
      <c r="G550" s="14"/>
      <c r="H550" s="14"/>
      <c r="I550" s="15">
        <v>0.0</v>
      </c>
      <c r="J550" s="15">
        <v>2.0</v>
      </c>
      <c r="K550" s="12" t="str">
        <f>HYPERLINK("https://about.twitter.com/products/tweetdeck","TweetDeck")</f>
        <v>TweetDeck</v>
      </c>
      <c r="L550" s="16">
        <v>12.0</v>
      </c>
      <c r="M550" s="16">
        <v>21.0</v>
      </c>
      <c r="N550" s="16">
        <v>0.0</v>
      </c>
      <c r="O550" s="17"/>
      <c r="P550" s="18">
        <v>43755.51547453704</v>
      </c>
      <c r="Q550" s="1" t="s">
        <v>2759</v>
      </c>
      <c r="R550" s="1" t="s">
        <v>2760</v>
      </c>
      <c r="S550" s="13" t="s">
        <v>2761</v>
      </c>
      <c r="T550" s="14"/>
      <c r="U550" s="19" t="str">
        <f>HYPERLINK("https://pbs.twimg.com/profile_images/1187389865106792448/9f9yRkVz.jpg","View")</f>
        <v>View</v>
      </c>
      <c r="V550" s="14"/>
      <c r="W550" s="14"/>
      <c r="X550" s="14"/>
      <c r="Y550" s="14"/>
      <c r="Z550" s="14"/>
    </row>
    <row r="551">
      <c r="A551" s="11">
        <v>43847.449375</v>
      </c>
      <c r="B551" s="12" t="str">
        <f>HYPERLINK("https://twitter.com/louisianacancer","@louisianacancer")</f>
        <v>@louisianacancer</v>
      </c>
      <c r="C551" s="1" t="s">
        <v>2762</v>
      </c>
      <c r="D551" s="1" t="s">
        <v>2763</v>
      </c>
      <c r="E551" s="12" t="str">
        <f>HYPERLINK("https://twitter.com/louisianacancer/status/1218198064189595648","1218198064189595648")</f>
        <v>1218198064189595648</v>
      </c>
      <c r="F551" s="13" t="s">
        <v>2764</v>
      </c>
      <c r="G551" s="14"/>
      <c r="H551" s="14"/>
      <c r="I551" s="15">
        <v>0.0</v>
      </c>
      <c r="J551" s="15">
        <v>0.0</v>
      </c>
      <c r="K551" s="12" t="str">
        <f>HYPERLINK("https://sproutsocial.com","Sprout Social")</f>
        <v>Sprout Social</v>
      </c>
      <c r="L551" s="16">
        <v>197.0</v>
      </c>
      <c r="M551" s="16">
        <v>218.0</v>
      </c>
      <c r="N551" s="16">
        <v>12.0</v>
      </c>
      <c r="O551" s="17"/>
      <c r="P551" s="18">
        <v>40940.775509259256</v>
      </c>
      <c r="Q551" s="1" t="s">
        <v>2765</v>
      </c>
      <c r="R551" s="1" t="s">
        <v>2766</v>
      </c>
      <c r="S551" s="13" t="s">
        <v>2767</v>
      </c>
      <c r="T551" s="14"/>
      <c r="U551" s="19" t="str">
        <f>HYPERLINK("https://pbs.twimg.com/profile_images/442032585917464576/hau4kFkz.jpeg","View")</f>
        <v>View</v>
      </c>
      <c r="V551" s="14"/>
      <c r="W551" s="14"/>
      <c r="X551" s="14"/>
      <c r="Y551" s="14"/>
      <c r="Z551" s="14"/>
    </row>
    <row r="552">
      <c r="A552" s="11">
        <v>43847.44725694445</v>
      </c>
      <c r="B552" s="12" t="str">
        <f>HYPERLINK("https://twitter.com/C2Taygan","@C2Taygan")</f>
        <v>@C2Taygan</v>
      </c>
      <c r="C552" s="1" t="s">
        <v>2768</v>
      </c>
      <c r="D552" s="1" t="s">
        <v>2769</v>
      </c>
      <c r="E552" s="12" t="str">
        <f>HYPERLINK("https://twitter.com/C2Taygan/status/1218197296300679168","1218197296300679168")</f>
        <v>1218197296300679168</v>
      </c>
      <c r="F552" s="1" t="s">
        <v>2770</v>
      </c>
      <c r="G552" s="13" t="s">
        <v>2771</v>
      </c>
      <c r="H552" s="14"/>
      <c r="I552" s="15">
        <v>0.0</v>
      </c>
      <c r="J552" s="15">
        <v>1.0</v>
      </c>
      <c r="K552" s="12" t="str">
        <f>HYPERLINK("https://mobile.twitter.com","Twitter Web App")</f>
        <v>Twitter Web App</v>
      </c>
      <c r="L552" s="16">
        <v>60.0</v>
      </c>
      <c r="M552" s="16">
        <v>199.0</v>
      </c>
      <c r="N552" s="16">
        <v>1.0</v>
      </c>
      <c r="O552" s="17"/>
      <c r="P552" s="18">
        <v>43586.274456018524</v>
      </c>
      <c r="Q552" s="14"/>
      <c r="R552" s="1" t="s">
        <v>2772</v>
      </c>
      <c r="S552" s="14"/>
      <c r="T552" s="14"/>
      <c r="U552" s="19" t="str">
        <f>HYPERLINK("https://pbs.twimg.com/profile_images/1168910359660519430/C_eKlT2Y.jpg","View")</f>
        <v>View</v>
      </c>
      <c r="V552" s="14"/>
      <c r="W552" s="14"/>
      <c r="X552" s="14"/>
      <c r="Y552" s="14"/>
      <c r="Z552" s="14"/>
    </row>
    <row r="553">
      <c r="A553" s="11">
        <v>43847.44453703704</v>
      </c>
      <c r="B553" s="12" t="str">
        <f>HYPERLINK("https://twitter.com/denn_ward","@denn_ward")</f>
        <v>@denn_ward</v>
      </c>
      <c r="C553" s="1" t="s">
        <v>2773</v>
      </c>
      <c r="D553" s="1" t="s">
        <v>2774</v>
      </c>
      <c r="E553" s="12" t="str">
        <f>HYPERLINK("https://twitter.com/denn_ward/status/1218196310555164673","1218196310555164673")</f>
        <v>1218196310555164673</v>
      </c>
      <c r="F553" s="13" t="s">
        <v>2775</v>
      </c>
      <c r="G553" s="14"/>
      <c r="H553" s="14"/>
      <c r="I553" s="15">
        <v>0.0</v>
      </c>
      <c r="J553" s="15">
        <v>0.0</v>
      </c>
      <c r="K553" s="12" t="str">
        <f>HYPERLINK("http://instagram.com","Instagram")</f>
        <v>Instagram</v>
      </c>
      <c r="L553" s="16">
        <v>34.0</v>
      </c>
      <c r="M553" s="16">
        <v>257.0</v>
      </c>
      <c r="N553" s="16">
        <v>0.0</v>
      </c>
      <c r="O553" s="17"/>
      <c r="P553" s="18">
        <v>41983.63364583333</v>
      </c>
      <c r="Q553" s="1" t="s">
        <v>2776</v>
      </c>
      <c r="R553" s="1" t="s">
        <v>2777</v>
      </c>
      <c r="S553" s="13" t="s">
        <v>2778</v>
      </c>
      <c r="T553" s="14"/>
      <c r="U553" s="19" t="str">
        <f>HYPERLINK("https://pbs.twimg.com/profile_images/1099356532989444096/KyNoEjom.jpg","View")</f>
        <v>View</v>
      </c>
      <c r="V553" s="14"/>
      <c r="W553" s="14"/>
      <c r="X553" s="14"/>
      <c r="Y553" s="14"/>
      <c r="Z553" s="14"/>
    </row>
    <row r="554">
      <c r="A554" s="11">
        <v>43847.438738425924</v>
      </c>
      <c r="B554" s="12" t="str">
        <f>HYPERLINK("https://twitter.com/DrBillChen","@DrBillChen")</f>
        <v>@DrBillChen</v>
      </c>
      <c r="C554" s="1" t="s">
        <v>2779</v>
      </c>
      <c r="D554" s="1" t="s">
        <v>2780</v>
      </c>
      <c r="E554" s="12" t="str">
        <f>HYPERLINK("https://twitter.com/DrBillChen/status/1218194210345582593","1218194210345582593")</f>
        <v>1218194210345582593</v>
      </c>
      <c r="F554" s="13" t="s">
        <v>2781</v>
      </c>
      <c r="G554" s="14"/>
      <c r="H554" s="14"/>
      <c r="I554" s="15">
        <v>0.0</v>
      </c>
      <c r="J554" s="15">
        <v>2.0</v>
      </c>
      <c r="K554" s="12" t="str">
        <f>HYPERLINK("http://twitter.com","BillTwitty")</f>
        <v>BillTwitty</v>
      </c>
      <c r="L554" s="16">
        <v>9386.0</v>
      </c>
      <c r="M554" s="16">
        <v>7383.0</v>
      </c>
      <c r="N554" s="16">
        <v>513.0</v>
      </c>
      <c r="O554" s="17"/>
      <c r="P554" s="18">
        <v>41711.76940972223</v>
      </c>
      <c r="Q554" s="1" t="s">
        <v>2782</v>
      </c>
      <c r="R554" s="1" t="s">
        <v>2783</v>
      </c>
      <c r="S554" s="13" t="s">
        <v>2784</v>
      </c>
      <c r="T554" s="14"/>
      <c r="U554" s="19" t="str">
        <f>HYPERLINK("https://pbs.twimg.com/profile_images/949746128005689344/28ea9HyJ.jpg","View")</f>
        <v>View</v>
      </c>
      <c r="V554" s="14"/>
      <c r="W554" s="14"/>
      <c r="X554" s="14"/>
      <c r="Y554" s="14"/>
      <c r="Z554" s="14"/>
    </row>
    <row r="555">
      <c r="A555" s="11">
        <v>43847.43800925926</v>
      </c>
      <c r="B555" s="12" t="str">
        <f>HYPERLINK("https://twitter.com/BuckeyeFunding","@BuckeyeFunding")</f>
        <v>@BuckeyeFunding</v>
      </c>
      <c r="C555" s="1" t="s">
        <v>2785</v>
      </c>
      <c r="D555" s="1" t="s">
        <v>2786</v>
      </c>
      <c r="E555" s="12" t="str">
        <f>HYPERLINK("https://twitter.com/BuckeyeFunding/status/1218193945693474817","1218193945693474817")</f>
        <v>1218193945693474817</v>
      </c>
      <c r="F555" s="14"/>
      <c r="G555" s="13" t="s">
        <v>2787</v>
      </c>
      <c r="H555" s="14"/>
      <c r="I555" s="15">
        <v>0.0</v>
      </c>
      <c r="J555" s="15">
        <v>0.0</v>
      </c>
      <c r="K555" s="12" t="str">
        <f>HYPERLINK("https://www.hootsuite.com","Hootsuite Inc.")</f>
        <v>Hootsuite Inc.</v>
      </c>
      <c r="L555" s="16">
        <v>273.0</v>
      </c>
      <c r="M555" s="16">
        <v>1484.0</v>
      </c>
      <c r="N555" s="16">
        <v>5.0</v>
      </c>
      <c r="O555" s="17"/>
      <c r="P555" s="18">
        <v>41346.87153935185</v>
      </c>
      <c r="Q555" s="1" t="s">
        <v>2788</v>
      </c>
      <c r="R555" s="1" t="s">
        <v>2789</v>
      </c>
      <c r="S555" s="13" t="s">
        <v>2790</v>
      </c>
      <c r="T555" s="14"/>
      <c r="U555" s="19" t="str">
        <f>HYPERLINK("https://pbs.twimg.com/profile_images/982323506535976960/vIc90hs3.jpg","View")</f>
        <v>View</v>
      </c>
      <c r="V555" s="14"/>
      <c r="W555" s="14"/>
      <c r="X555" s="14"/>
      <c r="Y555" s="14"/>
      <c r="Z555" s="14"/>
    </row>
    <row r="556">
      <c r="A556" s="11">
        <v>43847.43751157407</v>
      </c>
      <c r="B556" s="12" t="str">
        <f>HYPERLINK("https://twitter.com/thegirlinline","@thegirlinline")</f>
        <v>@thegirlinline</v>
      </c>
      <c r="C556" s="1" t="s">
        <v>2791</v>
      </c>
      <c r="D556" s="1" t="s">
        <v>2792</v>
      </c>
      <c r="E556" s="12" t="str">
        <f>HYPERLINK("https://twitter.com/thegirlinline/status/1218193764742766592","1218193764742766592")</f>
        <v>1218193764742766592</v>
      </c>
      <c r="F556" s="13" t="s">
        <v>2793</v>
      </c>
      <c r="G556" s="14"/>
      <c r="H556" s="14"/>
      <c r="I556" s="15">
        <v>0.0</v>
      </c>
      <c r="J556" s="15">
        <v>1.0</v>
      </c>
      <c r="K556" s="12" t="str">
        <f>HYPERLINK("http://twitter.com/download/iphone","Twitter for iPhone")</f>
        <v>Twitter for iPhone</v>
      </c>
      <c r="L556" s="16">
        <v>480.0</v>
      </c>
      <c r="M556" s="16">
        <v>1204.0</v>
      </c>
      <c r="N556" s="16">
        <v>0.0</v>
      </c>
      <c r="O556" s="17"/>
      <c r="P556" s="18">
        <v>43143.48495370371</v>
      </c>
      <c r="Q556" s="1" t="s">
        <v>2794</v>
      </c>
      <c r="R556" s="1" t="s">
        <v>2795</v>
      </c>
      <c r="S556" s="13" t="s">
        <v>2796</v>
      </c>
      <c r="T556" s="14"/>
      <c r="U556" s="19" t="str">
        <f>HYPERLINK("https://pbs.twimg.com/profile_images/963090690451431424/tTMHPgcH.jpg","View")</f>
        <v>View</v>
      </c>
      <c r="V556" s="14"/>
      <c r="W556" s="14"/>
      <c r="X556" s="14"/>
      <c r="Y556" s="14"/>
      <c r="Z556" s="14"/>
    </row>
    <row r="557">
      <c r="A557" s="11">
        <v>43847.43409722223</v>
      </c>
      <c r="B557" s="12" t="str">
        <f>HYPERLINK("https://twitter.com/djemal_ua","@djemal_ua")</f>
        <v>@djemal_ua</v>
      </c>
      <c r="C557" s="1" t="s">
        <v>2797</v>
      </c>
      <c r="D557" s="1" t="s">
        <v>2798</v>
      </c>
      <c r="E557" s="12" t="str">
        <f>HYPERLINK("https://twitter.com/djemal_ua/status/1218192530212294660","1218192530212294660")</f>
        <v>1218192530212294660</v>
      </c>
      <c r="F557" s="13" t="s">
        <v>2799</v>
      </c>
      <c r="G557" s="14"/>
      <c r="H557" s="14"/>
      <c r="I557" s="15">
        <v>0.0</v>
      </c>
      <c r="J557" s="15">
        <v>1.0</v>
      </c>
      <c r="K557" s="12" t="str">
        <f>HYPERLINK("https://www.hootsuite.com","Hootsuite Inc.")</f>
        <v>Hootsuite Inc.</v>
      </c>
      <c r="L557" s="16">
        <v>5127.0</v>
      </c>
      <c r="M557" s="16">
        <v>4724.0</v>
      </c>
      <c r="N557" s="16">
        <v>60.0</v>
      </c>
      <c r="O557" s="17"/>
      <c r="P557" s="18">
        <v>43530.25729166667</v>
      </c>
      <c r="Q557" s="1" t="s">
        <v>268</v>
      </c>
      <c r="R557" s="1" t="s">
        <v>2800</v>
      </c>
      <c r="S557" s="13" t="s">
        <v>2801</v>
      </c>
      <c r="T557" s="14"/>
      <c r="U557" s="19" t="str">
        <f>HYPERLINK("https://pbs.twimg.com/profile_images/1202978381106761728/aqUhVSTO.jpg","View")</f>
        <v>View</v>
      </c>
      <c r="V557" s="14"/>
      <c r="W557" s="14"/>
      <c r="X557" s="14"/>
      <c r="Y557" s="14"/>
      <c r="Z557" s="14"/>
    </row>
    <row r="558">
      <c r="A558" s="11">
        <v>43847.43204861111</v>
      </c>
      <c r="B558" s="12" t="str">
        <f t="shared" ref="B558:B559" si="51">HYPERLINK("https://twitter.com/HawkShieldSec","@HawkShieldSec")</f>
        <v>@HawkShieldSec</v>
      </c>
      <c r="C558" s="1" t="s">
        <v>2802</v>
      </c>
      <c r="D558" s="1" t="s">
        <v>2803</v>
      </c>
      <c r="E558" s="12" t="str">
        <f>HYPERLINK("https://twitter.com/HawkShieldSec/status/1218191785199132673","1218191785199132673")</f>
        <v>1218191785199132673</v>
      </c>
      <c r="F558" s="13" t="s">
        <v>2804</v>
      </c>
      <c r="G558" s="13" t="s">
        <v>2805</v>
      </c>
      <c r="H558" s="14"/>
      <c r="I558" s="15">
        <v>0.0</v>
      </c>
      <c r="J558" s="15">
        <v>0.0</v>
      </c>
      <c r="K558" s="12" t="str">
        <f t="shared" ref="K558:K559" si="52">HYPERLINK("https://mobile.twitter.com","Twitter Web App")</f>
        <v>Twitter Web App</v>
      </c>
      <c r="L558" s="16">
        <v>167.0</v>
      </c>
      <c r="M558" s="16">
        <v>660.0</v>
      </c>
      <c r="N558" s="16">
        <v>0.0</v>
      </c>
      <c r="O558" s="17"/>
      <c r="P558" s="18">
        <v>42694.74780092592</v>
      </c>
      <c r="Q558" s="1" t="s">
        <v>2806</v>
      </c>
      <c r="R558" s="1" t="s">
        <v>2807</v>
      </c>
      <c r="S558" s="13" t="s">
        <v>2808</v>
      </c>
      <c r="T558" s="14"/>
      <c r="U558" s="19" t="str">
        <f t="shared" ref="U558:U559" si="53">HYPERLINK("https://pbs.twimg.com/profile_images/1208040878901747713/EfMGDSQO.jpg","View")</f>
        <v>View</v>
      </c>
      <c r="V558" s="14"/>
      <c r="W558" s="14"/>
      <c r="X558" s="14"/>
      <c r="Y558" s="14"/>
      <c r="Z558" s="14"/>
    </row>
    <row r="559">
      <c r="A559" s="11">
        <v>43847.429131944446</v>
      </c>
      <c r="B559" s="12" t="str">
        <f t="shared" si="51"/>
        <v>@HawkShieldSec</v>
      </c>
      <c r="C559" s="1" t="s">
        <v>2802</v>
      </c>
      <c r="D559" s="1" t="s">
        <v>2809</v>
      </c>
      <c r="E559" s="12" t="str">
        <f>HYPERLINK("https://twitter.com/HawkShieldSec/status/1218190729115291648","1218190729115291648")</f>
        <v>1218190729115291648</v>
      </c>
      <c r="F559" s="14"/>
      <c r="G559" s="13" t="s">
        <v>2810</v>
      </c>
      <c r="H559" s="14"/>
      <c r="I559" s="15">
        <v>0.0</v>
      </c>
      <c r="J559" s="15">
        <v>2.0</v>
      </c>
      <c r="K559" s="12" t="str">
        <f t="shared" si="52"/>
        <v>Twitter Web App</v>
      </c>
      <c r="L559" s="16">
        <v>167.0</v>
      </c>
      <c r="M559" s="16">
        <v>660.0</v>
      </c>
      <c r="N559" s="16">
        <v>0.0</v>
      </c>
      <c r="O559" s="17"/>
      <c r="P559" s="18">
        <v>42694.74780092592</v>
      </c>
      <c r="Q559" s="1" t="s">
        <v>2806</v>
      </c>
      <c r="R559" s="1" t="s">
        <v>2807</v>
      </c>
      <c r="S559" s="13" t="s">
        <v>2808</v>
      </c>
      <c r="T559" s="14"/>
      <c r="U559" s="19" t="str">
        <f t="shared" si="53"/>
        <v>View</v>
      </c>
      <c r="V559" s="14"/>
      <c r="W559" s="14"/>
      <c r="X559" s="14"/>
      <c r="Y559" s="14"/>
      <c r="Z559" s="14"/>
    </row>
    <row r="560">
      <c r="A560" s="11">
        <v>43847.428391203706</v>
      </c>
      <c r="B560" s="12" t="str">
        <f>HYPERLINK("https://twitter.com/SquishSupport","@SquishSupport")</f>
        <v>@SquishSupport</v>
      </c>
      <c r="C560" s="1" t="s">
        <v>799</v>
      </c>
      <c r="D560" s="1" t="s">
        <v>2811</v>
      </c>
      <c r="E560" s="12" t="str">
        <f>HYPERLINK("https://twitter.com/SquishSupport/status/1218190460272943104","1218190460272943104")</f>
        <v>1218190460272943104</v>
      </c>
      <c r="F560" s="14"/>
      <c r="G560" s="13" t="s">
        <v>2812</v>
      </c>
      <c r="H560" s="14"/>
      <c r="I560" s="15">
        <v>1.0</v>
      </c>
      <c r="J560" s="15">
        <v>2.0</v>
      </c>
      <c r="K560" s="12" t="str">
        <f t="shared" ref="K560:K561" si="54">HYPERLINK("http://twitter.com/download/android","Twitter for Android")</f>
        <v>Twitter for Android</v>
      </c>
      <c r="L560" s="16">
        <v>24.0</v>
      </c>
      <c r="M560" s="16">
        <v>109.0</v>
      </c>
      <c r="N560" s="16">
        <v>0.0</v>
      </c>
      <c r="O560" s="17"/>
      <c r="P560" s="18">
        <v>43790.01303240741</v>
      </c>
      <c r="Q560" s="1" t="s">
        <v>802</v>
      </c>
      <c r="R560" s="1" t="s">
        <v>803</v>
      </c>
      <c r="S560" s="13" t="s">
        <v>804</v>
      </c>
      <c r="T560" s="14"/>
      <c r="U560" s="19" t="str">
        <f>HYPERLINK("https://pbs.twimg.com/profile_images/1197383912084905984/1yZnevKP.png","View")</f>
        <v>View</v>
      </c>
      <c r="V560" s="14"/>
      <c r="W560" s="14"/>
      <c r="X560" s="14"/>
      <c r="Y560" s="14"/>
      <c r="Z560" s="14"/>
    </row>
    <row r="561">
      <c r="A561" s="11">
        <v>43847.42542824074</v>
      </c>
      <c r="B561" s="12" t="str">
        <f>HYPERLINK("https://twitter.com/advocacy_u","@advocacy_u")</f>
        <v>@advocacy_u</v>
      </c>
      <c r="C561" s="1" t="s">
        <v>2813</v>
      </c>
      <c r="D561" s="1" t="s">
        <v>2814</v>
      </c>
      <c r="E561" s="12" t="str">
        <f>HYPERLINK("https://twitter.com/advocacy_u/status/1218189385855717376","1218189385855717376")</f>
        <v>1218189385855717376</v>
      </c>
      <c r="F561" s="14"/>
      <c r="G561" s="14"/>
      <c r="H561" s="14"/>
      <c r="I561" s="15">
        <v>0.0</v>
      </c>
      <c r="J561" s="15">
        <v>0.0</v>
      </c>
      <c r="K561" s="12" t="str">
        <f t="shared" si="54"/>
        <v>Twitter for Android</v>
      </c>
      <c r="L561" s="16">
        <v>2.0</v>
      </c>
      <c r="M561" s="16">
        <v>5.0</v>
      </c>
      <c r="N561" s="16">
        <v>0.0</v>
      </c>
      <c r="O561" s="17"/>
      <c r="P561" s="18">
        <v>43829.63048611111</v>
      </c>
      <c r="Q561" s="14"/>
      <c r="R561" s="1" t="s">
        <v>2815</v>
      </c>
      <c r="S561" s="14"/>
      <c r="T561" s="14"/>
      <c r="U561" s="19" t="str">
        <f>HYPERLINK("https://pbs.twimg.com/profile_images/1211740883885920256/bybHw3iB.jpg","View")</f>
        <v>View</v>
      </c>
      <c r="V561" s="14"/>
      <c r="W561" s="14"/>
      <c r="X561" s="14"/>
      <c r="Y561" s="14"/>
      <c r="Z561" s="14"/>
    </row>
    <row r="562">
      <c r="A562" s="11">
        <v>43847.42462962963</v>
      </c>
      <c r="B562" s="12" t="str">
        <f>HYPERLINK("https://twitter.com/Leighsoropt","@Leighsoropt")</f>
        <v>@Leighsoropt</v>
      </c>
      <c r="C562" s="1" t="s">
        <v>2816</v>
      </c>
      <c r="D562" s="1" t="s">
        <v>2817</v>
      </c>
      <c r="E562" s="12" t="str">
        <f>HYPERLINK("https://twitter.com/Leighsoropt/status/1218189096889339909","1218189096889339909")</f>
        <v>1218189096889339909</v>
      </c>
      <c r="F562" s="13" t="s">
        <v>2818</v>
      </c>
      <c r="G562" s="14"/>
      <c r="H562" s="14"/>
      <c r="I562" s="15">
        <v>1.0</v>
      </c>
      <c r="J562" s="15">
        <v>0.0</v>
      </c>
      <c r="K562" s="12" t="str">
        <f>HYPERLINK("http://twitter.com/#!/download/ipad","Twitter for iPad")</f>
        <v>Twitter for iPad</v>
      </c>
      <c r="L562" s="16">
        <v>110.0</v>
      </c>
      <c r="M562" s="16">
        <v>146.0</v>
      </c>
      <c r="N562" s="16">
        <v>0.0</v>
      </c>
      <c r="O562" s="17"/>
      <c r="P562" s="18">
        <v>43565.33516203704</v>
      </c>
      <c r="Q562" s="1" t="s">
        <v>2819</v>
      </c>
      <c r="R562" s="1" t="s">
        <v>2820</v>
      </c>
      <c r="S562" s="13" t="s">
        <v>2821</v>
      </c>
      <c r="T562" s="14"/>
      <c r="U562" s="19" t="str">
        <f>HYPERLINK("https://pbs.twimg.com/profile_images/1115950723060125696/MIxwh4GF.jpg","View")</f>
        <v>View</v>
      </c>
      <c r="V562" s="14"/>
      <c r="W562" s="14"/>
      <c r="X562" s="14"/>
      <c r="Y562" s="14"/>
      <c r="Z562" s="14"/>
    </row>
    <row r="563">
      <c r="A563" s="11">
        <v>43847.42300925926</v>
      </c>
      <c r="B563" s="12" t="str">
        <f>HYPERLINK("https://twitter.com/bagillespie","@bagillespie")</f>
        <v>@bagillespie</v>
      </c>
      <c r="C563" s="1" t="s">
        <v>2822</v>
      </c>
      <c r="D563" s="1" t="s">
        <v>2823</v>
      </c>
      <c r="E563" s="12" t="str">
        <f>HYPERLINK("https://twitter.com/bagillespie/status/1218188508927537152","1218188508927537152")</f>
        <v>1218188508927537152</v>
      </c>
      <c r="F563" s="14"/>
      <c r="G563" s="13" t="s">
        <v>2824</v>
      </c>
      <c r="H563" s="14"/>
      <c r="I563" s="15">
        <v>0.0</v>
      </c>
      <c r="J563" s="15">
        <v>0.0</v>
      </c>
      <c r="K563" s="12" t="str">
        <f>HYPERLINK("https://mobile.twitter.com","Twitter Web App")</f>
        <v>Twitter Web App</v>
      </c>
      <c r="L563" s="16">
        <v>402.0</v>
      </c>
      <c r="M563" s="16">
        <v>627.0</v>
      </c>
      <c r="N563" s="16">
        <v>35.0</v>
      </c>
      <c r="O563" s="17"/>
      <c r="P563" s="18">
        <v>40017.563159722224</v>
      </c>
      <c r="Q563" s="1" t="s">
        <v>364</v>
      </c>
      <c r="R563" s="1" t="s">
        <v>2825</v>
      </c>
      <c r="S563" s="13" t="s">
        <v>2826</v>
      </c>
      <c r="T563" s="14"/>
      <c r="U563" s="19" t="str">
        <f>HYPERLINK("https://pbs.twimg.com/profile_images/763740250808070144/pn7Kk4kv.jpg","View")</f>
        <v>View</v>
      </c>
      <c r="V563" s="14"/>
      <c r="W563" s="14"/>
      <c r="X563" s="14"/>
      <c r="Y563" s="14"/>
      <c r="Z563" s="14"/>
    </row>
    <row r="564">
      <c r="A564" s="11">
        <v>43847.422534722224</v>
      </c>
      <c r="B564" s="12" t="str">
        <f>HYPERLINK("https://twitter.com/gosetmind","@gosetmind")</f>
        <v>@gosetmind</v>
      </c>
      <c r="C564" s="1" t="s">
        <v>2827</v>
      </c>
      <c r="D564" s="1" t="s">
        <v>2828</v>
      </c>
      <c r="E564" s="12" t="str">
        <f>HYPERLINK("https://twitter.com/gosetmind/status/1218188340463308801","1218188340463308801")</f>
        <v>1218188340463308801</v>
      </c>
      <c r="F564" s="13" t="s">
        <v>2829</v>
      </c>
      <c r="G564" s="13" t="s">
        <v>2830</v>
      </c>
      <c r="H564" s="14"/>
      <c r="I564" s="15">
        <v>0.0</v>
      </c>
      <c r="J564" s="15">
        <v>0.0</v>
      </c>
      <c r="K564" s="12" t="str">
        <f>HYPERLINK("https://missinglettr.com","Missinglettr")</f>
        <v>Missinglettr</v>
      </c>
      <c r="L564" s="16">
        <v>590.0</v>
      </c>
      <c r="M564" s="16">
        <v>1107.0</v>
      </c>
      <c r="N564" s="16">
        <v>0.0</v>
      </c>
      <c r="O564" s="17"/>
      <c r="P564" s="18">
        <v>43086.26144675926</v>
      </c>
      <c r="Q564" s="1" t="s">
        <v>56</v>
      </c>
      <c r="R564" s="1" t="s">
        <v>2831</v>
      </c>
      <c r="S564" s="13" t="s">
        <v>2832</v>
      </c>
      <c r="T564" s="14"/>
      <c r="U564" s="19" t="str">
        <f>HYPERLINK("https://pbs.twimg.com/profile_images/956755654743502853/zj_FTJWS.jpg","View")</f>
        <v>View</v>
      </c>
      <c r="V564" s="14"/>
      <c r="W564" s="14"/>
      <c r="X564" s="14"/>
      <c r="Y564" s="14"/>
      <c r="Z564" s="14"/>
    </row>
    <row r="565">
      <c r="A565" s="11">
        <v>43847.42074074074</v>
      </c>
      <c r="B565" s="12" t="str">
        <f>HYPERLINK("https://twitter.com/GreyholmeDental","@GreyholmeDental")</f>
        <v>@GreyholmeDental</v>
      </c>
      <c r="C565" s="1" t="s">
        <v>2833</v>
      </c>
      <c r="D565" s="1" t="s">
        <v>2834</v>
      </c>
      <c r="E565" s="12" t="str">
        <f>HYPERLINK("https://twitter.com/GreyholmeDental/status/1218187688907505664","1218187688907505664")</f>
        <v>1218187688907505664</v>
      </c>
      <c r="F565" s="14"/>
      <c r="G565" s="13" t="s">
        <v>2835</v>
      </c>
      <c r="H565" s="14"/>
      <c r="I565" s="15">
        <v>0.0</v>
      </c>
      <c r="J565" s="15">
        <v>0.0</v>
      </c>
      <c r="K565" s="12" t="str">
        <f>HYPERLINK("https://www.later.com","LaterMedia")</f>
        <v>LaterMedia</v>
      </c>
      <c r="L565" s="16">
        <v>235.0</v>
      </c>
      <c r="M565" s="16">
        <v>313.0</v>
      </c>
      <c r="N565" s="16">
        <v>8.0</v>
      </c>
      <c r="O565" s="17"/>
      <c r="P565" s="18">
        <v>41106.36145833333</v>
      </c>
      <c r="Q565" s="1" t="s">
        <v>2836</v>
      </c>
      <c r="R565" s="1" t="s">
        <v>2837</v>
      </c>
      <c r="S565" s="13" t="s">
        <v>2838</v>
      </c>
      <c r="T565" s="14"/>
      <c r="U565" s="19" t="str">
        <f>HYPERLINK("https://pbs.twimg.com/profile_images/963444766909267968/s_iMz4eT.jpg","View")</f>
        <v>View</v>
      </c>
      <c r="V565" s="14"/>
      <c r="W565" s="14"/>
      <c r="X565" s="14"/>
      <c r="Y565" s="14"/>
      <c r="Z565" s="14"/>
    </row>
    <row r="566">
      <c r="A566" s="11">
        <v>43847.418761574074</v>
      </c>
      <c r="B566" s="12" t="str">
        <f>HYPERLINK("https://twitter.com/TBtalks","@TBtalks")</f>
        <v>@TBtalks</v>
      </c>
      <c r="C566" s="1" t="s">
        <v>355</v>
      </c>
      <c r="D566" s="1" t="s">
        <v>2839</v>
      </c>
      <c r="E566" s="12" t="str">
        <f>HYPERLINK("https://twitter.com/TBtalks/status/1218186971388030976","1218186971388030976")</f>
        <v>1218186971388030976</v>
      </c>
      <c r="F566" s="13" t="s">
        <v>2840</v>
      </c>
      <c r="G566" s="14"/>
      <c r="H566" s="14"/>
      <c r="I566" s="15">
        <v>0.0</v>
      </c>
      <c r="J566" s="15">
        <v>0.0</v>
      </c>
      <c r="K566" s="12" t="str">
        <f t="shared" ref="K566:K567" si="55">HYPERLINK("https://www.hootsuite.com","Hootsuite Inc.")</f>
        <v>Hootsuite Inc.</v>
      </c>
      <c r="L566" s="16">
        <v>1190.0</v>
      </c>
      <c r="M566" s="16">
        <v>566.0</v>
      </c>
      <c r="N566" s="16">
        <v>25.0</v>
      </c>
      <c r="O566" s="17"/>
      <c r="P566" s="18">
        <v>41197.62918981482</v>
      </c>
      <c r="Q566" s="1" t="s">
        <v>358</v>
      </c>
      <c r="R566" s="1" t="s">
        <v>359</v>
      </c>
      <c r="S566" s="13" t="s">
        <v>360</v>
      </c>
      <c r="T566" s="14"/>
      <c r="U566" s="19" t="str">
        <f>HYPERLINK("https://pbs.twimg.com/profile_images/1181990097610256384/DQu0ny3B.jpg","View")</f>
        <v>View</v>
      </c>
      <c r="V566" s="14"/>
      <c r="W566" s="14"/>
      <c r="X566" s="14"/>
      <c r="Y566" s="14"/>
      <c r="Z566" s="14"/>
    </row>
    <row r="567">
      <c r="A567" s="11">
        <v>43847.41740740741</v>
      </c>
      <c r="B567" s="12" t="str">
        <f>HYPERLINK("https://twitter.com/DrLaFarraMD","@DrLaFarraMD")</f>
        <v>@DrLaFarraMD</v>
      </c>
      <c r="C567" s="1" t="s">
        <v>2841</v>
      </c>
      <c r="D567" s="1" t="s">
        <v>2842</v>
      </c>
      <c r="E567" s="12" t="str">
        <f>HYPERLINK("https://twitter.com/DrLaFarraMD/status/1218186479488380933","1218186479488380933")</f>
        <v>1218186479488380933</v>
      </c>
      <c r="F567" s="14"/>
      <c r="G567" s="13" t="s">
        <v>2843</v>
      </c>
      <c r="H567" s="14"/>
      <c r="I567" s="15">
        <v>0.0</v>
      </c>
      <c r="J567" s="15">
        <v>0.0</v>
      </c>
      <c r="K567" s="12" t="str">
        <f t="shared" si="55"/>
        <v>Hootsuite Inc.</v>
      </c>
      <c r="L567" s="16">
        <v>128.0</v>
      </c>
      <c r="M567" s="16">
        <v>208.0</v>
      </c>
      <c r="N567" s="16">
        <v>0.0</v>
      </c>
      <c r="O567" s="17"/>
      <c r="P567" s="18">
        <v>41962.39837962963</v>
      </c>
      <c r="Q567" s="1" t="s">
        <v>2844</v>
      </c>
      <c r="R567" s="14"/>
      <c r="S567" s="14"/>
      <c r="T567" s="14"/>
      <c r="U567" s="19" t="str">
        <f>HYPERLINK("https://pbs.twimg.com/profile_images/1116377847701094407/-UTLPqXx.jpg","View")</f>
        <v>View</v>
      </c>
      <c r="V567" s="14"/>
      <c r="W567" s="14"/>
      <c r="X567" s="14"/>
      <c r="Y567" s="14"/>
      <c r="Z567" s="14"/>
    </row>
    <row r="568">
      <c r="A568" s="11">
        <v>43847.41666666667</v>
      </c>
      <c r="B568" s="12" t="str">
        <f>HYPERLINK("https://twitter.com/DeannaM_Mason","@DeannaM_Mason")</f>
        <v>@DeannaM_Mason</v>
      </c>
      <c r="C568" s="1" t="s">
        <v>2845</v>
      </c>
      <c r="D568" s="1" t="s">
        <v>2846</v>
      </c>
      <c r="E568" s="12" t="str">
        <f>HYPERLINK("https://twitter.com/DeannaM_Mason/status/1218186213229842432","1218186213229842432")</f>
        <v>1218186213229842432</v>
      </c>
      <c r="F568" s="13" t="s">
        <v>2847</v>
      </c>
      <c r="G568" s="13" t="s">
        <v>2848</v>
      </c>
      <c r="H568" s="14"/>
      <c r="I568" s="15">
        <v>0.0</v>
      </c>
      <c r="J568" s="15">
        <v>0.0</v>
      </c>
      <c r="K568" s="12" t="str">
        <f>HYPERLINK("https://about.twitter.com/products/tweetdeck","TweetDeck")</f>
        <v>TweetDeck</v>
      </c>
      <c r="L568" s="16">
        <v>63.0</v>
      </c>
      <c r="M568" s="16">
        <v>77.0</v>
      </c>
      <c r="N568" s="16">
        <v>20.0</v>
      </c>
      <c r="O568" s="17"/>
      <c r="P568" s="18">
        <v>42207.44136574074</v>
      </c>
      <c r="Q568" s="1" t="s">
        <v>2849</v>
      </c>
      <c r="R568" s="1" t="s">
        <v>2850</v>
      </c>
      <c r="S568" s="13" t="s">
        <v>2851</v>
      </c>
      <c r="T568" s="14"/>
      <c r="U568" s="19" t="str">
        <f>HYPERLINK("https://pbs.twimg.com/profile_images/1011241304154693633/hYxFNoYH.jpg","View")</f>
        <v>View</v>
      </c>
      <c r="V568" s="14"/>
      <c r="W568" s="14"/>
      <c r="X568" s="14"/>
      <c r="Y568" s="14"/>
      <c r="Z568" s="14"/>
    </row>
    <row r="569">
      <c r="A569" s="11">
        <v>43847.41666666667</v>
      </c>
      <c r="B569" s="12" t="str">
        <f>HYPERLINK("https://twitter.com/WHealthMatters","@WHealthMatters")</f>
        <v>@WHealthMatters</v>
      </c>
      <c r="C569" s="1" t="s">
        <v>2852</v>
      </c>
      <c r="D569" s="1" t="s">
        <v>2853</v>
      </c>
      <c r="E569" s="12" t="str">
        <f>HYPERLINK("https://twitter.com/WHealthMatters/status/1218186212776636416","1218186212776636416")</f>
        <v>1218186212776636416</v>
      </c>
      <c r="F569" s="13" t="s">
        <v>2854</v>
      </c>
      <c r="G569" s="13" t="s">
        <v>2855</v>
      </c>
      <c r="H569" s="14"/>
      <c r="I569" s="15">
        <v>0.0</v>
      </c>
      <c r="J569" s="15">
        <v>1.0</v>
      </c>
      <c r="K569" s="12" t="str">
        <f>HYPERLINK("https://ads.twitter.com","Twitter Ads")</f>
        <v>Twitter Ads</v>
      </c>
      <c r="L569" s="16">
        <v>1444.0</v>
      </c>
      <c r="M569" s="16">
        <v>378.0</v>
      </c>
      <c r="N569" s="16">
        <v>46.0</v>
      </c>
      <c r="O569" s="17"/>
      <c r="P569" s="18">
        <v>40984.59688657407</v>
      </c>
      <c r="Q569" s="1" t="s">
        <v>2856</v>
      </c>
      <c r="R569" s="1" t="s">
        <v>2857</v>
      </c>
      <c r="S569" s="13" t="s">
        <v>2858</v>
      </c>
      <c r="T569" s="14"/>
      <c r="U569" s="19" t="str">
        <f>HYPERLINK("https://pbs.twimg.com/profile_images/1067130648832413696/Gqw1C6Ey.jpg","View")</f>
        <v>View</v>
      </c>
      <c r="V569" s="14"/>
      <c r="W569" s="14"/>
      <c r="X569" s="14"/>
      <c r="Y569" s="14"/>
      <c r="Z569" s="14"/>
    </row>
    <row r="570">
      <c r="A570" s="11">
        <v>43847.41630787037</v>
      </c>
      <c r="B570" s="12" t="str">
        <f>HYPERLINK("https://twitter.com/WondrousWriting","@WondrousWriting")</f>
        <v>@WondrousWriting</v>
      </c>
      <c r="C570" s="1" t="s">
        <v>2859</v>
      </c>
      <c r="D570" s="1" t="s">
        <v>2860</v>
      </c>
      <c r="E570" s="12" t="str">
        <f>HYPERLINK("https://twitter.com/WondrousWriting/status/1218186081327296513","1218186081327296513")</f>
        <v>1218186081327296513</v>
      </c>
      <c r="F570" s="13" t="s">
        <v>2861</v>
      </c>
      <c r="G570" s="13" t="s">
        <v>2862</v>
      </c>
      <c r="H570" s="14"/>
      <c r="I570" s="15">
        <v>0.0</v>
      </c>
      <c r="J570" s="15">
        <v>1.0</v>
      </c>
      <c r="K570" s="12" t="str">
        <f>HYPERLINK("https://missinglettr.com","Missinglettr")</f>
        <v>Missinglettr</v>
      </c>
      <c r="L570" s="16">
        <v>1634.0</v>
      </c>
      <c r="M570" s="16">
        <v>2103.0</v>
      </c>
      <c r="N570" s="16">
        <v>21.0</v>
      </c>
      <c r="O570" s="17"/>
      <c r="P570" s="18">
        <v>42975.84543981482</v>
      </c>
      <c r="Q570" s="14"/>
      <c r="R570" s="14"/>
      <c r="S570" s="14"/>
      <c r="T570" s="14"/>
      <c r="U570" s="19" t="str">
        <f>HYPERLINK("https://pbs.twimg.com/profile_images/902340413452804096/pj5W_u6O.jpg","View")</f>
        <v>View</v>
      </c>
      <c r="V570" s="14"/>
      <c r="W570" s="14"/>
      <c r="X570" s="14"/>
      <c r="Y570" s="14"/>
      <c r="Z570" s="14"/>
    </row>
    <row r="571">
      <c r="A571" s="11">
        <v>43847.41553240741</v>
      </c>
      <c r="B571" s="12" t="str">
        <f>HYPERLINK("https://twitter.com/JulieBurkeWatts","@JulieBurkeWatts")</f>
        <v>@JulieBurkeWatts</v>
      </c>
      <c r="C571" s="1" t="s">
        <v>2863</v>
      </c>
      <c r="D571" s="1" t="s">
        <v>2864</v>
      </c>
      <c r="E571" s="12" t="str">
        <f>HYPERLINK("https://twitter.com/JulieBurkeWatts/status/1218185803114913793","1218185803114913793")</f>
        <v>1218185803114913793</v>
      </c>
      <c r="F571" s="1" t="s">
        <v>2865</v>
      </c>
      <c r="G571" s="14"/>
      <c r="H571" s="14"/>
      <c r="I571" s="15">
        <v>0.0</v>
      </c>
      <c r="J571" s="15">
        <v>1.0</v>
      </c>
      <c r="K571" s="12" t="str">
        <f t="shared" ref="K571:K572" si="56">HYPERLINK("http://twitter.com/download/iphone","Twitter for iPhone")</f>
        <v>Twitter for iPhone</v>
      </c>
      <c r="L571" s="16">
        <v>1006.0</v>
      </c>
      <c r="M571" s="16">
        <v>4408.0</v>
      </c>
      <c r="N571" s="16">
        <v>23.0</v>
      </c>
      <c r="O571" s="17"/>
      <c r="P571" s="18">
        <v>41720.329039351855</v>
      </c>
      <c r="Q571" s="1" t="s">
        <v>268</v>
      </c>
      <c r="R571" s="1" t="s">
        <v>2866</v>
      </c>
      <c r="S571" s="13" t="s">
        <v>2867</v>
      </c>
      <c r="T571" s="14"/>
      <c r="U571" s="19" t="str">
        <f>HYPERLINK("https://pbs.twimg.com/profile_images/1185876004872564738/zBtBq_iB.jpg","View")</f>
        <v>View</v>
      </c>
      <c r="V571" s="14"/>
      <c r="W571" s="14"/>
      <c r="X571" s="14"/>
      <c r="Y571" s="14"/>
      <c r="Z571" s="14"/>
    </row>
    <row r="572">
      <c r="A572" s="11">
        <v>43847.4143287037</v>
      </c>
      <c r="B572" s="12" t="str">
        <f>HYPERLINK("https://twitter.com/MoveHappyTeam","@MoveHappyTeam")</f>
        <v>@MoveHappyTeam</v>
      </c>
      <c r="C572" s="1" t="s">
        <v>2868</v>
      </c>
      <c r="D572" s="1" t="s">
        <v>2869</v>
      </c>
      <c r="E572" s="12" t="str">
        <f>HYPERLINK("https://twitter.com/MoveHappyTeam/status/1218185363631550464","1218185363631550464")</f>
        <v>1218185363631550464</v>
      </c>
      <c r="F572" s="14"/>
      <c r="G572" s="13" t="s">
        <v>2870</v>
      </c>
      <c r="H572" s="14"/>
      <c r="I572" s="15">
        <v>0.0</v>
      </c>
      <c r="J572" s="15">
        <v>4.0</v>
      </c>
      <c r="K572" s="12" t="str">
        <f t="shared" si="56"/>
        <v>Twitter for iPhone</v>
      </c>
      <c r="L572" s="16">
        <v>331.0</v>
      </c>
      <c r="M572" s="16">
        <v>443.0</v>
      </c>
      <c r="N572" s="16">
        <v>2.0</v>
      </c>
      <c r="O572" s="17"/>
      <c r="P572" s="18">
        <v>43279.28621527778</v>
      </c>
      <c r="Q572" s="1" t="s">
        <v>2871</v>
      </c>
      <c r="R572" s="1" t="s">
        <v>2872</v>
      </c>
      <c r="S572" s="13" t="s">
        <v>2873</v>
      </c>
      <c r="T572" s="14"/>
      <c r="U572" s="19" t="str">
        <f>HYPERLINK("https://pbs.twimg.com/profile_images/1123958859004043265/WjXQ8F3-.jpg","View")</f>
        <v>View</v>
      </c>
      <c r="V572" s="14"/>
      <c r="W572" s="14"/>
      <c r="X572" s="14"/>
      <c r="Y572" s="14"/>
      <c r="Z572" s="14"/>
    </row>
    <row r="573">
      <c r="A573" s="11">
        <v>43847.41401620371</v>
      </c>
      <c r="B573" s="12" t="str">
        <f>HYPERLINK("https://twitter.com/PaulESpector","@PaulESpector")</f>
        <v>@PaulESpector</v>
      </c>
      <c r="C573" s="1" t="s">
        <v>2874</v>
      </c>
      <c r="D573" s="1" t="s">
        <v>2875</v>
      </c>
      <c r="E573" s="12" t="str">
        <f>HYPERLINK("https://twitter.com/PaulESpector/status/1218185251765264388","1218185251765264388")</f>
        <v>1218185251765264388</v>
      </c>
      <c r="F573" s="13" t="s">
        <v>2876</v>
      </c>
      <c r="G573" s="14"/>
      <c r="H573" s="14"/>
      <c r="I573" s="15">
        <v>2.0</v>
      </c>
      <c r="J573" s="15">
        <v>6.0</v>
      </c>
      <c r="K573" s="12" t="str">
        <f t="shared" ref="K573:K576" si="57">HYPERLINK("https://mobile.twitter.com","Twitter Web App")</f>
        <v>Twitter Web App</v>
      </c>
      <c r="L573" s="16">
        <v>1192.0</v>
      </c>
      <c r="M573" s="16">
        <v>632.0</v>
      </c>
      <c r="N573" s="16">
        <v>14.0</v>
      </c>
      <c r="O573" s="17"/>
      <c r="P573" s="18">
        <v>43539.63890046296</v>
      </c>
      <c r="Q573" s="1" t="s">
        <v>2245</v>
      </c>
      <c r="R573" s="1" t="s">
        <v>2877</v>
      </c>
      <c r="S573" s="13" t="s">
        <v>2878</v>
      </c>
      <c r="T573" s="14"/>
      <c r="U573" s="19" t="str">
        <f>HYPERLINK("https://pbs.twimg.com/profile_images/1106636476652109824/dMSS32Ji.jpg","View")</f>
        <v>View</v>
      </c>
      <c r="V573" s="14"/>
      <c r="W573" s="14"/>
      <c r="X573" s="14"/>
      <c r="Y573" s="14"/>
      <c r="Z573" s="14"/>
    </row>
    <row r="574">
      <c r="A574" s="11">
        <v>43847.413773148146</v>
      </c>
      <c r="B574" s="12" t="str">
        <f>HYPERLINK("https://twitter.com/PatriciaDidelot","@PatriciaDidelot")</f>
        <v>@PatriciaDidelot</v>
      </c>
      <c r="C574" s="1" t="s">
        <v>2879</v>
      </c>
      <c r="D574" s="1" t="s">
        <v>2880</v>
      </c>
      <c r="E574" s="12" t="str">
        <f>HYPERLINK("https://twitter.com/PatriciaDidelot/status/1218185164662214656","1218185164662214656")</f>
        <v>1218185164662214656</v>
      </c>
      <c r="F574" s="14"/>
      <c r="G574" s="13" t="s">
        <v>2881</v>
      </c>
      <c r="H574" s="14"/>
      <c r="I574" s="15">
        <v>0.0</v>
      </c>
      <c r="J574" s="15">
        <v>0.0</v>
      </c>
      <c r="K574" s="12" t="str">
        <f t="shared" si="57"/>
        <v>Twitter Web App</v>
      </c>
      <c r="L574" s="16">
        <v>90.0</v>
      </c>
      <c r="M574" s="16">
        <v>127.0</v>
      </c>
      <c r="N574" s="16">
        <v>0.0</v>
      </c>
      <c r="O574" s="17"/>
      <c r="P574" s="18">
        <v>43334.343923611115</v>
      </c>
      <c r="Q574" s="1" t="s">
        <v>56</v>
      </c>
      <c r="R574" s="1" t="s">
        <v>2882</v>
      </c>
      <c r="S574" s="13" t="s">
        <v>2883</v>
      </c>
      <c r="T574" s="14"/>
      <c r="U574" s="19" t="str">
        <f>HYPERLINK("https://pbs.twimg.com/profile_images/1173770250854252546/LO2JY0Xv.jpg","View")</f>
        <v>View</v>
      </c>
      <c r="V574" s="14"/>
      <c r="W574" s="14"/>
      <c r="X574" s="14"/>
      <c r="Y574" s="14"/>
      <c r="Z574" s="14"/>
    </row>
    <row r="575">
      <c r="A575" s="11">
        <v>43847.41008101852</v>
      </c>
      <c r="B575" s="12" t="str">
        <f>HYPERLINK("https://twitter.com/TabithaSukhai","@TabithaSukhai")</f>
        <v>@TabithaSukhai</v>
      </c>
      <c r="C575" s="1" t="s">
        <v>2884</v>
      </c>
      <c r="D575" s="1" t="s">
        <v>2885</v>
      </c>
      <c r="E575" s="12" t="str">
        <f>HYPERLINK("https://twitter.com/TabithaSukhai/status/1218183827895541761","1218183827895541761")</f>
        <v>1218183827895541761</v>
      </c>
      <c r="F575" s="13" t="s">
        <v>1781</v>
      </c>
      <c r="G575" s="14"/>
      <c r="H575" s="14"/>
      <c r="I575" s="15">
        <v>0.0</v>
      </c>
      <c r="J575" s="15">
        <v>2.0</v>
      </c>
      <c r="K575" s="12" t="str">
        <f t="shared" si="57"/>
        <v>Twitter Web App</v>
      </c>
      <c r="L575" s="16">
        <v>986.0</v>
      </c>
      <c r="M575" s="16">
        <v>632.0</v>
      </c>
      <c r="N575" s="16">
        <v>99.0</v>
      </c>
      <c r="O575" s="17"/>
      <c r="P575" s="18">
        <v>40669.929189814815</v>
      </c>
      <c r="Q575" s="1" t="s">
        <v>809</v>
      </c>
      <c r="R575" s="1" t="s">
        <v>2886</v>
      </c>
      <c r="S575" s="13" t="s">
        <v>2887</v>
      </c>
      <c r="T575" s="14"/>
      <c r="U575" s="19" t="str">
        <f>HYPERLINK("https://pbs.twimg.com/profile_images/1178890327446495232/3a9oskR3.jpg","View")</f>
        <v>View</v>
      </c>
      <c r="V575" s="14"/>
      <c r="W575" s="14"/>
      <c r="X575" s="14"/>
      <c r="Y575" s="14"/>
      <c r="Z575" s="14"/>
    </row>
    <row r="576">
      <c r="A576" s="11">
        <v>43847.408541666664</v>
      </c>
      <c r="B576" s="12" t="str">
        <f>HYPERLINK("https://twitter.com/MIWorkersComp","@MIWorkersComp")</f>
        <v>@MIWorkersComp</v>
      </c>
      <c r="C576" s="1" t="s">
        <v>2888</v>
      </c>
      <c r="D576" s="1" t="s">
        <v>2889</v>
      </c>
      <c r="E576" s="12" t="str">
        <f>HYPERLINK("https://twitter.com/MIWorkersComp/status/1218183269130342401","1218183269130342401")</f>
        <v>1218183269130342401</v>
      </c>
      <c r="F576" s="13" t="s">
        <v>2890</v>
      </c>
      <c r="G576" s="13" t="s">
        <v>2891</v>
      </c>
      <c r="H576" s="14"/>
      <c r="I576" s="15">
        <v>0.0</v>
      </c>
      <c r="J576" s="15">
        <v>0.0</v>
      </c>
      <c r="K576" s="12" t="str">
        <f t="shared" si="57"/>
        <v>Twitter Web App</v>
      </c>
      <c r="L576" s="16">
        <v>468.0</v>
      </c>
      <c r="M576" s="16">
        <v>441.0</v>
      </c>
      <c r="N576" s="16">
        <v>22.0</v>
      </c>
      <c r="O576" s="17"/>
      <c r="P576" s="18">
        <v>40539.66327546296</v>
      </c>
      <c r="Q576" s="1" t="s">
        <v>2892</v>
      </c>
      <c r="R576" s="1" t="s">
        <v>2893</v>
      </c>
      <c r="S576" s="13" t="s">
        <v>2894</v>
      </c>
      <c r="T576" s="14"/>
      <c r="U576" s="19" t="str">
        <f>HYPERLINK("https://pbs.twimg.com/profile_images/887404400968441856/YfjMxsq6.jpg","View")</f>
        <v>View</v>
      </c>
      <c r="V576" s="14"/>
      <c r="W576" s="14"/>
      <c r="X576" s="14"/>
      <c r="Y576" s="14"/>
      <c r="Z576" s="14"/>
    </row>
    <row r="577">
      <c r="A577" s="11">
        <v>43847.40555555555</v>
      </c>
      <c r="B577" s="12" t="str">
        <f>HYPERLINK("https://twitter.com/CannaClinicians","@CannaClinicians")</f>
        <v>@CannaClinicians</v>
      </c>
      <c r="C577" s="1" t="s">
        <v>2895</v>
      </c>
      <c r="D577" s="1" t="s">
        <v>2896</v>
      </c>
      <c r="E577" s="12" t="str">
        <f>HYPERLINK("https://twitter.com/CannaClinicians/status/1218182184961363970","1218182184961363970")</f>
        <v>1218182184961363970</v>
      </c>
      <c r="F577" s="13" t="s">
        <v>2897</v>
      </c>
      <c r="G577" s="13" t="s">
        <v>2898</v>
      </c>
      <c r="H577" s="14"/>
      <c r="I577" s="15">
        <v>2.0</v>
      </c>
      <c r="J577" s="15">
        <v>6.0</v>
      </c>
      <c r="K577" s="12" t="str">
        <f>HYPERLINK("https://about.twitter.com/products/tweetdeck","TweetDeck")</f>
        <v>TweetDeck</v>
      </c>
      <c r="L577" s="16">
        <v>5103.0</v>
      </c>
      <c r="M577" s="16">
        <v>1259.0</v>
      </c>
      <c r="N577" s="16">
        <v>113.0</v>
      </c>
      <c r="O577" s="17"/>
      <c r="P577" s="18">
        <v>41443.71008101852</v>
      </c>
      <c r="Q577" s="14"/>
      <c r="R577" s="1" t="s">
        <v>2899</v>
      </c>
      <c r="S577" s="13" t="s">
        <v>2900</v>
      </c>
      <c r="T577" s="14"/>
      <c r="U577" s="19" t="str">
        <f>HYPERLINK("https://pbs.twimg.com/profile_images/1199632055283388416/SOVe3Qzs.jpg","View")</f>
        <v>View</v>
      </c>
      <c r="V577" s="14"/>
      <c r="W577" s="14"/>
      <c r="X577" s="14"/>
      <c r="Y577" s="14"/>
      <c r="Z577" s="14"/>
    </row>
    <row r="578">
      <c r="A578" s="11">
        <v>43847.40019675926</v>
      </c>
      <c r="B578" s="12" t="str">
        <f>HYPERLINK("https://twitter.com/WakeUpHuman007","@WakeUpHuman007")</f>
        <v>@WakeUpHuman007</v>
      </c>
      <c r="C578" s="1" t="s">
        <v>2901</v>
      </c>
      <c r="D578" s="1" t="s">
        <v>2902</v>
      </c>
      <c r="E578" s="12" t="str">
        <f>HYPERLINK("https://twitter.com/WakeUpHuman007/status/1218180243162370048","1218180243162370048")</f>
        <v>1218180243162370048</v>
      </c>
      <c r="F578" s="14"/>
      <c r="G578" s="13" t="s">
        <v>2903</v>
      </c>
      <c r="H578" s="14"/>
      <c r="I578" s="15">
        <v>0.0</v>
      </c>
      <c r="J578" s="15">
        <v>0.0</v>
      </c>
      <c r="K578" s="12" t="str">
        <f>HYPERLINK("http://twitter.com/download/android","Twitter for Android")</f>
        <v>Twitter for Android</v>
      </c>
      <c r="L578" s="16">
        <v>291.0</v>
      </c>
      <c r="M578" s="16">
        <v>921.0</v>
      </c>
      <c r="N578" s="16">
        <v>5.0</v>
      </c>
      <c r="O578" s="17"/>
      <c r="P578" s="18">
        <v>39925.49202546296</v>
      </c>
      <c r="Q578" s="1" t="s">
        <v>2904</v>
      </c>
      <c r="R578" s="1" t="s">
        <v>2905</v>
      </c>
      <c r="S578" s="13" t="s">
        <v>2906</v>
      </c>
      <c r="T578" s="14"/>
      <c r="U578" s="19" t="str">
        <f>HYPERLINK("https://pbs.twimg.com/profile_images/829345790489456640/ShfZutpm.jpg","View")</f>
        <v>View</v>
      </c>
      <c r="V578" s="14"/>
      <c r="W578" s="14"/>
      <c r="X578" s="14"/>
      <c r="Y578" s="14"/>
      <c r="Z578" s="14"/>
    </row>
    <row r="579">
      <c r="A579" s="11">
        <v>43847.39670138889</v>
      </c>
      <c r="B579" s="12" t="str">
        <f>HYPERLINK("https://twitter.com/Tiinafbt","@Tiinafbt")</f>
        <v>@Tiinafbt</v>
      </c>
      <c r="C579" s="1" t="s">
        <v>2907</v>
      </c>
      <c r="D579" s="1" t="s">
        <v>2908</v>
      </c>
      <c r="E579" s="12" t="str">
        <f>HYPERLINK("https://twitter.com/Tiinafbt/status/1218178975492726785","1218178975492726785")</f>
        <v>1218178975492726785</v>
      </c>
      <c r="F579" s="14"/>
      <c r="G579" s="13" t="s">
        <v>2909</v>
      </c>
      <c r="H579" s="14"/>
      <c r="I579" s="15">
        <v>0.0</v>
      </c>
      <c r="J579" s="15">
        <v>2.0</v>
      </c>
      <c r="K579" s="12" t="str">
        <f>HYPERLINK("http://twitter.com/download/iphone","Twitter for iPhone")</f>
        <v>Twitter for iPhone</v>
      </c>
      <c r="L579" s="16">
        <v>458.0</v>
      </c>
      <c r="M579" s="16">
        <v>105.0</v>
      </c>
      <c r="N579" s="16">
        <v>21.0</v>
      </c>
      <c r="O579" s="17"/>
      <c r="P579" s="18">
        <v>41319.24606481481</v>
      </c>
      <c r="Q579" s="1" t="s">
        <v>2910</v>
      </c>
      <c r="R579" s="1" t="s">
        <v>2911</v>
      </c>
      <c r="S579" s="13" t="s">
        <v>2912</v>
      </c>
      <c r="T579" s="14"/>
      <c r="U579" s="19" t="str">
        <f>HYPERLINK("https://pbs.twimg.com/profile_images/931160906205138944/6wfklVH8.jpg","View")</f>
        <v>View</v>
      </c>
      <c r="V579" s="14"/>
      <c r="W579" s="14"/>
      <c r="X579" s="14"/>
      <c r="Y579" s="14"/>
      <c r="Z579" s="14"/>
    </row>
    <row r="580">
      <c r="A580" s="11">
        <v>43847.396157407406</v>
      </c>
      <c r="B580" s="12" t="str">
        <f>HYPERLINK("https://twitter.com/AmericanMale01","@AmericanMale01")</f>
        <v>@AmericanMale01</v>
      </c>
      <c r="C580" s="1" t="s">
        <v>2913</v>
      </c>
      <c r="D580" s="1" t="s">
        <v>2914</v>
      </c>
      <c r="E580" s="12" t="str">
        <f>HYPERLINK("https://twitter.com/AmericanMale01/status/1218178782072360961","1218178782072360961")</f>
        <v>1218178782072360961</v>
      </c>
      <c r="F580" s="13" t="s">
        <v>2915</v>
      </c>
      <c r="G580" s="13" t="s">
        <v>2916</v>
      </c>
      <c r="H580" s="14"/>
      <c r="I580" s="15">
        <v>0.0</v>
      </c>
      <c r="J580" s="15">
        <v>0.0</v>
      </c>
      <c r="K580" s="12" t="str">
        <f>HYPERLINK("https://www.hootsuite.com","Hootsuite Inc.")</f>
        <v>Hootsuite Inc.</v>
      </c>
      <c r="L580" s="16">
        <v>2488.0</v>
      </c>
      <c r="M580" s="16">
        <v>3489.0</v>
      </c>
      <c r="N580" s="16">
        <v>23.0</v>
      </c>
      <c r="O580" s="17"/>
      <c r="P580" s="18">
        <v>42215.8962962963</v>
      </c>
      <c r="Q580" s="1" t="s">
        <v>56</v>
      </c>
      <c r="R580" s="1" t="s">
        <v>2917</v>
      </c>
      <c r="S580" s="13" t="s">
        <v>2918</v>
      </c>
      <c r="T580" s="14"/>
      <c r="U580" s="19" t="str">
        <f>HYPERLINK("https://pbs.twimg.com/profile_images/730329321416445952/4COi2bP8.jpg","View")</f>
        <v>View</v>
      </c>
      <c r="V580" s="14"/>
      <c r="W580" s="14"/>
      <c r="X580" s="14"/>
      <c r="Y580" s="14"/>
      <c r="Z580" s="14"/>
    </row>
    <row r="581">
      <c r="A581" s="11">
        <v>43847.39587962963</v>
      </c>
      <c r="B581" s="12" t="str">
        <f>HYPERLINK("https://twitter.com/HerbalGardenFL","@HerbalGardenFL")</f>
        <v>@HerbalGardenFL</v>
      </c>
      <c r="C581" s="1" t="s">
        <v>1803</v>
      </c>
      <c r="D581" s="1" t="s">
        <v>2919</v>
      </c>
      <c r="E581" s="12" t="str">
        <f>HYPERLINK("https://twitter.com/HerbalGardenFL/status/1218178680393957380","1218178680393957380")</f>
        <v>1218178680393957380</v>
      </c>
      <c r="F581" s="1" t="s">
        <v>2920</v>
      </c>
      <c r="G581" s="14"/>
      <c r="H581" s="14"/>
      <c r="I581" s="15">
        <v>0.0</v>
      </c>
      <c r="J581" s="15">
        <v>1.0</v>
      </c>
      <c r="K581" s="12" t="str">
        <f>HYPERLINK("https://kuku.io","Link account with KUKU.io")</f>
        <v>Link account with KUKU.io</v>
      </c>
      <c r="L581" s="16">
        <v>129.0</v>
      </c>
      <c r="M581" s="16">
        <v>90.0</v>
      </c>
      <c r="N581" s="16">
        <v>3.0</v>
      </c>
      <c r="O581" s="17"/>
      <c r="P581" s="18">
        <v>41130.93263888889</v>
      </c>
      <c r="Q581" s="1" t="s">
        <v>1806</v>
      </c>
      <c r="R581" s="1" t="s">
        <v>1807</v>
      </c>
      <c r="S581" s="13" t="s">
        <v>1808</v>
      </c>
      <c r="T581" s="14"/>
      <c r="U581" s="19" t="str">
        <f>HYPERLINK("https://pbs.twimg.com/profile_images/713345260160679936/WZnIHWw4.jpg","View")</f>
        <v>View</v>
      </c>
      <c r="V581" s="14"/>
      <c r="W581" s="14"/>
      <c r="X581" s="14"/>
      <c r="Y581" s="14"/>
      <c r="Z581" s="14"/>
    </row>
    <row r="582">
      <c r="A582" s="11">
        <v>43847.39583333333</v>
      </c>
      <c r="B582" s="12" t="str">
        <f>HYPERLINK("https://twitter.com/DrNicoleLipkin","@DrNicoleLipkin")</f>
        <v>@DrNicoleLipkin</v>
      </c>
      <c r="C582" s="1" t="s">
        <v>2921</v>
      </c>
      <c r="D582" s="1" t="s">
        <v>2922</v>
      </c>
      <c r="E582" s="12" t="str">
        <f>HYPERLINK("https://twitter.com/DrNicoleLipkin/status/1218178664212389889","1218178664212389889")</f>
        <v>1218178664212389889</v>
      </c>
      <c r="F582" s="13" t="s">
        <v>2923</v>
      </c>
      <c r="G582" s="13" t="s">
        <v>2924</v>
      </c>
      <c r="H582" s="14"/>
      <c r="I582" s="15">
        <v>1.0</v>
      </c>
      <c r="J582" s="15">
        <v>2.0</v>
      </c>
      <c r="K582" s="12" t="str">
        <f>HYPERLINK("https://missinglettr.com","Missinglettr")</f>
        <v>Missinglettr</v>
      </c>
      <c r="L582" s="16">
        <v>23336.0</v>
      </c>
      <c r="M582" s="16">
        <v>18545.0</v>
      </c>
      <c r="N582" s="16">
        <v>419.0</v>
      </c>
      <c r="O582" s="17"/>
      <c r="P582" s="18">
        <v>39904.94174768518</v>
      </c>
      <c r="Q582" s="1" t="s">
        <v>2925</v>
      </c>
      <c r="R582" s="1" t="s">
        <v>2926</v>
      </c>
      <c r="S582" s="13" t="s">
        <v>2927</v>
      </c>
      <c r="T582" s="14"/>
      <c r="U582" s="19" t="str">
        <f>HYPERLINK("https://pbs.twimg.com/profile_images/899756345838186496/kMjy6HN2.jpg","View")</f>
        <v>View</v>
      </c>
      <c r="V582" s="14"/>
      <c r="W582" s="14"/>
      <c r="X582" s="14"/>
      <c r="Y582" s="14"/>
      <c r="Z582" s="14"/>
    </row>
    <row r="583">
      <c r="A583" s="11">
        <v>43847.393587962964</v>
      </c>
      <c r="B583" s="12" t="str">
        <f>HYPERLINK("https://twitter.com/WilksMillion","@WilksMillion")</f>
        <v>@WilksMillion</v>
      </c>
      <c r="C583" s="1" t="s">
        <v>2928</v>
      </c>
      <c r="D583" s="1" t="s">
        <v>2929</v>
      </c>
      <c r="E583" s="12" t="str">
        <f>HYPERLINK("https://twitter.com/WilksMillion/status/1218177849502457856","1218177849502457856")</f>
        <v>1218177849502457856</v>
      </c>
      <c r="F583" s="14"/>
      <c r="G583" s="14"/>
      <c r="H583" s="14"/>
      <c r="I583" s="15">
        <v>0.0</v>
      </c>
      <c r="J583" s="15">
        <v>0.0</v>
      </c>
      <c r="K583" s="12" t="str">
        <f>HYPERLINK("http://twitter.com/download/iphone","Twitter for iPhone")</f>
        <v>Twitter for iPhone</v>
      </c>
      <c r="L583" s="16">
        <v>747.0</v>
      </c>
      <c r="M583" s="16">
        <v>512.0</v>
      </c>
      <c r="N583" s="16">
        <v>35.0</v>
      </c>
      <c r="O583" s="17"/>
      <c r="P583" s="18">
        <v>40465.765648148146</v>
      </c>
      <c r="Q583" s="1" t="s">
        <v>2930</v>
      </c>
      <c r="R583" s="1" t="s">
        <v>2931</v>
      </c>
      <c r="S583" s="13" t="s">
        <v>2932</v>
      </c>
      <c r="T583" s="14"/>
      <c r="U583" s="19" t="str">
        <f>HYPERLINK("https://pbs.twimg.com/profile_images/1175453924788187143/-9SMninL.jpg","View")</f>
        <v>View</v>
      </c>
      <c r="V583" s="14"/>
      <c r="W583" s="14"/>
      <c r="X583" s="14"/>
      <c r="Y583" s="14"/>
      <c r="Z583" s="14"/>
    </row>
    <row r="584">
      <c r="A584" s="11">
        <v>43847.39299768519</v>
      </c>
      <c r="B584" s="12" t="str">
        <f>HYPERLINK("https://twitter.com/E_AppiahKusi","@E_AppiahKusi")</f>
        <v>@E_AppiahKusi</v>
      </c>
      <c r="C584" s="1" t="s">
        <v>2933</v>
      </c>
      <c r="D584" s="1" t="s">
        <v>2934</v>
      </c>
      <c r="E584" s="12" t="str">
        <f>HYPERLINK("https://twitter.com/E_AppiahKusi/status/1218177635366457345","1218177635366457345")</f>
        <v>1218177635366457345</v>
      </c>
      <c r="F584" s="13" t="s">
        <v>2935</v>
      </c>
      <c r="G584" s="14"/>
      <c r="H584" s="14"/>
      <c r="I584" s="15">
        <v>7.0</v>
      </c>
      <c r="J584" s="15">
        <v>15.0</v>
      </c>
      <c r="K584" s="12" t="str">
        <f>HYPERLINK("http://twitter.com/download/android","Twitter for Android")</f>
        <v>Twitter for Android</v>
      </c>
      <c r="L584" s="16">
        <v>582.0</v>
      </c>
      <c r="M584" s="16">
        <v>1034.0</v>
      </c>
      <c r="N584" s="16">
        <v>17.0</v>
      </c>
      <c r="O584" s="17"/>
      <c r="P584" s="18">
        <v>41803.45581018519</v>
      </c>
      <c r="Q584" s="1" t="s">
        <v>342</v>
      </c>
      <c r="R584" s="1" t="s">
        <v>2936</v>
      </c>
      <c r="S584" s="14"/>
      <c r="T584" s="14"/>
      <c r="U584" s="19" t="str">
        <f>HYPERLINK("https://pbs.twimg.com/profile_images/1158049039990046720/-28B0mR-.jpg","View")</f>
        <v>View</v>
      </c>
      <c r="V584" s="14"/>
      <c r="W584" s="14"/>
      <c r="X584" s="14"/>
      <c r="Y584" s="14"/>
      <c r="Z584" s="14"/>
    </row>
    <row r="585">
      <c r="A585" s="11">
        <v>43847.3922337963</v>
      </c>
      <c r="B585" s="12" t="str">
        <f>HYPERLINK("https://twitter.com/mylaxman","@mylaxman")</f>
        <v>@mylaxman</v>
      </c>
      <c r="C585" s="1" t="s">
        <v>2937</v>
      </c>
      <c r="D585" s="1" t="s">
        <v>2938</v>
      </c>
      <c r="E585" s="12" t="str">
        <f>HYPERLINK("https://twitter.com/mylaxman/status/1218177358496260100","1218177358496260100")</f>
        <v>1218177358496260100</v>
      </c>
      <c r="F585" s="13" t="s">
        <v>2939</v>
      </c>
      <c r="G585" s="13" t="s">
        <v>2940</v>
      </c>
      <c r="H585" s="14"/>
      <c r="I585" s="15">
        <v>0.0</v>
      </c>
      <c r="J585" s="15">
        <v>0.0</v>
      </c>
      <c r="K585" s="12" t="str">
        <f>HYPERLINK("https://www.hootsuite.com","Hootsuite Inc.")</f>
        <v>Hootsuite Inc.</v>
      </c>
      <c r="L585" s="16">
        <v>657.0</v>
      </c>
      <c r="M585" s="16">
        <v>776.0</v>
      </c>
      <c r="N585" s="16">
        <v>12.0</v>
      </c>
      <c r="O585" s="17"/>
      <c r="P585" s="18">
        <v>39898.19783564815</v>
      </c>
      <c r="Q585" s="1" t="s">
        <v>2941</v>
      </c>
      <c r="R585" s="1" t="s">
        <v>2942</v>
      </c>
      <c r="S585" s="13" t="s">
        <v>2943</v>
      </c>
      <c r="T585" s="14"/>
      <c r="U585" s="19" t="str">
        <f>HYPERLINK("https://pbs.twimg.com/profile_images/110609026/laxman.jpg","View")</f>
        <v>View</v>
      </c>
      <c r="V585" s="14"/>
      <c r="W585" s="14"/>
      <c r="X585" s="14"/>
      <c r="Y585" s="14"/>
      <c r="Z585" s="14"/>
    </row>
    <row r="586">
      <c r="A586" s="11">
        <v>43847.391064814816</v>
      </c>
      <c r="B586" s="12" t="str">
        <f>HYPERLINK("https://twitter.com/SherrillWHayes","@SherrillWHayes")</f>
        <v>@SherrillWHayes</v>
      </c>
      <c r="C586" s="1" t="s">
        <v>2944</v>
      </c>
      <c r="D586" s="1" t="s">
        <v>2945</v>
      </c>
      <c r="E586" s="12" t="str">
        <f>HYPERLINK("https://twitter.com/SherrillWHayes/status/1218176934754111490","1218176934754111490")</f>
        <v>1218176934754111490</v>
      </c>
      <c r="F586" s="13" t="s">
        <v>2946</v>
      </c>
      <c r="G586" s="14"/>
      <c r="H586" s="14"/>
      <c r="I586" s="15">
        <v>2.0</v>
      </c>
      <c r="J586" s="15">
        <v>0.0</v>
      </c>
      <c r="K586" s="12" t="str">
        <f t="shared" ref="K586:K587" si="58">HYPERLINK("https://mobile.twitter.com","Twitter Web App")</f>
        <v>Twitter Web App</v>
      </c>
      <c r="L586" s="16">
        <v>494.0</v>
      </c>
      <c r="M586" s="16">
        <v>1245.0</v>
      </c>
      <c r="N586" s="16">
        <v>16.0</v>
      </c>
      <c r="O586" s="17"/>
      <c r="P586" s="18">
        <v>41615.383784722224</v>
      </c>
      <c r="Q586" s="1" t="s">
        <v>550</v>
      </c>
      <c r="R586" s="1" t="s">
        <v>2947</v>
      </c>
      <c r="S586" s="13" t="s">
        <v>2948</v>
      </c>
      <c r="T586" s="14"/>
      <c r="U586" s="19" t="str">
        <f>HYPERLINK("https://pbs.twimg.com/profile_images/1123974591662182405/VDwUaYYL.jpg","View")</f>
        <v>View</v>
      </c>
      <c r="V586" s="14"/>
      <c r="W586" s="14"/>
      <c r="X586" s="14"/>
      <c r="Y586" s="14"/>
      <c r="Z586" s="14"/>
    </row>
    <row r="587">
      <c r="A587" s="11">
        <v>43847.39076388889</v>
      </c>
      <c r="B587" s="12" t="str">
        <f>HYPERLINK("https://twitter.com/We_Are_Aspire","@We_Are_Aspire")</f>
        <v>@We_Are_Aspire</v>
      </c>
      <c r="C587" s="1" t="s">
        <v>2949</v>
      </c>
      <c r="D587" s="1" t="s">
        <v>2950</v>
      </c>
      <c r="E587" s="12" t="str">
        <f>HYPERLINK("https://twitter.com/We_Are_Aspire/status/1218176824230006784","1218176824230006784")</f>
        <v>1218176824230006784</v>
      </c>
      <c r="F587" s="13" t="s">
        <v>2951</v>
      </c>
      <c r="G587" s="14"/>
      <c r="H587" s="14"/>
      <c r="I587" s="15">
        <v>2.0</v>
      </c>
      <c r="J587" s="15">
        <v>0.0</v>
      </c>
      <c r="K587" s="12" t="str">
        <f t="shared" si="58"/>
        <v>Twitter Web App</v>
      </c>
      <c r="L587" s="16">
        <v>12983.0</v>
      </c>
      <c r="M587" s="16">
        <v>238.0</v>
      </c>
      <c r="N587" s="16">
        <v>590.0</v>
      </c>
      <c r="O587" s="17"/>
      <c r="P587" s="18">
        <v>40387.23673611111</v>
      </c>
      <c r="Q587" s="1" t="s">
        <v>342</v>
      </c>
      <c r="R587" s="1" t="s">
        <v>2952</v>
      </c>
      <c r="S587" s="13" t="s">
        <v>2953</v>
      </c>
      <c r="T587" s="14"/>
      <c r="U587" s="19" t="str">
        <f>HYPERLINK("https://pbs.twimg.com/profile_images/552032485429620739/YUP3sIff.jpeg","View")</f>
        <v>View</v>
      </c>
      <c r="V587" s="14"/>
      <c r="W587" s="14"/>
      <c r="X587" s="14"/>
      <c r="Y587" s="14"/>
      <c r="Z587" s="14"/>
    </row>
    <row r="588">
      <c r="A588" s="11">
        <v>43847.389652777776</v>
      </c>
      <c r="B588" s="12" t="str">
        <f>HYPERLINK("https://twitter.com/SelfLeadership1","@SelfLeadership1")</f>
        <v>@SelfLeadership1</v>
      </c>
      <c r="C588" s="1" t="s">
        <v>2954</v>
      </c>
      <c r="D588" s="1" t="s">
        <v>2955</v>
      </c>
      <c r="E588" s="12" t="str">
        <f>HYPERLINK("https://twitter.com/SelfLeadership1/status/1218176422516285441","1218176422516285441")</f>
        <v>1218176422516285441</v>
      </c>
      <c r="F588" s="13" t="s">
        <v>2956</v>
      </c>
      <c r="G588" s="14"/>
      <c r="H588" s="12" t="str">
        <f>HYPERLINK("https://ctrlq.org/maps/address/#53.80867479,-1.55140189","Map")</f>
        <v>Map</v>
      </c>
      <c r="I588" s="15">
        <v>0.0</v>
      </c>
      <c r="J588" s="15">
        <v>0.0</v>
      </c>
      <c r="K588" s="12" t="str">
        <f>HYPERLINK("http://instagram.com","Instagram")</f>
        <v>Instagram</v>
      </c>
      <c r="L588" s="16">
        <v>1067.0</v>
      </c>
      <c r="M588" s="16">
        <v>1479.0</v>
      </c>
      <c r="N588" s="16">
        <v>136.0</v>
      </c>
      <c r="O588" s="17"/>
      <c r="P588" s="18">
        <v>41943.26505787037</v>
      </c>
      <c r="Q588" s="1" t="s">
        <v>2957</v>
      </c>
      <c r="R588" s="1" t="s">
        <v>2958</v>
      </c>
      <c r="S588" s="13" t="s">
        <v>2959</v>
      </c>
      <c r="T588" s="14"/>
      <c r="U588" s="19" t="str">
        <f>HYPERLINK("https://pbs.twimg.com/profile_images/532248449085739009/wS42ApL3.jpeg","View")</f>
        <v>View</v>
      </c>
      <c r="V588" s="14"/>
      <c r="W588" s="14"/>
      <c r="X588" s="14"/>
      <c r="Y588" s="14"/>
      <c r="Z588" s="14"/>
    </row>
    <row r="589">
      <c r="A589" s="11">
        <v>43847.3890162037</v>
      </c>
      <c r="B589" s="12" t="str">
        <f>HYPERLINK("https://twitter.com/carambradley","@carambradley")</f>
        <v>@carambradley</v>
      </c>
      <c r="C589" s="1" t="s">
        <v>2960</v>
      </c>
      <c r="D589" s="1" t="s">
        <v>2961</v>
      </c>
      <c r="E589" s="12" t="str">
        <f>HYPERLINK("https://twitter.com/carambradley/status/1218176193792544769","1218176193792544769")</f>
        <v>1218176193792544769</v>
      </c>
      <c r="F589" s="14"/>
      <c r="G589" s="13" t="s">
        <v>2962</v>
      </c>
      <c r="H589" s="14"/>
      <c r="I589" s="15">
        <v>0.0</v>
      </c>
      <c r="J589" s="15">
        <v>2.0</v>
      </c>
      <c r="K589" s="12" t="str">
        <f>HYPERLINK("https://www.hootsuite.com","Hootsuite Inc.")</f>
        <v>Hootsuite Inc.</v>
      </c>
      <c r="L589" s="16">
        <v>6428.0</v>
      </c>
      <c r="M589" s="16">
        <v>2030.0</v>
      </c>
      <c r="N589" s="16">
        <v>55.0</v>
      </c>
      <c r="O589" s="17"/>
      <c r="P589" s="18">
        <v>41618.70853009259</v>
      </c>
      <c r="Q589" s="1" t="s">
        <v>2015</v>
      </c>
      <c r="R589" s="1" t="s">
        <v>2963</v>
      </c>
      <c r="S589" s="13" t="s">
        <v>2964</v>
      </c>
      <c r="T589" s="14"/>
      <c r="U589" s="19" t="str">
        <f>HYPERLINK("https://pbs.twimg.com/profile_images/999992389392523264/425hTmTB.jpg","View")</f>
        <v>View</v>
      </c>
      <c r="V589" s="14"/>
      <c r="W589" s="14"/>
      <c r="X589" s="14"/>
      <c r="Y589" s="14"/>
      <c r="Z589" s="14"/>
    </row>
    <row r="590">
      <c r="A590" s="11">
        <v>43847.38888888889</v>
      </c>
      <c r="B590" s="12" t="str">
        <f>HYPERLINK("https://twitter.com/TrainingMindful","@TrainingMindful")</f>
        <v>@TrainingMindful</v>
      </c>
      <c r="C590" s="1" t="s">
        <v>94</v>
      </c>
      <c r="D590" s="1" t="s">
        <v>2965</v>
      </c>
      <c r="E590" s="12" t="str">
        <f>HYPERLINK("https://twitter.com/TrainingMindful/status/1218176147164405761","1218176147164405761")</f>
        <v>1218176147164405761</v>
      </c>
      <c r="F590" s="13" t="s">
        <v>2966</v>
      </c>
      <c r="G590" s="14"/>
      <c r="H590" s="14"/>
      <c r="I590" s="15">
        <v>1.0</v>
      </c>
      <c r="J590" s="15">
        <v>3.0</v>
      </c>
      <c r="K590" s="12" t="str">
        <f>HYPERLINK("https://www.socialoomph.com","SocialOomph")</f>
        <v>SocialOomph</v>
      </c>
      <c r="L590" s="16">
        <v>185303.0</v>
      </c>
      <c r="M590" s="16">
        <v>43980.0</v>
      </c>
      <c r="N590" s="16">
        <v>2800.0</v>
      </c>
      <c r="O590" s="17"/>
      <c r="P590" s="18">
        <v>41286.039305555554</v>
      </c>
      <c r="Q590" s="1" t="s">
        <v>97</v>
      </c>
      <c r="R590" s="1" t="s">
        <v>98</v>
      </c>
      <c r="S590" s="13" t="s">
        <v>99</v>
      </c>
      <c r="T590" s="14"/>
      <c r="U590" s="19" t="str">
        <f>HYPERLINK("https://pbs.twimg.com/profile_images/566526924059459584/gdMxDA9x.jpeg","View")</f>
        <v>View</v>
      </c>
      <c r="V590" s="14"/>
      <c r="W590" s="14"/>
      <c r="X590" s="14"/>
      <c r="Y590" s="14"/>
      <c r="Z590" s="14"/>
    </row>
    <row r="591">
      <c r="A591" s="11">
        <v>43847.38740740741</v>
      </c>
      <c r="B591" s="12" t="str">
        <f>HYPERLINK("https://twitter.com/Mersey_Care","@Mersey_Care")</f>
        <v>@Mersey_Care</v>
      </c>
      <c r="C591" s="1" t="s">
        <v>2967</v>
      </c>
      <c r="D591" s="1" t="s">
        <v>2968</v>
      </c>
      <c r="E591" s="12" t="str">
        <f>HYPERLINK("https://twitter.com/Mersey_Care/status/1218175607864987648","1218175607864987648")</f>
        <v>1218175607864987648</v>
      </c>
      <c r="F591" s="13" t="s">
        <v>2969</v>
      </c>
      <c r="G591" s="13" t="s">
        <v>2970</v>
      </c>
      <c r="H591" s="14"/>
      <c r="I591" s="15">
        <v>4.0</v>
      </c>
      <c r="J591" s="15">
        <v>6.0</v>
      </c>
      <c r="K591" s="12" t="str">
        <f>HYPERLINK("https://mobile.twitter.com","Twitter Web App")</f>
        <v>Twitter Web App</v>
      </c>
      <c r="L591" s="16">
        <v>9530.0</v>
      </c>
      <c r="M591" s="16">
        <v>801.0</v>
      </c>
      <c r="N591" s="16">
        <v>116.0</v>
      </c>
      <c r="O591" s="17"/>
      <c r="P591" s="18">
        <v>41152.37763888889</v>
      </c>
      <c r="Q591" s="1" t="s">
        <v>2971</v>
      </c>
      <c r="R591" s="1" t="s">
        <v>2972</v>
      </c>
      <c r="S591" s="13" t="s">
        <v>2973</v>
      </c>
      <c r="T591" s="14"/>
      <c r="U591" s="19" t="str">
        <f>HYPERLINK("https://pbs.twimg.com/profile_images/1100428446054924289/EgjtpKkl.png","View")</f>
        <v>View</v>
      </c>
      <c r="V591" s="14"/>
      <c r="W591" s="14"/>
      <c r="X591" s="14"/>
      <c r="Y591" s="14"/>
      <c r="Z591" s="14"/>
    </row>
    <row r="592">
      <c r="A592" s="11">
        <v>43847.38547453703</v>
      </c>
      <c r="B592" s="12" t="str">
        <f>HYPERLINK("https://twitter.com/CrawlStand","@CrawlStand")</f>
        <v>@CrawlStand</v>
      </c>
      <c r="C592" s="1" t="s">
        <v>2974</v>
      </c>
      <c r="D592" s="1" t="s">
        <v>2975</v>
      </c>
      <c r="E592" s="12" t="str">
        <f>HYPERLINK("https://twitter.com/CrawlStand/status/1218174909123383297","1218174909123383297")</f>
        <v>1218174909123383297</v>
      </c>
      <c r="F592" s="13" t="s">
        <v>2976</v>
      </c>
      <c r="G592" s="13" t="s">
        <v>2977</v>
      </c>
      <c r="H592" s="14"/>
      <c r="I592" s="15">
        <v>1.0</v>
      </c>
      <c r="J592" s="15">
        <v>0.0</v>
      </c>
      <c r="K592" s="12" t="str">
        <f>HYPERLINK("https://buffer.com","Buffer")</f>
        <v>Buffer</v>
      </c>
      <c r="L592" s="16">
        <v>169.0</v>
      </c>
      <c r="M592" s="16">
        <v>509.0</v>
      </c>
      <c r="N592" s="16">
        <v>1.0</v>
      </c>
      <c r="O592" s="17"/>
      <c r="P592" s="18">
        <v>43297.41751157407</v>
      </c>
      <c r="Q592" s="1" t="s">
        <v>2978</v>
      </c>
      <c r="R592" s="1" t="s">
        <v>2979</v>
      </c>
      <c r="S592" s="14"/>
      <c r="T592" s="14"/>
      <c r="U592" s="19" t="str">
        <f>HYPERLINK("https://pbs.twimg.com/profile_images/1018860481061183488/NBSmhMgd.jpg","View")</f>
        <v>View</v>
      </c>
      <c r="V592" s="14"/>
      <c r="W592" s="14"/>
      <c r="X592" s="14"/>
      <c r="Y592" s="14"/>
      <c r="Z592" s="14"/>
    </row>
    <row r="593">
      <c r="A593" s="11">
        <v>43847.385104166664</v>
      </c>
      <c r="B593" s="12" t="str">
        <f>HYPERLINK("https://twitter.com/PrinceQuebecois","@PrinceQuebecois")</f>
        <v>@PrinceQuebecois</v>
      </c>
      <c r="C593" s="1" t="s">
        <v>2980</v>
      </c>
      <c r="D593" s="1" t="s">
        <v>2981</v>
      </c>
      <c r="E593" s="12" t="str">
        <f>HYPERLINK("https://twitter.com/PrinceQuebecois/status/1218174775492825088","1218174775492825088")</f>
        <v>1218174775492825088</v>
      </c>
      <c r="F593" s="14"/>
      <c r="G593" s="14"/>
      <c r="H593" s="14"/>
      <c r="I593" s="15">
        <v>0.0</v>
      </c>
      <c r="J593" s="15">
        <v>0.0</v>
      </c>
      <c r="K593" s="12" t="str">
        <f>HYPERLINK("http://twitter.com/download/android","Twitter for Android")</f>
        <v>Twitter for Android</v>
      </c>
      <c r="L593" s="16">
        <v>164.0</v>
      </c>
      <c r="M593" s="16">
        <v>199.0</v>
      </c>
      <c r="N593" s="16">
        <v>0.0</v>
      </c>
      <c r="O593" s="17"/>
      <c r="P593" s="18">
        <v>43002.77916666667</v>
      </c>
      <c r="Q593" s="1" t="s">
        <v>2982</v>
      </c>
      <c r="R593" s="1" t="s">
        <v>2983</v>
      </c>
      <c r="S593" s="14"/>
      <c r="T593" s="14"/>
      <c r="U593" s="19" t="str">
        <f>HYPERLINK("https://pbs.twimg.com/profile_images/1217541337186258946/5UYcNlBh.jpg","View")</f>
        <v>View</v>
      </c>
      <c r="V593" s="14"/>
      <c r="W593" s="14"/>
      <c r="X593" s="14"/>
      <c r="Y593" s="14"/>
      <c r="Z593" s="14"/>
    </row>
    <row r="594">
      <c r="A594" s="11">
        <v>43847.38350694445</v>
      </c>
      <c r="B594" s="12" t="str">
        <f>HYPERLINK("https://twitter.com/bmcc265","@bmcc265")</f>
        <v>@bmcc265</v>
      </c>
      <c r="C594" s="1" t="s">
        <v>2984</v>
      </c>
      <c r="D594" s="1" t="s">
        <v>2985</v>
      </c>
      <c r="E594" s="12" t="str">
        <f>HYPERLINK("https://twitter.com/bmcc265/status/1218174196699803648","1218174196699803648")</f>
        <v>1218174196699803648</v>
      </c>
      <c r="F594" s="14"/>
      <c r="G594" s="13" t="s">
        <v>2986</v>
      </c>
      <c r="H594" s="14"/>
      <c r="I594" s="15">
        <v>1.0</v>
      </c>
      <c r="J594" s="15">
        <v>1.0</v>
      </c>
      <c r="K594" s="12" t="str">
        <f>HYPERLINK("https://www.socialjukebox.com","The Social Jukebox")</f>
        <v>The Social Jukebox</v>
      </c>
      <c r="L594" s="16">
        <v>12895.0</v>
      </c>
      <c r="M594" s="16">
        <v>12208.0</v>
      </c>
      <c r="N594" s="16">
        <v>1130.0</v>
      </c>
      <c r="O594" s="17"/>
      <c r="P594" s="18">
        <v>39503.54392361111</v>
      </c>
      <c r="Q594" s="1" t="s">
        <v>2987</v>
      </c>
      <c r="R594" s="1" t="s">
        <v>2988</v>
      </c>
      <c r="S594" s="13" t="s">
        <v>2989</v>
      </c>
      <c r="T594" s="14"/>
      <c r="U594" s="19" t="str">
        <f>HYPERLINK("https://pbs.twimg.com/profile_images/723989239382208512/ktFbvR5K.jpg","View")</f>
        <v>View</v>
      </c>
      <c r="V594" s="14"/>
      <c r="W594" s="14"/>
      <c r="X594" s="14"/>
      <c r="Y594" s="14"/>
      <c r="Z594" s="14"/>
    </row>
    <row r="595">
      <c r="A595" s="11">
        <v>43847.38329861111</v>
      </c>
      <c r="B595" s="12" t="str">
        <f>HYPERLINK("https://twitter.com/alycewellons","@alycewellons")</f>
        <v>@alycewellons</v>
      </c>
      <c r="C595" s="1" t="s">
        <v>2990</v>
      </c>
      <c r="D595" s="1" t="s">
        <v>2991</v>
      </c>
      <c r="E595" s="12" t="str">
        <f>HYPERLINK("https://twitter.com/alycewellons/status/1218174121399537664","1218174121399537664")</f>
        <v>1218174121399537664</v>
      </c>
      <c r="F595" s="13" t="s">
        <v>2992</v>
      </c>
      <c r="G595" s="14"/>
      <c r="H595" s="14"/>
      <c r="I595" s="15">
        <v>0.0</v>
      </c>
      <c r="J595" s="15">
        <v>0.0</v>
      </c>
      <c r="K595" s="12" t="str">
        <f>HYPERLINK("http://instagram.com","Instagram")</f>
        <v>Instagram</v>
      </c>
      <c r="L595" s="16">
        <v>87.0</v>
      </c>
      <c r="M595" s="16">
        <v>349.0</v>
      </c>
      <c r="N595" s="16">
        <v>8.0</v>
      </c>
      <c r="O595" s="17"/>
      <c r="P595" s="18">
        <v>40108.89787037037</v>
      </c>
      <c r="Q595" s="1" t="s">
        <v>550</v>
      </c>
      <c r="R595" s="14"/>
      <c r="S595" s="13" t="s">
        <v>2993</v>
      </c>
      <c r="T595" s="14"/>
      <c r="U595" s="19" t="str">
        <f>HYPERLINK("https://pbs.twimg.com/profile_images/1066416627120369664/WN83MLTH.jpg","View")</f>
        <v>View</v>
      </c>
      <c r="V595" s="14"/>
      <c r="W595" s="14"/>
      <c r="X595" s="14"/>
      <c r="Y595" s="14"/>
      <c r="Z595" s="14"/>
    </row>
    <row r="596">
      <c r="A596" s="11">
        <v>43847.379895833335</v>
      </c>
      <c r="B596" s="12" t="str">
        <f>HYPERLINK("https://twitter.com/Horsesmouth_FA","@Horsesmouth_FA")</f>
        <v>@Horsesmouth_FA</v>
      </c>
      <c r="C596" s="1" t="s">
        <v>2994</v>
      </c>
      <c r="D596" s="1" t="s">
        <v>2995</v>
      </c>
      <c r="E596" s="12" t="str">
        <f>HYPERLINK("https://twitter.com/Horsesmouth_FA/status/1218172887032614914","1218172887032614914")</f>
        <v>1218172887032614914</v>
      </c>
      <c r="F596" s="13" t="s">
        <v>2996</v>
      </c>
      <c r="G596" s="14"/>
      <c r="H596" s="14"/>
      <c r="I596" s="15">
        <v>0.0</v>
      </c>
      <c r="J596" s="15">
        <v>0.0</v>
      </c>
      <c r="K596" s="12" t="str">
        <f>HYPERLINK("https://mobile.twitter.com","Twitter Web App")</f>
        <v>Twitter Web App</v>
      </c>
      <c r="L596" s="16">
        <v>2433.0</v>
      </c>
      <c r="M596" s="16">
        <v>172.0</v>
      </c>
      <c r="N596" s="16">
        <v>94.0</v>
      </c>
      <c r="O596" s="17"/>
      <c r="P596" s="18">
        <v>39924.701840277776</v>
      </c>
      <c r="Q596" s="1" t="s">
        <v>2997</v>
      </c>
      <c r="R596" s="1" t="s">
        <v>2998</v>
      </c>
      <c r="S596" s="13" t="s">
        <v>2999</v>
      </c>
      <c r="T596" s="14"/>
      <c r="U596" s="19" t="str">
        <f>HYPERLINK("https://pbs.twimg.com/profile_images/892807903295483907/I3iIsuzy.jpg","View")</f>
        <v>View</v>
      </c>
      <c r="V596" s="14"/>
      <c r="W596" s="14"/>
      <c r="X596" s="14"/>
      <c r="Y596" s="14"/>
      <c r="Z596" s="14"/>
    </row>
    <row r="597">
      <c r="A597" s="11">
        <v>43847.37821759259</v>
      </c>
      <c r="B597" s="12" t="str">
        <f>HYPERLINK("https://twitter.com/mBIT4success","@mBIT4success")</f>
        <v>@mBIT4success</v>
      </c>
      <c r="C597" s="1" t="s">
        <v>3000</v>
      </c>
      <c r="D597" s="1" t="s">
        <v>3001</v>
      </c>
      <c r="E597" s="12" t="str">
        <f>HYPERLINK("https://twitter.com/mBIT4success/status/1218172277155684354","1218172277155684354")</f>
        <v>1218172277155684354</v>
      </c>
      <c r="F597" s="1" t="s">
        <v>3002</v>
      </c>
      <c r="G597" s="14"/>
      <c r="H597" s="14"/>
      <c r="I597" s="15">
        <v>0.0</v>
      </c>
      <c r="J597" s="15">
        <v>0.0</v>
      </c>
      <c r="K597" s="12" t="str">
        <f>HYPERLINK("http://twitter.com/#!/download/ipad","Twitter for iPad")</f>
        <v>Twitter for iPad</v>
      </c>
      <c r="L597" s="16">
        <v>795.0</v>
      </c>
      <c r="M597" s="16">
        <v>645.0</v>
      </c>
      <c r="N597" s="16">
        <v>82.0</v>
      </c>
      <c r="O597" s="17"/>
      <c r="P597" s="18">
        <v>41418.204618055555</v>
      </c>
      <c r="Q597" s="1" t="s">
        <v>3003</v>
      </c>
      <c r="R597" s="1" t="s">
        <v>3004</v>
      </c>
      <c r="S597" s="13" t="s">
        <v>3005</v>
      </c>
      <c r="T597" s="14"/>
      <c r="U597" s="19" t="str">
        <f>HYPERLINK("https://pbs.twimg.com/profile_images/378800000140155399/c453613fa41c5099d84b894b496158a7.jpeg","View")</f>
        <v>View</v>
      </c>
      <c r="V597" s="14"/>
      <c r="W597" s="14"/>
      <c r="X597" s="14"/>
      <c r="Y597" s="14"/>
      <c r="Z597" s="14"/>
    </row>
    <row r="598">
      <c r="A598" s="11">
        <v>43847.376550925925</v>
      </c>
      <c r="B598" s="12" t="str">
        <f>HYPERLINK("https://twitter.com/StayYoungMedia","@StayYoungMedia")</f>
        <v>@StayYoungMedia</v>
      </c>
      <c r="C598" s="1" t="s">
        <v>3006</v>
      </c>
      <c r="D598" s="1" t="s">
        <v>3007</v>
      </c>
      <c r="E598" s="12" t="str">
        <f>HYPERLINK("https://twitter.com/StayYoungMedia/status/1218171674702512128","1218171674702512128")</f>
        <v>1218171674702512128</v>
      </c>
      <c r="F598" s="13" t="s">
        <v>3008</v>
      </c>
      <c r="G598" s="14"/>
      <c r="H598" s="14"/>
      <c r="I598" s="15">
        <v>0.0</v>
      </c>
      <c r="J598" s="15">
        <v>1.0</v>
      </c>
      <c r="K598" s="12" t="str">
        <f>HYPERLINK("https://www.hootsuite.com","Hootsuite Inc.")</f>
        <v>Hootsuite Inc.</v>
      </c>
      <c r="L598" s="16">
        <v>23992.0</v>
      </c>
      <c r="M598" s="16">
        <v>5015.0</v>
      </c>
      <c r="N598" s="16">
        <v>571.0</v>
      </c>
      <c r="O598" s="17"/>
      <c r="P598" s="18">
        <v>42191.51248842593</v>
      </c>
      <c r="Q598" s="1" t="s">
        <v>226</v>
      </c>
      <c r="R598" s="1" t="s">
        <v>3009</v>
      </c>
      <c r="S598" s="13" t="s">
        <v>3010</v>
      </c>
      <c r="T598" s="14"/>
      <c r="U598" s="19" t="str">
        <f>HYPERLINK("https://pbs.twimg.com/profile_images/618119359450320896/g6FQ7V8T.jpg","View")</f>
        <v>View</v>
      </c>
      <c r="V598" s="14"/>
      <c r="W598" s="14"/>
      <c r="X598" s="14"/>
      <c r="Y598" s="14"/>
      <c r="Z598" s="14"/>
    </row>
    <row r="599">
      <c r="A599" s="11">
        <v>43847.37451388889</v>
      </c>
      <c r="B599" s="12" t="str">
        <f>HYPERLINK("https://twitter.com/AnthonyBoucard","@AnthonyBoucard")</f>
        <v>@AnthonyBoucard</v>
      </c>
      <c r="C599" s="1" t="s">
        <v>2068</v>
      </c>
      <c r="D599" s="1" t="s">
        <v>2586</v>
      </c>
      <c r="E599" s="12" t="str">
        <f>HYPERLINK("https://twitter.com/AnthonyBoucard/status/1218170935427112960","1218170935427112960")</f>
        <v>1218170935427112960</v>
      </c>
      <c r="F599" s="14"/>
      <c r="G599" s="14"/>
      <c r="H599" s="14"/>
      <c r="I599" s="15">
        <v>0.0</v>
      </c>
      <c r="J599" s="15">
        <v>1.0</v>
      </c>
      <c r="K599" s="12" t="str">
        <f t="shared" ref="K599:K602" si="59">HYPERLINK("https://mobile.twitter.com","Twitter Web App")</f>
        <v>Twitter Web App</v>
      </c>
      <c r="L599" s="16">
        <v>216.0</v>
      </c>
      <c r="M599" s="16">
        <v>1234.0</v>
      </c>
      <c r="N599" s="16">
        <v>1.0</v>
      </c>
      <c r="O599" s="17"/>
      <c r="P599" s="18">
        <v>43605.559953703705</v>
      </c>
      <c r="Q599" s="1" t="s">
        <v>2070</v>
      </c>
      <c r="R599" s="1" t="s">
        <v>2071</v>
      </c>
      <c r="S599" s="13" t="s">
        <v>2072</v>
      </c>
      <c r="T599" s="14"/>
      <c r="U599" s="19" t="str">
        <f>HYPERLINK("https://pbs.twimg.com/profile_images/1212838182829641728/MYcMidc4.jpg","View")</f>
        <v>View</v>
      </c>
      <c r="V599" s="14"/>
      <c r="W599" s="14"/>
      <c r="X599" s="14"/>
      <c r="Y599" s="14"/>
      <c r="Z599" s="14"/>
    </row>
    <row r="600">
      <c r="A600" s="11">
        <v>43847.37065972222</v>
      </c>
      <c r="B600" s="12" t="str">
        <f>HYPERLINK("https://twitter.com/philosofarmer","@philosofarmer")</f>
        <v>@philosofarmer</v>
      </c>
      <c r="C600" s="1" t="s">
        <v>3011</v>
      </c>
      <c r="D600" s="1" t="s">
        <v>3012</v>
      </c>
      <c r="E600" s="12" t="str">
        <f>HYPERLINK("https://twitter.com/philosofarmer/status/1218169541148205057","1218169541148205057")</f>
        <v>1218169541148205057</v>
      </c>
      <c r="F600" s="14"/>
      <c r="G600" s="13" t="s">
        <v>3013</v>
      </c>
      <c r="H600" s="14"/>
      <c r="I600" s="15">
        <v>1.0</v>
      </c>
      <c r="J600" s="15">
        <v>3.0</v>
      </c>
      <c r="K600" s="12" t="str">
        <f t="shared" si="59"/>
        <v>Twitter Web App</v>
      </c>
      <c r="L600" s="16">
        <v>2828.0</v>
      </c>
      <c r="M600" s="16">
        <v>3593.0</v>
      </c>
      <c r="N600" s="16">
        <v>35.0</v>
      </c>
      <c r="O600" s="17"/>
      <c r="P600" s="18">
        <v>40847.66815972222</v>
      </c>
      <c r="Q600" s="1" t="s">
        <v>3014</v>
      </c>
      <c r="R600" s="1" t="s">
        <v>3015</v>
      </c>
      <c r="S600" s="13" t="s">
        <v>3016</v>
      </c>
      <c r="T600" s="14"/>
      <c r="U600" s="19" t="str">
        <f>HYPERLINK("https://pbs.twimg.com/profile_images/993948903304151040/jca3Nt60.jpg","View")</f>
        <v>View</v>
      </c>
      <c r="V600" s="14"/>
      <c r="W600" s="14"/>
      <c r="X600" s="14"/>
      <c r="Y600" s="14"/>
      <c r="Z600" s="14"/>
    </row>
    <row r="601">
      <c r="A601" s="11">
        <v>43847.37059027777</v>
      </c>
      <c r="B601" s="12" t="str">
        <f>HYPERLINK("https://twitter.com/JulieBurkeWatts","@JulieBurkeWatts")</f>
        <v>@JulieBurkeWatts</v>
      </c>
      <c r="C601" s="1" t="s">
        <v>2863</v>
      </c>
      <c r="D601" s="1" t="s">
        <v>3017</v>
      </c>
      <c r="E601" s="12" t="str">
        <f>HYPERLINK("https://twitter.com/JulieBurkeWatts/status/1218169514229207040","1218169514229207040")</f>
        <v>1218169514229207040</v>
      </c>
      <c r="F601" s="14"/>
      <c r="G601" s="14"/>
      <c r="H601" s="14"/>
      <c r="I601" s="15">
        <v>0.0</v>
      </c>
      <c r="J601" s="15">
        <v>3.0</v>
      </c>
      <c r="K601" s="12" t="str">
        <f t="shared" si="59"/>
        <v>Twitter Web App</v>
      </c>
      <c r="L601" s="16">
        <v>1006.0</v>
      </c>
      <c r="M601" s="16">
        <v>4408.0</v>
      </c>
      <c r="N601" s="16">
        <v>23.0</v>
      </c>
      <c r="O601" s="17"/>
      <c r="P601" s="18">
        <v>41720.329039351855</v>
      </c>
      <c r="Q601" s="1" t="s">
        <v>268</v>
      </c>
      <c r="R601" s="1" t="s">
        <v>2866</v>
      </c>
      <c r="S601" s="13" t="s">
        <v>2867</v>
      </c>
      <c r="T601" s="14"/>
      <c r="U601" s="19" t="str">
        <f>HYPERLINK("https://pbs.twimg.com/profile_images/1185876004872564738/zBtBq_iB.jpg","View")</f>
        <v>View</v>
      </c>
      <c r="V601" s="14"/>
      <c r="W601" s="14"/>
      <c r="X601" s="14"/>
      <c r="Y601" s="14"/>
      <c r="Z601" s="14"/>
    </row>
    <row r="602">
      <c r="A602" s="11">
        <v>43847.37039351852</v>
      </c>
      <c r="B602" s="12" t="str">
        <f>HYPERLINK("https://twitter.com/MoodDisordersCa","@MoodDisordersCa")</f>
        <v>@MoodDisordersCa</v>
      </c>
      <c r="C602" s="1" t="s">
        <v>3018</v>
      </c>
      <c r="D602" s="1" t="s">
        <v>3019</v>
      </c>
      <c r="E602" s="12" t="str">
        <f>HYPERLINK("https://twitter.com/MoodDisordersCa/status/1218169445161623553","1218169445161623553")</f>
        <v>1218169445161623553</v>
      </c>
      <c r="F602" s="13" t="s">
        <v>3020</v>
      </c>
      <c r="G602" s="14"/>
      <c r="H602" s="14"/>
      <c r="I602" s="15">
        <v>1.0</v>
      </c>
      <c r="J602" s="15">
        <v>1.0</v>
      </c>
      <c r="K602" s="12" t="str">
        <f t="shared" si="59"/>
        <v>Twitter Web App</v>
      </c>
      <c r="L602" s="16">
        <v>20746.0</v>
      </c>
      <c r="M602" s="16">
        <v>7291.0</v>
      </c>
      <c r="N602" s="16">
        <v>510.0</v>
      </c>
      <c r="O602" s="17"/>
      <c r="P602" s="18">
        <v>40434.27810185185</v>
      </c>
      <c r="Q602" s="1" t="s">
        <v>3021</v>
      </c>
      <c r="R602" s="1" t="s">
        <v>3022</v>
      </c>
      <c r="S602" s="13" t="s">
        <v>3023</v>
      </c>
      <c r="T602" s="14"/>
      <c r="U602" s="19" t="str">
        <f>HYPERLINK("https://pbs.twimg.com/profile_images/928788915959472128/CLboLfmJ.jpg","View")</f>
        <v>View</v>
      </c>
      <c r="V602" s="14"/>
      <c r="W602" s="14"/>
      <c r="X602" s="14"/>
      <c r="Y602" s="14"/>
      <c r="Z602" s="14"/>
    </row>
    <row r="603">
      <c r="A603" s="11">
        <v>43847.369999999995</v>
      </c>
      <c r="B603" s="12" t="str">
        <f>HYPERLINK("https://twitter.com/garden4allnow","@garden4allnow")</f>
        <v>@garden4allnow</v>
      </c>
      <c r="C603" s="1" t="s">
        <v>3024</v>
      </c>
      <c r="D603" s="1" t="s">
        <v>2061</v>
      </c>
      <c r="E603" s="12" t="str">
        <f>HYPERLINK("https://twitter.com/garden4allnow/status/1218169299887697922","1218169299887697922")</f>
        <v>1218169299887697922</v>
      </c>
      <c r="F603" s="13" t="s">
        <v>3025</v>
      </c>
      <c r="G603" s="13" t="s">
        <v>3026</v>
      </c>
      <c r="H603" s="14"/>
      <c r="I603" s="15">
        <v>0.0</v>
      </c>
      <c r="J603" s="15">
        <v>2.0</v>
      </c>
      <c r="K603" s="12" t="str">
        <f>HYPERLINK("https://missinglettr.com","Missinglettr")</f>
        <v>Missinglettr</v>
      </c>
      <c r="L603" s="16">
        <v>2704.0</v>
      </c>
      <c r="M603" s="16">
        <v>3058.0</v>
      </c>
      <c r="N603" s="16">
        <v>29.0</v>
      </c>
      <c r="O603" s="17"/>
      <c r="P603" s="18">
        <v>42783.392638888894</v>
      </c>
      <c r="Q603" s="1" t="s">
        <v>3027</v>
      </c>
      <c r="R603" s="1" t="s">
        <v>3028</v>
      </c>
      <c r="S603" s="13" t="s">
        <v>3029</v>
      </c>
      <c r="T603" s="14"/>
      <c r="U603" s="19" t="str">
        <f>HYPERLINK("https://pbs.twimg.com/profile_images/843132775175802880/9W5VQ8CH.jpg","View")</f>
        <v>View</v>
      </c>
      <c r="V603" s="14"/>
      <c r="W603" s="14"/>
      <c r="X603" s="14"/>
      <c r="Y603" s="14"/>
      <c r="Z603" s="14"/>
    </row>
    <row r="604">
      <c r="A604" s="11">
        <v>43847.3690162037</v>
      </c>
      <c r="B604" s="12" t="str">
        <f>HYPERLINK("https://twitter.com/anethicalcure","@anethicalcure")</f>
        <v>@anethicalcure</v>
      </c>
      <c r="C604" s="1" t="s">
        <v>3030</v>
      </c>
      <c r="D604" s="1" t="s">
        <v>3031</v>
      </c>
      <c r="E604" s="12" t="str">
        <f>HYPERLINK("https://twitter.com/anethicalcure/status/1218168942931402754","1218168942931402754")</f>
        <v>1218168942931402754</v>
      </c>
      <c r="F604" s="13" t="s">
        <v>3032</v>
      </c>
      <c r="G604" s="13" t="s">
        <v>3033</v>
      </c>
      <c r="H604" s="14"/>
      <c r="I604" s="15">
        <v>0.0</v>
      </c>
      <c r="J604" s="15">
        <v>0.0</v>
      </c>
      <c r="K604" s="12" t="str">
        <f>HYPERLINK("http://twitter.com/download/iphone","Twitter for iPhone")</f>
        <v>Twitter for iPhone</v>
      </c>
      <c r="L604" s="16">
        <v>6.0</v>
      </c>
      <c r="M604" s="16">
        <v>19.0</v>
      </c>
      <c r="N604" s="16">
        <v>0.0</v>
      </c>
      <c r="O604" s="17"/>
      <c r="P604" s="18">
        <v>43704.59621527778</v>
      </c>
      <c r="Q604" s="14"/>
      <c r="R604" s="1" t="s">
        <v>3034</v>
      </c>
      <c r="S604" s="13" t="s">
        <v>3032</v>
      </c>
      <c r="T604" s="14"/>
      <c r="U604" s="19" t="str">
        <f>HYPERLINK("https://pbs.twimg.com/profile_images/1167618183022428163/KC70wT52.jpg","View")</f>
        <v>View</v>
      </c>
      <c r="V604" s="14"/>
      <c r="W604" s="14"/>
      <c r="X604" s="14"/>
      <c r="Y604" s="14"/>
      <c r="Z604" s="14"/>
    </row>
    <row r="605">
      <c r="A605" s="11">
        <v>43847.3654050926</v>
      </c>
      <c r="B605" s="12" t="str">
        <f>HYPERLINK("https://twitter.com/lifemedWP","@lifemedWP")</f>
        <v>@lifemedWP</v>
      </c>
      <c r="C605" s="1" t="s">
        <v>3035</v>
      </c>
      <c r="D605" s="1" t="s">
        <v>3036</v>
      </c>
      <c r="E605" s="12" t="str">
        <f>HYPERLINK("https://twitter.com/lifemedWP/status/1218167637781467136","1218167637781467136")</f>
        <v>1218167637781467136</v>
      </c>
      <c r="F605" s="14"/>
      <c r="G605" s="13" t="s">
        <v>3037</v>
      </c>
      <c r="H605" s="14"/>
      <c r="I605" s="15">
        <v>0.0</v>
      </c>
      <c r="J605" s="15">
        <v>0.0</v>
      </c>
      <c r="K605" s="12" t="str">
        <f>HYPERLINK("https://mobile.twitter.com","Twitter Web App")</f>
        <v>Twitter Web App</v>
      </c>
      <c r="L605" s="16">
        <v>28.0</v>
      </c>
      <c r="M605" s="16">
        <v>37.0</v>
      </c>
      <c r="N605" s="16">
        <v>0.0</v>
      </c>
      <c r="O605" s="17"/>
      <c r="P605" s="18">
        <v>43767.44002314815</v>
      </c>
      <c r="Q605" s="1" t="s">
        <v>3038</v>
      </c>
      <c r="R605" s="1" t="s">
        <v>3039</v>
      </c>
      <c r="S605" s="13" t="s">
        <v>3040</v>
      </c>
      <c r="T605" s="14"/>
      <c r="U605" s="19" t="str">
        <f>HYPERLINK("https://pbs.twimg.com/profile_images/1203333169388412928/8ok3gvoL.jpg","View")</f>
        <v>View</v>
      </c>
      <c r="V605" s="14"/>
      <c r="W605" s="14"/>
      <c r="X605" s="14"/>
      <c r="Y605" s="14"/>
      <c r="Z605" s="14"/>
    </row>
    <row r="606">
      <c r="A606" s="11">
        <v>43847.364953703705</v>
      </c>
      <c r="B606" s="12" t="str">
        <f>HYPERLINK("https://twitter.com/UkHealing","@UkHealing")</f>
        <v>@UkHealing</v>
      </c>
      <c r="C606" s="1" t="s">
        <v>3041</v>
      </c>
      <c r="D606" s="1" t="s">
        <v>3042</v>
      </c>
      <c r="E606" s="12" t="str">
        <f>HYPERLINK("https://twitter.com/UkHealing/status/1218167473977151488","1218167473977151488")</f>
        <v>1218167473977151488</v>
      </c>
      <c r="F606" s="13" t="s">
        <v>3043</v>
      </c>
      <c r="G606" s="14"/>
      <c r="H606" s="14"/>
      <c r="I606" s="15">
        <v>0.0</v>
      </c>
      <c r="J606" s="15">
        <v>0.0</v>
      </c>
      <c r="K606" s="12" t="str">
        <f t="shared" ref="K606:K608" si="60">HYPERLINK("https://about.twitter.com/products/tweetdeck","TweetDeck")</f>
        <v>TweetDeck</v>
      </c>
      <c r="L606" s="16">
        <v>2973.0</v>
      </c>
      <c r="M606" s="16">
        <v>2561.0</v>
      </c>
      <c r="N606" s="16">
        <v>126.0</v>
      </c>
      <c r="O606" s="17"/>
      <c r="P606" s="18">
        <v>41840.739641203705</v>
      </c>
      <c r="Q606" s="1" t="s">
        <v>864</v>
      </c>
      <c r="R606" s="1" t="s">
        <v>3044</v>
      </c>
      <c r="S606" s="13" t="s">
        <v>3045</v>
      </c>
      <c r="T606" s="14"/>
      <c r="U606" s="19" t="str">
        <f>HYPERLINK("https://pbs.twimg.com/profile_images/774978994202640384/qOaG55za.jpg","View")</f>
        <v>View</v>
      </c>
      <c r="V606" s="14"/>
      <c r="W606" s="14"/>
      <c r="X606" s="14"/>
      <c r="Y606" s="14"/>
      <c r="Z606" s="14"/>
    </row>
    <row r="607">
      <c r="A607" s="11">
        <v>43847.36486111111</v>
      </c>
      <c r="B607" s="12" t="str">
        <f>HYPERLINK("https://twitter.com/todaygame","@todaygame")</f>
        <v>@todaygame</v>
      </c>
      <c r="C607" s="1" t="s">
        <v>3046</v>
      </c>
      <c r="D607" s="1" t="s">
        <v>3042</v>
      </c>
      <c r="E607" s="12" t="str">
        <f>HYPERLINK("https://twitter.com/todaygame/status/1218167437868326914","1218167437868326914")</f>
        <v>1218167437868326914</v>
      </c>
      <c r="F607" s="13" t="s">
        <v>3043</v>
      </c>
      <c r="G607" s="14"/>
      <c r="H607" s="14"/>
      <c r="I607" s="15">
        <v>0.0</v>
      </c>
      <c r="J607" s="15">
        <v>0.0</v>
      </c>
      <c r="K607" s="12" t="str">
        <f t="shared" si="60"/>
        <v>TweetDeck</v>
      </c>
      <c r="L607" s="16">
        <v>5000.0</v>
      </c>
      <c r="M607" s="16">
        <v>5148.0</v>
      </c>
      <c r="N607" s="16">
        <v>134.0</v>
      </c>
      <c r="O607" s="17"/>
      <c r="P607" s="18">
        <v>42491.4437037037</v>
      </c>
      <c r="Q607" s="1" t="s">
        <v>3047</v>
      </c>
      <c r="R607" s="1" t="s">
        <v>3048</v>
      </c>
      <c r="S607" s="13" t="s">
        <v>3049</v>
      </c>
      <c r="T607" s="14"/>
      <c r="U607" s="19" t="str">
        <f>HYPERLINK("https://pbs.twimg.com/profile_images/726786777336287232/xrx7hPPR.jpg","View")</f>
        <v>View</v>
      </c>
      <c r="V607" s="14"/>
      <c r="W607" s="14"/>
      <c r="X607" s="14"/>
      <c r="Y607" s="14"/>
      <c r="Z607" s="14"/>
    </row>
    <row r="608">
      <c r="A608" s="11">
        <v>43847.3647800926</v>
      </c>
      <c r="B608" s="12" t="str">
        <f>HYPERLINK("https://twitter.com/CSCarrigan","@CSCarrigan")</f>
        <v>@CSCarrigan</v>
      </c>
      <c r="C608" s="1" t="s">
        <v>3050</v>
      </c>
      <c r="D608" s="1" t="s">
        <v>3042</v>
      </c>
      <c r="E608" s="12" t="str">
        <f>HYPERLINK("https://twitter.com/CSCarrigan/status/1218167408940212224","1218167408940212224")</f>
        <v>1218167408940212224</v>
      </c>
      <c r="F608" s="13" t="s">
        <v>3043</v>
      </c>
      <c r="G608" s="14"/>
      <c r="H608" s="14"/>
      <c r="I608" s="15">
        <v>0.0</v>
      </c>
      <c r="J608" s="15">
        <v>0.0</v>
      </c>
      <c r="K608" s="12" t="str">
        <f t="shared" si="60"/>
        <v>TweetDeck</v>
      </c>
      <c r="L608" s="16">
        <v>37940.0</v>
      </c>
      <c r="M608" s="16">
        <v>37662.0</v>
      </c>
      <c r="N608" s="16">
        <v>1806.0</v>
      </c>
      <c r="O608" s="17"/>
      <c r="P608" s="18">
        <v>40517.405439814815</v>
      </c>
      <c r="Q608" s="1" t="s">
        <v>3051</v>
      </c>
      <c r="R608" s="1" t="s">
        <v>3052</v>
      </c>
      <c r="S608" s="13" t="s">
        <v>3053</v>
      </c>
      <c r="T608" s="14"/>
      <c r="U608" s="19" t="str">
        <f>HYPERLINK("https://pbs.twimg.com/profile_images/672624656969543680/smgQ9bun.jpg","View")</f>
        <v>View</v>
      </c>
      <c r="V608" s="14"/>
      <c r="W608" s="14"/>
      <c r="X608" s="14"/>
      <c r="Y608" s="14"/>
      <c r="Z608" s="14"/>
    </row>
    <row r="609">
      <c r="A609" s="11">
        <v>43847.36424768518</v>
      </c>
      <c r="B609" s="12" t="str">
        <f>HYPERLINK("https://twitter.com/SHRMPress","@SHRMPress")</f>
        <v>@SHRMPress</v>
      </c>
      <c r="C609" s="1" t="s">
        <v>3054</v>
      </c>
      <c r="D609" s="1" t="s">
        <v>3055</v>
      </c>
      <c r="E609" s="12" t="str">
        <f>HYPERLINK("https://twitter.com/SHRMPress/status/1218167215716999171","1218167215716999171")</f>
        <v>1218167215716999171</v>
      </c>
      <c r="F609" s="13" t="s">
        <v>3056</v>
      </c>
      <c r="G609" s="14"/>
      <c r="H609" s="14"/>
      <c r="I609" s="15">
        <v>2.0</v>
      </c>
      <c r="J609" s="15">
        <v>6.0</v>
      </c>
      <c r="K609" s="12" t="str">
        <f>HYPERLINK("https://mobile.twitter.com","Twitter Web App")</f>
        <v>Twitter Web App</v>
      </c>
      <c r="L609" s="16">
        <v>30880.0</v>
      </c>
      <c r="M609" s="16">
        <v>1703.0</v>
      </c>
      <c r="N609" s="16">
        <v>831.0</v>
      </c>
      <c r="O609" s="17"/>
      <c r="P609" s="18">
        <v>39918.39446759259</v>
      </c>
      <c r="Q609" s="1" t="s">
        <v>1664</v>
      </c>
      <c r="R609" s="1" t="s">
        <v>3057</v>
      </c>
      <c r="S609" s="13" t="s">
        <v>3058</v>
      </c>
      <c r="T609" s="14"/>
      <c r="U609" s="19" t="str">
        <f>HYPERLINK("https://pbs.twimg.com/profile_images/1089620580503076865/_mLLjB_v.jpg","View")</f>
        <v>View</v>
      </c>
      <c r="V609" s="14"/>
      <c r="W609" s="14"/>
      <c r="X609" s="14"/>
      <c r="Y609" s="14"/>
      <c r="Z609" s="14"/>
    </row>
    <row r="610">
      <c r="A610" s="11">
        <v>43847.361446759256</v>
      </c>
      <c r="B610" s="12" t="str">
        <f>HYPERLINK("https://twitter.com/DrKristieLeong","@DrKristieLeong")</f>
        <v>@DrKristieLeong</v>
      </c>
      <c r="C610" s="1" t="s">
        <v>3059</v>
      </c>
      <c r="D610" s="1" t="s">
        <v>3060</v>
      </c>
      <c r="E610" s="12" t="str">
        <f>HYPERLINK("https://twitter.com/DrKristieLeong/status/1218166202306002945","1218166202306002945")</f>
        <v>1218166202306002945</v>
      </c>
      <c r="F610" s="14"/>
      <c r="G610" s="13" t="s">
        <v>3061</v>
      </c>
      <c r="H610" s="14"/>
      <c r="I610" s="15">
        <v>41.0</v>
      </c>
      <c r="J610" s="15">
        <v>108.0</v>
      </c>
      <c r="K610" s="12" t="str">
        <f>HYPERLINK("https://buffer.com","Buffer")</f>
        <v>Buffer</v>
      </c>
      <c r="L610" s="16">
        <v>20249.0</v>
      </c>
      <c r="M610" s="16">
        <v>2631.0</v>
      </c>
      <c r="N610" s="16">
        <v>557.0</v>
      </c>
      <c r="O610" s="17"/>
      <c r="P610" s="18">
        <v>40792.37081018518</v>
      </c>
      <c r="Q610" s="14"/>
      <c r="R610" s="1" t="s">
        <v>3062</v>
      </c>
      <c r="S610" s="14"/>
      <c r="T610" s="14"/>
      <c r="U610" s="19" t="str">
        <f>HYPERLINK("https://pbs.twimg.com/profile_images/1802187878/kristie_website.jpg","View")</f>
        <v>View</v>
      </c>
      <c r="V610" s="14"/>
      <c r="W610" s="14"/>
      <c r="X610" s="14"/>
      <c r="Y610" s="14"/>
      <c r="Z610" s="14"/>
    </row>
    <row r="611">
      <c r="A611" s="11">
        <v>43847.35821759259</v>
      </c>
      <c r="B611" s="12" t="str">
        <f>HYPERLINK("https://twitter.com/dotbschools","@dotbschools")</f>
        <v>@dotbschools</v>
      </c>
      <c r="C611" s="1" t="s">
        <v>3063</v>
      </c>
      <c r="D611" s="1" t="s">
        <v>3064</v>
      </c>
      <c r="E611" s="12" t="str">
        <f>HYPERLINK("https://twitter.com/dotbschools/status/1218165030795075585","1218165030795075585")</f>
        <v>1218165030795075585</v>
      </c>
      <c r="F611" s="13" t="s">
        <v>3065</v>
      </c>
      <c r="G611" s="13" t="s">
        <v>3066</v>
      </c>
      <c r="H611" s="14"/>
      <c r="I611" s="15">
        <v>3.0</v>
      </c>
      <c r="J611" s="15">
        <v>5.0</v>
      </c>
      <c r="K611" s="12" t="str">
        <f>HYPERLINK("https://mobile.twitter.com","Twitter Web App")</f>
        <v>Twitter Web App</v>
      </c>
      <c r="L611" s="16">
        <v>3339.0</v>
      </c>
      <c r="M611" s="16">
        <v>743.0</v>
      </c>
      <c r="N611" s="16">
        <v>74.0</v>
      </c>
      <c r="O611" s="17"/>
      <c r="P611" s="18">
        <v>41794.653229166666</v>
      </c>
      <c r="Q611" s="1" t="s">
        <v>388</v>
      </c>
      <c r="R611" s="1" t="s">
        <v>3067</v>
      </c>
      <c r="S611" s="13" t="s">
        <v>3068</v>
      </c>
      <c r="T611" s="14"/>
      <c r="U611" s="19" t="str">
        <f>HYPERLINK("https://pbs.twimg.com/profile_images/791295234521047040/urQKWqBD.jpg","View")</f>
        <v>View</v>
      </c>
      <c r="V611" s="14"/>
      <c r="W611" s="14"/>
      <c r="X611" s="14"/>
      <c r="Y611" s="14"/>
      <c r="Z611" s="14"/>
    </row>
    <row r="612">
      <c r="A612" s="11">
        <v>43847.35773148148</v>
      </c>
      <c r="B612" s="12" t="str">
        <f>HYPERLINK("https://twitter.com/lees_andrea","@lees_andrea")</f>
        <v>@lees_andrea</v>
      </c>
      <c r="C612" s="1" t="s">
        <v>3069</v>
      </c>
      <c r="D612" s="1" t="s">
        <v>3070</v>
      </c>
      <c r="E612" s="12" t="str">
        <f>HYPERLINK("https://twitter.com/lees_andrea/status/1218164856706101249","1218164856706101249")</f>
        <v>1218164856706101249</v>
      </c>
      <c r="F612" s="14"/>
      <c r="G612" s="14"/>
      <c r="H612" s="14"/>
      <c r="I612" s="15">
        <v>0.0</v>
      </c>
      <c r="J612" s="15">
        <v>1.0</v>
      </c>
      <c r="K612" s="12" t="str">
        <f>HYPERLINK("http://twitter.com/download/android","Twitter for Android")</f>
        <v>Twitter for Android</v>
      </c>
      <c r="L612" s="16">
        <v>69.0</v>
      </c>
      <c r="M612" s="16">
        <v>190.0</v>
      </c>
      <c r="N612" s="16">
        <v>3.0</v>
      </c>
      <c r="O612" s="17"/>
      <c r="P612" s="18">
        <v>39883.819560185184</v>
      </c>
      <c r="Q612" s="1" t="s">
        <v>3071</v>
      </c>
      <c r="R612" s="1" t="s">
        <v>3072</v>
      </c>
      <c r="S612" s="14"/>
      <c r="T612" s="14"/>
      <c r="U612" s="19" t="str">
        <f>HYPERLINK("https://pbs.twimg.com/profile_images/597861400053096448/nqBcCR2n.jpg","View")</f>
        <v>View</v>
      </c>
      <c r="V612" s="14"/>
      <c r="W612" s="14"/>
      <c r="X612" s="14"/>
      <c r="Y612" s="14"/>
      <c r="Z612" s="14"/>
    </row>
    <row r="613">
      <c r="A613" s="11">
        <v>43847.357256944444</v>
      </c>
      <c r="B613" s="12" t="str">
        <f>HYPERLINK("https://twitter.com/ClearviewMinds","@ClearviewMinds")</f>
        <v>@ClearviewMinds</v>
      </c>
      <c r="C613" s="1" t="s">
        <v>3073</v>
      </c>
      <c r="D613" s="1" t="s">
        <v>3074</v>
      </c>
      <c r="E613" s="12" t="str">
        <f>HYPERLINK("https://twitter.com/ClearviewMinds/status/1218164683192119296","1218164683192119296")</f>
        <v>1218164683192119296</v>
      </c>
      <c r="F613" s="13" t="s">
        <v>3075</v>
      </c>
      <c r="G613" s="13" t="s">
        <v>3076</v>
      </c>
      <c r="H613" s="14"/>
      <c r="I613" s="15">
        <v>0.0</v>
      </c>
      <c r="J613" s="15">
        <v>0.0</v>
      </c>
      <c r="K613" s="12" t="str">
        <f t="shared" ref="K613:K614" si="61">HYPERLINK("http://twitter.com/download/iphone","Twitter for iPhone")</f>
        <v>Twitter for iPhone</v>
      </c>
      <c r="L613" s="16">
        <v>374.0</v>
      </c>
      <c r="M613" s="16">
        <v>1068.0</v>
      </c>
      <c r="N613" s="16">
        <v>5.0</v>
      </c>
      <c r="O613" s="17"/>
      <c r="P613" s="18">
        <v>42776.529178240744</v>
      </c>
      <c r="Q613" s="1" t="s">
        <v>3077</v>
      </c>
      <c r="R613" s="1" t="s">
        <v>3078</v>
      </c>
      <c r="S613" s="13" t="s">
        <v>3079</v>
      </c>
      <c r="T613" s="14"/>
      <c r="U613" s="19" t="str">
        <f>HYPERLINK("https://pbs.twimg.com/profile_images/830110341946294272/9GN1kXKG.jpg","View")</f>
        <v>View</v>
      </c>
      <c r="V613" s="14"/>
      <c r="W613" s="14"/>
      <c r="X613" s="14"/>
      <c r="Y613" s="14"/>
      <c r="Z613" s="14"/>
    </row>
    <row r="614">
      <c r="A614" s="11">
        <v>43847.35717592592</v>
      </c>
      <c r="B614" s="12" t="str">
        <f>HYPERLINK("https://twitter.com/DrMikeCarollo","@DrMikeCarollo")</f>
        <v>@DrMikeCarollo</v>
      </c>
      <c r="C614" s="1" t="s">
        <v>3080</v>
      </c>
      <c r="D614" s="1" t="s">
        <v>3081</v>
      </c>
      <c r="E614" s="12" t="str">
        <f>HYPERLINK("https://twitter.com/DrMikeCarollo/status/1218164651747368961","1218164651747368961")</f>
        <v>1218164651747368961</v>
      </c>
      <c r="F614" s="14"/>
      <c r="G614" s="13" t="s">
        <v>3082</v>
      </c>
      <c r="H614" s="14"/>
      <c r="I614" s="15">
        <v>0.0</v>
      </c>
      <c r="J614" s="15">
        <v>0.0</v>
      </c>
      <c r="K614" s="12" t="str">
        <f t="shared" si="61"/>
        <v>Twitter for iPhone</v>
      </c>
      <c r="L614" s="16">
        <v>5.0</v>
      </c>
      <c r="M614" s="16">
        <v>36.0</v>
      </c>
      <c r="N614" s="16">
        <v>0.0</v>
      </c>
      <c r="O614" s="17"/>
      <c r="P614" s="18">
        <v>43787.877800925926</v>
      </c>
      <c r="Q614" s="14"/>
      <c r="R614" s="14"/>
      <c r="S614" s="14"/>
      <c r="T614" s="14"/>
      <c r="U614" s="19" t="str">
        <f>HYPERLINK("https://pbs.twimg.com/profile_images/1196610363699204096/SY0WklOo.jpg","View")</f>
        <v>View</v>
      </c>
      <c r="V614" s="14"/>
      <c r="W614" s="14"/>
      <c r="X614" s="14"/>
      <c r="Y614" s="14"/>
      <c r="Z614" s="14"/>
    </row>
    <row r="615">
      <c r="A615" s="11">
        <v>43847.35707175926</v>
      </c>
      <c r="B615" s="12" t="str">
        <f>HYPERLINK("https://twitter.com/h3sean","@h3sean")</f>
        <v>@h3sean</v>
      </c>
      <c r="C615" s="1" t="s">
        <v>3083</v>
      </c>
      <c r="D615" s="1" t="s">
        <v>3084</v>
      </c>
      <c r="E615" s="12" t="str">
        <f>HYPERLINK("https://twitter.com/h3sean/status/1218164615374364674","1218164615374364674")</f>
        <v>1218164615374364674</v>
      </c>
      <c r="F615" s="13" t="s">
        <v>3085</v>
      </c>
      <c r="G615" s="14"/>
      <c r="H615" s="14"/>
      <c r="I615" s="15">
        <v>0.0</v>
      </c>
      <c r="J615" s="15">
        <v>0.0</v>
      </c>
      <c r="K615" s="12" t="str">
        <f>HYPERLINK("https://www.socialoomph.com","SocialOomph")</f>
        <v>SocialOomph</v>
      </c>
      <c r="L615" s="16">
        <v>5115.0</v>
      </c>
      <c r="M615" s="16">
        <v>6180.0</v>
      </c>
      <c r="N615" s="16">
        <v>181.0</v>
      </c>
      <c r="O615" s="17"/>
      <c r="P615" s="18">
        <v>39715.22405092593</v>
      </c>
      <c r="Q615" s="1" t="s">
        <v>3086</v>
      </c>
      <c r="R615" s="1" t="s">
        <v>3087</v>
      </c>
      <c r="S615" s="13" t="s">
        <v>3088</v>
      </c>
      <c r="T615" s="14"/>
      <c r="U615" s="19" t="str">
        <f>HYPERLINK("https://pbs.twimg.com/profile_images/1306187557/Mugshot.jpg","View")</f>
        <v>View</v>
      </c>
      <c r="V615" s="14"/>
      <c r="W615" s="14"/>
      <c r="X615" s="14"/>
      <c r="Y615" s="14"/>
      <c r="Z615" s="14"/>
    </row>
    <row r="616">
      <c r="A616" s="11">
        <v>43847.356458333335</v>
      </c>
      <c r="B616" s="12" t="str">
        <f>HYPERLINK("https://twitter.com/MeaningfulMindx","@MeaningfulMindx")</f>
        <v>@MeaningfulMindx</v>
      </c>
      <c r="C616" s="1" t="s">
        <v>3089</v>
      </c>
      <c r="D616" s="1" t="s">
        <v>3090</v>
      </c>
      <c r="E616" s="12" t="str">
        <f>HYPERLINK("https://twitter.com/MeaningfulMindx/status/1218164395685175299","1218164395685175299")</f>
        <v>1218164395685175299</v>
      </c>
      <c r="F616" s="13" t="s">
        <v>3091</v>
      </c>
      <c r="G616" s="14"/>
      <c r="H616" s="14"/>
      <c r="I616" s="15">
        <v>0.0</v>
      </c>
      <c r="J616" s="15">
        <v>1.0</v>
      </c>
      <c r="K616" s="12" t="str">
        <f>HYPERLINK("http://twitter.com/download/iphone","Twitter for iPhone")</f>
        <v>Twitter for iPhone</v>
      </c>
      <c r="L616" s="16">
        <v>384.0</v>
      </c>
      <c r="M616" s="16">
        <v>338.0</v>
      </c>
      <c r="N616" s="16">
        <v>22.0</v>
      </c>
      <c r="O616" s="17"/>
      <c r="P616" s="18">
        <v>41232.50255787037</v>
      </c>
      <c r="Q616" s="1" t="s">
        <v>3092</v>
      </c>
      <c r="R616" s="1" t="s">
        <v>3093</v>
      </c>
      <c r="S616" s="13" t="s">
        <v>3094</v>
      </c>
      <c r="T616" s="14"/>
      <c r="U616" s="19" t="str">
        <f>HYPERLINK("https://pbs.twimg.com/profile_images/832250940321210368/HSlsmczo.jpg","View")</f>
        <v>View</v>
      </c>
      <c r="V616" s="14"/>
      <c r="W616" s="14"/>
      <c r="X616" s="14"/>
      <c r="Y616" s="14"/>
      <c r="Z616" s="14"/>
    </row>
    <row r="617">
      <c r="A617" s="11">
        <v>43847.35627314815</v>
      </c>
      <c r="B617" s="12" t="str">
        <f>HYPERLINK("https://twitter.com/josianemarti","@josianemarti")</f>
        <v>@josianemarti</v>
      </c>
      <c r="C617" s="1" t="s">
        <v>3095</v>
      </c>
      <c r="D617" s="1" t="s">
        <v>3096</v>
      </c>
      <c r="E617" s="12" t="str">
        <f>HYPERLINK("https://twitter.com/josianemarti/status/1218164325598289925","1218164325598289925")</f>
        <v>1218164325598289925</v>
      </c>
      <c r="F617" s="13" t="s">
        <v>3097</v>
      </c>
      <c r="G617" s="14"/>
      <c r="H617" s="14"/>
      <c r="I617" s="15">
        <v>2.0</v>
      </c>
      <c r="J617" s="15">
        <v>1.0</v>
      </c>
      <c r="K617" s="12" t="str">
        <f>HYPERLINK("https://www.oktopost.com","Oktopost")</f>
        <v>Oktopost</v>
      </c>
      <c r="L617" s="16">
        <v>68.0</v>
      </c>
      <c r="M617" s="16">
        <v>169.0</v>
      </c>
      <c r="N617" s="16">
        <v>4.0</v>
      </c>
      <c r="O617" s="17"/>
      <c r="P617" s="18">
        <v>40181.56527777778</v>
      </c>
      <c r="Q617" s="1" t="s">
        <v>3098</v>
      </c>
      <c r="R617" s="1" t="s">
        <v>3099</v>
      </c>
      <c r="S617" s="13" t="s">
        <v>3100</v>
      </c>
      <c r="T617" s="14"/>
      <c r="U617" s="19" t="str">
        <f>HYPERLINK("https://pbs.twimg.com/profile_images/973627137298087936/TEN_vLM4.jpg","View")</f>
        <v>View</v>
      </c>
      <c r="V617" s="14"/>
      <c r="W617" s="14"/>
      <c r="X617" s="14"/>
      <c r="Y617" s="14"/>
      <c r="Z617" s="14"/>
    </row>
    <row r="618">
      <c r="A618" s="11">
        <v>43847.35577546296</v>
      </c>
      <c r="B618" s="12" t="str">
        <f>HYPERLINK("https://twitter.com/lifemedWP","@lifemedWP")</f>
        <v>@lifemedWP</v>
      </c>
      <c r="C618" s="1" t="s">
        <v>3035</v>
      </c>
      <c r="D618" s="1" t="s">
        <v>3036</v>
      </c>
      <c r="E618" s="12" t="str">
        <f>HYPERLINK("https://twitter.com/lifemedWP/status/1218164144383385603","1218164144383385603")</f>
        <v>1218164144383385603</v>
      </c>
      <c r="F618" s="14"/>
      <c r="G618" s="14"/>
      <c r="H618" s="14"/>
      <c r="I618" s="15">
        <v>0.0</v>
      </c>
      <c r="J618" s="15">
        <v>0.0</v>
      </c>
      <c r="K618" s="12" t="str">
        <f>HYPERLINK("https://mobile.twitter.com","Twitter Web App")</f>
        <v>Twitter Web App</v>
      </c>
      <c r="L618" s="16">
        <v>28.0</v>
      </c>
      <c r="M618" s="16">
        <v>37.0</v>
      </c>
      <c r="N618" s="16">
        <v>0.0</v>
      </c>
      <c r="O618" s="17"/>
      <c r="P618" s="18">
        <v>43767.44002314815</v>
      </c>
      <c r="Q618" s="1" t="s">
        <v>3038</v>
      </c>
      <c r="R618" s="1" t="s">
        <v>3039</v>
      </c>
      <c r="S618" s="13" t="s">
        <v>3040</v>
      </c>
      <c r="T618" s="14"/>
      <c r="U618" s="19" t="str">
        <f>HYPERLINK("https://pbs.twimg.com/profile_images/1203333169388412928/8ok3gvoL.jpg","View")</f>
        <v>View</v>
      </c>
      <c r="V618" s="14"/>
      <c r="W618" s="14"/>
      <c r="X618" s="14"/>
      <c r="Y618" s="14"/>
      <c r="Z618" s="14"/>
    </row>
    <row r="619">
      <c r="A619" s="11">
        <v>43847.355567129634</v>
      </c>
      <c r="B619" s="12" t="str">
        <f>HYPERLINK("https://twitter.com/spookytales","@spookytales")</f>
        <v>@spookytales</v>
      </c>
      <c r="C619" s="1" t="s">
        <v>3101</v>
      </c>
      <c r="D619" s="1" t="s">
        <v>3102</v>
      </c>
      <c r="E619" s="12" t="str">
        <f>HYPERLINK("https://twitter.com/spookytales/status/1218164069359869953","1218164069359869953")</f>
        <v>1218164069359869953</v>
      </c>
      <c r="F619" s="13" t="s">
        <v>3103</v>
      </c>
      <c r="G619" s="13" t="s">
        <v>3104</v>
      </c>
      <c r="H619" s="14"/>
      <c r="I619" s="15">
        <v>0.0</v>
      </c>
      <c r="J619" s="15">
        <v>0.0</v>
      </c>
      <c r="K619" s="12" t="str">
        <f>HYPERLINK("https://missinglettr.com","Missinglettr")</f>
        <v>Missinglettr</v>
      </c>
      <c r="L619" s="16">
        <v>3760.0</v>
      </c>
      <c r="M619" s="16">
        <v>3432.0</v>
      </c>
      <c r="N619" s="16">
        <v>33.0</v>
      </c>
      <c r="O619" s="17"/>
      <c r="P619" s="18">
        <v>40425.026608796295</v>
      </c>
      <c r="Q619" s="14"/>
      <c r="R619" s="1" t="s">
        <v>3105</v>
      </c>
      <c r="S619" s="13" t="s">
        <v>3106</v>
      </c>
      <c r="T619" s="14"/>
      <c r="U619" s="19" t="str">
        <f>HYPERLINK("https://pbs.twimg.com/profile_images/1367927776/Smashwordshalloweencover2.png","View")</f>
        <v>View</v>
      </c>
      <c r="V619" s="14"/>
      <c r="W619" s="14"/>
      <c r="X619" s="14"/>
      <c r="Y619" s="14"/>
      <c r="Z619" s="14"/>
    </row>
    <row r="620">
      <c r="A620" s="11">
        <v>43847.35428240741</v>
      </c>
      <c r="B620" s="12" t="str">
        <f>HYPERLINK("https://twitter.com/SleepRenewal","@SleepRenewal")</f>
        <v>@SleepRenewal</v>
      </c>
      <c r="C620" s="1" t="s">
        <v>3107</v>
      </c>
      <c r="D620" s="1" t="s">
        <v>3108</v>
      </c>
      <c r="E620" s="12" t="str">
        <f>HYPERLINK("https://twitter.com/SleepRenewal/status/1218163605583081474","1218163605583081474")</f>
        <v>1218163605583081474</v>
      </c>
      <c r="F620" s="13" t="s">
        <v>3109</v>
      </c>
      <c r="G620" s="13" t="s">
        <v>3110</v>
      </c>
      <c r="H620" s="14"/>
      <c r="I620" s="15">
        <v>1.0</v>
      </c>
      <c r="J620" s="15">
        <v>2.0</v>
      </c>
      <c r="K620" s="12" t="str">
        <f>HYPERLINK("https://www.hootsuite.com","Hootsuite Inc.")</f>
        <v>Hootsuite Inc.</v>
      </c>
      <c r="L620" s="16">
        <v>528.0</v>
      </c>
      <c r="M620" s="16">
        <v>700.0</v>
      </c>
      <c r="N620" s="16">
        <v>4.0</v>
      </c>
      <c r="O620" s="17"/>
      <c r="P620" s="18">
        <v>43011.41084490741</v>
      </c>
      <c r="Q620" s="1" t="s">
        <v>3111</v>
      </c>
      <c r="R620" s="1" t="s">
        <v>3112</v>
      </c>
      <c r="S620" s="13" t="s">
        <v>3113</v>
      </c>
      <c r="T620" s="14"/>
      <c r="U620" s="19" t="str">
        <f>HYPERLINK("https://pbs.twimg.com/profile_images/915215285078118401/qS7AjPem.jpg","View")</f>
        <v>View</v>
      </c>
      <c r="V620" s="14"/>
      <c r="W620" s="14"/>
      <c r="X620" s="14"/>
      <c r="Y620" s="14"/>
      <c r="Z620" s="14"/>
    </row>
    <row r="621">
      <c r="A621" s="11">
        <v>43847.349375000005</v>
      </c>
      <c r="B621" s="12" t="str">
        <f>HYPERLINK("https://twitter.com/manojpandey66","@manojpandey66")</f>
        <v>@manojpandey66</v>
      </c>
      <c r="C621" s="1" t="s">
        <v>1163</v>
      </c>
      <c r="D621" s="1" t="s">
        <v>3114</v>
      </c>
      <c r="E621" s="12" t="str">
        <f>HYPERLINK("https://twitter.com/manojpandey66/status/1218161825709088768","1218161825709088768")</f>
        <v>1218161825709088768</v>
      </c>
      <c r="F621" s="14"/>
      <c r="G621" s="13" t="s">
        <v>3115</v>
      </c>
      <c r="H621" s="14"/>
      <c r="I621" s="15">
        <v>0.0</v>
      </c>
      <c r="J621" s="15">
        <v>1.0</v>
      </c>
      <c r="K621" s="12" t="str">
        <f t="shared" ref="K621:K623" si="62">HYPERLINK("https://mobile.twitter.com","Twitter Web App")</f>
        <v>Twitter Web App</v>
      </c>
      <c r="L621" s="16">
        <v>1372.0</v>
      </c>
      <c r="M621" s="16">
        <v>555.0</v>
      </c>
      <c r="N621" s="16">
        <v>7.0</v>
      </c>
      <c r="O621" s="17"/>
      <c r="P621" s="18">
        <v>40746.0390625</v>
      </c>
      <c r="Q621" s="1" t="s">
        <v>1166</v>
      </c>
      <c r="R621" s="1" t="s">
        <v>1167</v>
      </c>
      <c r="S621" s="13" t="s">
        <v>1168</v>
      </c>
      <c r="T621" s="14"/>
      <c r="U621" s="19" t="str">
        <f>HYPERLINK("https://pbs.twimg.com/profile_images/1134750107302125569/VwLz3fkd.png","View")</f>
        <v>View</v>
      </c>
      <c r="V621" s="14"/>
      <c r="W621" s="14"/>
      <c r="X621" s="14"/>
      <c r="Y621" s="14"/>
      <c r="Z621" s="14"/>
    </row>
    <row r="622">
      <c r="A622" s="11">
        <v>43847.34835648148</v>
      </c>
      <c r="B622" s="12" t="str">
        <f>HYPERLINK("https://twitter.com/DHALab","@DHALab")</f>
        <v>@DHALab</v>
      </c>
      <c r="C622" s="1" t="s">
        <v>3116</v>
      </c>
      <c r="D622" s="1" t="s">
        <v>3117</v>
      </c>
      <c r="E622" s="12" t="str">
        <f>HYPERLINK("https://twitter.com/DHALab/status/1218161457352843264","1218161457352843264")</f>
        <v>1218161457352843264</v>
      </c>
      <c r="F622" s="13" t="s">
        <v>2189</v>
      </c>
      <c r="G622" s="13" t="s">
        <v>3118</v>
      </c>
      <c r="H622" s="14"/>
      <c r="I622" s="15">
        <v>1.0</v>
      </c>
      <c r="J622" s="15">
        <v>2.0</v>
      </c>
      <c r="K622" s="12" t="str">
        <f t="shared" si="62"/>
        <v>Twitter Web App</v>
      </c>
      <c r="L622" s="16">
        <v>1305.0</v>
      </c>
      <c r="M622" s="16">
        <v>4906.0</v>
      </c>
      <c r="N622" s="16">
        <v>30.0</v>
      </c>
      <c r="O622" s="17"/>
      <c r="P622" s="18">
        <v>41663.41479166667</v>
      </c>
      <c r="Q622" s="1" t="s">
        <v>3119</v>
      </c>
      <c r="R622" s="1" t="s">
        <v>3120</v>
      </c>
      <c r="S622" s="13" t="s">
        <v>3121</v>
      </c>
      <c r="T622" s="14"/>
      <c r="U622" s="19" t="str">
        <f>HYPERLINK("https://pbs.twimg.com/profile_images/1202679814286716929/R65IJap-.jpg","View")</f>
        <v>View</v>
      </c>
      <c r="V622" s="14"/>
      <c r="W622" s="14"/>
      <c r="X622" s="14"/>
      <c r="Y622" s="14"/>
      <c r="Z622" s="14"/>
    </row>
    <row r="623">
      <c r="A623" s="11">
        <v>43847.34414351852</v>
      </c>
      <c r="B623" s="12" t="str">
        <f>HYPERLINK("https://twitter.com/HopeStXchange","@HopeStXchange")</f>
        <v>@HopeStXchange</v>
      </c>
      <c r="C623" s="1" t="s">
        <v>3122</v>
      </c>
      <c r="D623" s="1" t="s">
        <v>3123</v>
      </c>
      <c r="E623" s="12" t="str">
        <f>HYPERLINK("https://twitter.com/HopeStXchange/status/1218159929347006464","1218159929347006464")</f>
        <v>1218159929347006464</v>
      </c>
      <c r="F623" s="1" t="s">
        <v>3124</v>
      </c>
      <c r="G623" s="14"/>
      <c r="H623" s="14"/>
      <c r="I623" s="15">
        <v>0.0</v>
      </c>
      <c r="J623" s="15">
        <v>1.0</v>
      </c>
      <c r="K623" s="12" t="str">
        <f t="shared" si="62"/>
        <v>Twitter Web App</v>
      </c>
      <c r="L623" s="16">
        <v>2182.0</v>
      </c>
      <c r="M623" s="16">
        <v>1825.0</v>
      </c>
      <c r="N623" s="16">
        <v>18.0</v>
      </c>
      <c r="O623" s="17"/>
      <c r="P623" s="18">
        <v>42510.44715277778</v>
      </c>
      <c r="Q623" s="1" t="s">
        <v>3125</v>
      </c>
      <c r="R623" s="1" t="s">
        <v>3126</v>
      </c>
      <c r="S623" s="13" t="s">
        <v>3127</v>
      </c>
      <c r="T623" s="14"/>
      <c r="U623" s="19" t="str">
        <f>HYPERLINK("https://pbs.twimg.com/profile_images/984813980756652032/A9ZE86Zj.jpg","View")</f>
        <v>View</v>
      </c>
      <c r="V623" s="14"/>
      <c r="W623" s="14"/>
      <c r="X623" s="14"/>
      <c r="Y623" s="14"/>
      <c r="Z623" s="14"/>
    </row>
    <row r="624">
      <c r="A624" s="11">
        <v>43847.34168981481</v>
      </c>
      <c r="B624" s="12" t="str">
        <f>HYPERLINK("https://twitter.com/jamesoroberts11","@jamesoroberts11")</f>
        <v>@jamesoroberts11</v>
      </c>
      <c r="C624" s="1" t="s">
        <v>3128</v>
      </c>
      <c r="D624" s="1" t="s">
        <v>3129</v>
      </c>
      <c r="E624" s="12" t="str">
        <f>HYPERLINK("https://twitter.com/jamesoroberts11/status/1218159043040153600","1218159043040153600")</f>
        <v>1218159043040153600</v>
      </c>
      <c r="F624" s="13" t="s">
        <v>3130</v>
      </c>
      <c r="G624" s="13" t="s">
        <v>3131</v>
      </c>
      <c r="H624" s="14"/>
      <c r="I624" s="15">
        <v>0.0</v>
      </c>
      <c r="J624" s="15">
        <v>0.0</v>
      </c>
      <c r="K624" s="12" t="str">
        <f t="shared" ref="K624:K625" si="63">HYPERLINK("https://buffer.com","Buffer")</f>
        <v>Buffer</v>
      </c>
      <c r="L624" s="16">
        <v>4393.0</v>
      </c>
      <c r="M624" s="16">
        <v>2420.0</v>
      </c>
      <c r="N624" s="16">
        <v>92.0</v>
      </c>
      <c r="O624" s="20" t="s">
        <v>38</v>
      </c>
      <c r="P624" s="18">
        <v>40628.43324074074</v>
      </c>
      <c r="Q624" s="1" t="s">
        <v>3132</v>
      </c>
      <c r="R624" s="1" t="s">
        <v>3133</v>
      </c>
      <c r="S624" s="13" t="s">
        <v>3134</v>
      </c>
      <c r="T624" s="14"/>
      <c r="U624" s="19" t="str">
        <f>HYPERLINK("https://pbs.twimg.com/profile_images/1183116200521404423/_EM4Znlp.jpg","View")</f>
        <v>View</v>
      </c>
      <c r="V624" s="14"/>
      <c r="W624" s="14"/>
      <c r="X624" s="14"/>
      <c r="Y624" s="14"/>
      <c r="Z624" s="14"/>
    </row>
    <row r="625">
      <c r="A625" s="11">
        <v>43847.33724537037</v>
      </c>
      <c r="B625" s="12" t="str">
        <f>HYPERLINK("https://twitter.com/HealthistaTV","@HealthistaTV")</f>
        <v>@HealthistaTV</v>
      </c>
      <c r="C625" s="1" t="s">
        <v>3135</v>
      </c>
      <c r="D625" s="1" t="s">
        <v>3136</v>
      </c>
      <c r="E625" s="12" t="str">
        <f>HYPERLINK("https://twitter.com/HealthistaTV/status/1218157430531641345","1218157430531641345")</f>
        <v>1218157430531641345</v>
      </c>
      <c r="F625" s="13" t="s">
        <v>3137</v>
      </c>
      <c r="G625" s="13" t="s">
        <v>3138</v>
      </c>
      <c r="H625" s="14"/>
      <c r="I625" s="15">
        <v>1.0</v>
      </c>
      <c r="J625" s="15">
        <v>1.0</v>
      </c>
      <c r="K625" s="12" t="str">
        <f t="shared" si="63"/>
        <v>Buffer</v>
      </c>
      <c r="L625" s="16">
        <v>12328.0</v>
      </c>
      <c r="M625" s="16">
        <v>4583.0</v>
      </c>
      <c r="N625" s="16">
        <v>289.0</v>
      </c>
      <c r="O625" s="17"/>
      <c r="P625" s="18">
        <v>41251.308969907404</v>
      </c>
      <c r="Q625" s="1" t="s">
        <v>975</v>
      </c>
      <c r="R625" s="1" t="s">
        <v>3139</v>
      </c>
      <c r="S625" s="13" t="s">
        <v>3140</v>
      </c>
      <c r="T625" s="14"/>
      <c r="U625" s="19" t="str">
        <f>HYPERLINK("https://pbs.twimg.com/profile_images/828609192508407808/844eAiq3.jpg","View")</f>
        <v>View</v>
      </c>
      <c r="V625" s="14"/>
      <c r="W625" s="14"/>
      <c r="X625" s="14"/>
      <c r="Y625" s="14"/>
      <c r="Z625" s="14"/>
    </row>
    <row r="626">
      <c r="A626" s="11">
        <v>43847.33697916666</v>
      </c>
      <c r="B626" s="12" t="str">
        <f>HYPERLINK("https://twitter.com/LearnNutrition","@LearnNutrition")</f>
        <v>@LearnNutrition</v>
      </c>
      <c r="C626" s="1" t="s">
        <v>3141</v>
      </c>
      <c r="D626" s="1" t="s">
        <v>3142</v>
      </c>
      <c r="E626" s="12" t="str">
        <f>HYPERLINK("https://twitter.com/LearnNutrition/status/1218157332980367360","1218157332980367360")</f>
        <v>1218157332980367360</v>
      </c>
      <c r="F626" s="13" t="s">
        <v>3143</v>
      </c>
      <c r="G626" s="14"/>
      <c r="H626" s="14"/>
      <c r="I626" s="15">
        <v>0.0</v>
      </c>
      <c r="J626" s="15">
        <v>1.0</v>
      </c>
      <c r="K626" s="12" t="str">
        <f>HYPERLINK("http://postplanner.com","Post Planner Inc.")</f>
        <v>Post Planner Inc.</v>
      </c>
      <c r="L626" s="16">
        <v>8237.0</v>
      </c>
      <c r="M626" s="16">
        <v>6792.0</v>
      </c>
      <c r="N626" s="16">
        <v>95.0</v>
      </c>
      <c r="O626" s="17"/>
      <c r="P626" s="18">
        <v>40214.46429398148</v>
      </c>
      <c r="Q626" s="1" t="s">
        <v>3144</v>
      </c>
      <c r="R626" s="1" t="s">
        <v>3145</v>
      </c>
      <c r="S626" s="13" t="s">
        <v>3146</v>
      </c>
      <c r="T626" s="14"/>
      <c r="U626" s="19" t="str">
        <f>HYPERLINK("https://pbs.twimg.com/profile_images/889866515985707009/DqpMIcfL.jpg","View")</f>
        <v>View</v>
      </c>
      <c r="V626" s="14"/>
      <c r="W626" s="14"/>
      <c r="X626" s="14"/>
      <c r="Y626" s="14"/>
      <c r="Z626" s="14"/>
    </row>
    <row r="627">
      <c r="A627" s="11">
        <v>43847.335138888884</v>
      </c>
      <c r="B627" s="12" t="str">
        <f>HYPERLINK("https://twitter.com/Suaju","@Suaju")</f>
        <v>@Suaju</v>
      </c>
      <c r="C627" s="1" t="s">
        <v>3147</v>
      </c>
      <c r="D627" s="1" t="s">
        <v>3148</v>
      </c>
      <c r="E627" s="12" t="str">
        <f>HYPERLINK("https://twitter.com/Suaju/status/1218156668611104768","1218156668611104768")</f>
        <v>1218156668611104768</v>
      </c>
      <c r="F627" s="14"/>
      <c r="G627" s="13" t="s">
        <v>3149</v>
      </c>
      <c r="H627" s="14"/>
      <c r="I627" s="15">
        <v>0.0</v>
      </c>
      <c r="J627" s="15">
        <v>0.0</v>
      </c>
      <c r="K627" s="12" t="str">
        <f>HYPERLINK("https://www.socialoomph.com","SocialOomph")</f>
        <v>SocialOomph</v>
      </c>
      <c r="L627" s="16">
        <v>1265.0</v>
      </c>
      <c r="M627" s="16">
        <v>1074.0</v>
      </c>
      <c r="N627" s="16">
        <v>379.0</v>
      </c>
      <c r="O627" s="17"/>
      <c r="P627" s="18">
        <v>40077.34947916667</v>
      </c>
      <c r="Q627" s="1" t="s">
        <v>624</v>
      </c>
      <c r="R627" s="1" t="s">
        <v>3150</v>
      </c>
      <c r="S627" s="13" t="s">
        <v>3151</v>
      </c>
      <c r="T627" s="14"/>
      <c r="U627" s="19" t="str">
        <f>HYPERLINK("https://pbs.twimg.com/profile_images/855223215/businessman-showing-database.jpg","View")</f>
        <v>View</v>
      </c>
      <c r="V627" s="14"/>
      <c r="W627" s="14"/>
      <c r="X627" s="14"/>
      <c r="Y627" s="14"/>
      <c r="Z627" s="14"/>
    </row>
    <row r="628">
      <c r="A628" s="11">
        <v>43847.33336805555</v>
      </c>
      <c r="B628" s="12" t="str">
        <f>HYPERLINK("https://twitter.com/TroyBorst","@TroyBorst")</f>
        <v>@TroyBorst</v>
      </c>
      <c r="C628" s="1" t="s">
        <v>3152</v>
      </c>
      <c r="D628" s="1" t="s">
        <v>3153</v>
      </c>
      <c r="E628" s="12" t="str">
        <f>HYPERLINK("https://twitter.com/TroyBorst/status/1218156024638648320","1218156024638648320")</f>
        <v>1218156024638648320</v>
      </c>
      <c r="F628" s="14"/>
      <c r="G628" s="14"/>
      <c r="H628" s="14"/>
      <c r="I628" s="15">
        <v>0.0</v>
      </c>
      <c r="J628" s="15">
        <v>0.0</v>
      </c>
      <c r="K628" s="12" t="str">
        <f>HYPERLINK("http://twuffer.com","Twuffer")</f>
        <v>Twuffer</v>
      </c>
      <c r="L628" s="16">
        <v>214.0</v>
      </c>
      <c r="M628" s="16">
        <v>411.0</v>
      </c>
      <c r="N628" s="16">
        <v>2.0</v>
      </c>
      <c r="O628" s="17"/>
      <c r="P628" s="18">
        <v>40915.6637962963</v>
      </c>
      <c r="Q628" s="1" t="s">
        <v>3154</v>
      </c>
      <c r="R628" s="1" t="s">
        <v>3155</v>
      </c>
      <c r="S628" s="14"/>
      <c r="T628" s="14"/>
      <c r="U628" s="19" t="str">
        <f>HYPERLINK("https://pbs.twimg.com/profile_images/3438462358/c072fd0e9e2f013cce3d0c9f464f059b.jpeg","View")</f>
        <v>View</v>
      </c>
      <c r="V628" s="14"/>
      <c r="W628" s="14"/>
      <c r="X628" s="14"/>
      <c r="Y628" s="14"/>
      <c r="Z628" s="14"/>
    </row>
    <row r="629">
      <c r="A629" s="11">
        <v>43847.33333333333</v>
      </c>
      <c r="B629" s="12" t="str">
        <f>HYPERLINK("https://twitter.com/WeHearYouZA","@WeHearYouZA")</f>
        <v>@WeHearYouZA</v>
      </c>
      <c r="C629" s="1" t="s">
        <v>2299</v>
      </c>
      <c r="D629" s="1" t="s">
        <v>3156</v>
      </c>
      <c r="E629" s="12" t="str">
        <f>HYPERLINK("https://twitter.com/WeHearYouZA/status/1218156013095809024","1218156013095809024")</f>
        <v>1218156013095809024</v>
      </c>
      <c r="F629" s="14"/>
      <c r="G629" s="13" t="s">
        <v>3157</v>
      </c>
      <c r="H629" s="14"/>
      <c r="I629" s="15">
        <v>0.0</v>
      </c>
      <c r="J629" s="15">
        <v>0.0</v>
      </c>
      <c r="K629" s="12" t="str">
        <f>HYPERLINK("https://about.twitter.com/products/tweetdeck","TweetDeck")</f>
        <v>TweetDeck</v>
      </c>
      <c r="L629" s="16">
        <v>26.0</v>
      </c>
      <c r="M629" s="16">
        <v>43.0</v>
      </c>
      <c r="N629" s="16">
        <v>4.0</v>
      </c>
      <c r="O629" s="17"/>
      <c r="P629" s="18">
        <v>43661.22396990741</v>
      </c>
      <c r="Q629" s="1" t="s">
        <v>2302</v>
      </c>
      <c r="R629" s="1" t="s">
        <v>2303</v>
      </c>
      <c r="S629" s="13" t="s">
        <v>2304</v>
      </c>
      <c r="T629" s="14"/>
      <c r="U629" s="19" t="str">
        <f>HYPERLINK("https://pbs.twimg.com/profile_images/1153562188415737856/1QVWKhWI.jpg","View")</f>
        <v>View</v>
      </c>
      <c r="V629" s="14"/>
      <c r="W629" s="14"/>
      <c r="X629" s="14"/>
      <c r="Y629" s="14"/>
      <c r="Z629" s="14"/>
    </row>
    <row r="630">
      <c r="A630" s="11">
        <v>43847.33180555556</v>
      </c>
      <c r="B630" s="12" t="str">
        <f>HYPERLINK("https://twitter.com/UOGParklife","@UOGParklife")</f>
        <v>@UOGParklife</v>
      </c>
      <c r="C630" s="1" t="s">
        <v>3158</v>
      </c>
      <c r="D630" s="1" t="s">
        <v>3159</v>
      </c>
      <c r="E630" s="12" t="str">
        <f>HYPERLINK("https://twitter.com/UOGParklife/status/1218155461406576641","1218155461406576641")</f>
        <v>1218155461406576641</v>
      </c>
      <c r="F630" s="13" t="s">
        <v>3160</v>
      </c>
      <c r="G630" s="13" t="s">
        <v>3161</v>
      </c>
      <c r="H630" s="14"/>
      <c r="I630" s="15">
        <v>0.0</v>
      </c>
      <c r="J630" s="15">
        <v>0.0</v>
      </c>
      <c r="K630" s="12" t="str">
        <f t="shared" ref="K630:K633" si="64">HYPERLINK("https://mobile.twitter.com","Twitter Web App")</f>
        <v>Twitter Web App</v>
      </c>
      <c r="L630" s="16">
        <v>369.0</v>
      </c>
      <c r="M630" s="16">
        <v>384.0</v>
      </c>
      <c r="N630" s="16">
        <v>10.0</v>
      </c>
      <c r="O630" s="17"/>
      <c r="P630" s="18">
        <v>42383.258888888886</v>
      </c>
      <c r="Q630" s="1" t="s">
        <v>2836</v>
      </c>
      <c r="R630" s="1" t="s">
        <v>3162</v>
      </c>
      <c r="S630" s="13" t="s">
        <v>3163</v>
      </c>
      <c r="T630" s="14"/>
      <c r="U630" s="19" t="str">
        <f>HYPERLINK("https://pbs.twimg.com/profile_images/1194933302068760582/GtcdFpoU.jpg","View")</f>
        <v>View</v>
      </c>
      <c r="V630" s="14"/>
      <c r="W630" s="14"/>
      <c r="X630" s="14"/>
      <c r="Y630" s="14"/>
      <c r="Z630" s="14"/>
    </row>
    <row r="631">
      <c r="A631" s="11">
        <v>43847.331296296295</v>
      </c>
      <c r="B631" s="12" t="str">
        <f>HYPERLINK("https://twitter.com/naturalhealthbl","@naturalhealthbl")</f>
        <v>@naturalhealthbl</v>
      </c>
      <c r="C631" s="1" t="s">
        <v>259</v>
      </c>
      <c r="D631" s="1" t="s">
        <v>260</v>
      </c>
      <c r="E631" s="12" t="str">
        <f>HYPERLINK("https://twitter.com/naturalhealthbl/status/1218155273438875648","1218155273438875648")</f>
        <v>1218155273438875648</v>
      </c>
      <c r="F631" s="13" t="s">
        <v>261</v>
      </c>
      <c r="G631" s="13" t="s">
        <v>3164</v>
      </c>
      <c r="H631" s="14"/>
      <c r="I631" s="15">
        <v>0.0</v>
      </c>
      <c r="J631" s="15">
        <v>0.0</v>
      </c>
      <c r="K631" s="12" t="str">
        <f t="shared" si="64"/>
        <v>Twitter Web App</v>
      </c>
      <c r="L631" s="16">
        <v>1793.0</v>
      </c>
      <c r="M631" s="16">
        <v>1569.0</v>
      </c>
      <c r="N631" s="16">
        <v>180.0</v>
      </c>
      <c r="O631" s="17"/>
      <c r="P631" s="18">
        <v>41475.38408564815</v>
      </c>
      <c r="Q631" s="1" t="s">
        <v>263</v>
      </c>
      <c r="R631" s="1" t="s">
        <v>264</v>
      </c>
      <c r="S631" s="13" t="s">
        <v>265</v>
      </c>
      <c r="T631" s="14"/>
      <c r="U631" s="19" t="str">
        <f>HYPERLINK("https://pbs.twimg.com/profile_images/1217967343135023105/rnonJTby.jpg","View")</f>
        <v>View</v>
      </c>
      <c r="V631" s="14"/>
      <c r="W631" s="14"/>
      <c r="X631" s="14"/>
      <c r="Y631" s="14"/>
      <c r="Z631" s="14"/>
    </row>
    <row r="632">
      <c r="A632" s="11">
        <v>43847.32678240741</v>
      </c>
      <c r="B632" s="12" t="str">
        <f>HYPERLINK("https://twitter.com/LivingWithLove9","@LivingWithLove9")</f>
        <v>@LivingWithLove9</v>
      </c>
      <c r="C632" s="1" t="s">
        <v>3165</v>
      </c>
      <c r="D632" s="1" t="s">
        <v>3166</v>
      </c>
      <c r="E632" s="12" t="str">
        <f>HYPERLINK("https://twitter.com/LivingWithLove9/status/1218153640390811649","1218153640390811649")</f>
        <v>1218153640390811649</v>
      </c>
      <c r="F632" s="14"/>
      <c r="G632" s="14"/>
      <c r="H632" s="14"/>
      <c r="I632" s="15">
        <v>0.0</v>
      </c>
      <c r="J632" s="15">
        <v>0.0</v>
      </c>
      <c r="K632" s="12" t="str">
        <f t="shared" si="64"/>
        <v>Twitter Web App</v>
      </c>
      <c r="L632" s="16">
        <v>10.0</v>
      </c>
      <c r="M632" s="16">
        <v>162.0</v>
      </c>
      <c r="N632" s="16">
        <v>0.0</v>
      </c>
      <c r="O632" s="17"/>
      <c r="P632" s="18">
        <v>40721.980162037034</v>
      </c>
      <c r="Q632" s="1" t="s">
        <v>3167</v>
      </c>
      <c r="R632" s="1" t="s">
        <v>3168</v>
      </c>
      <c r="S632" s="13" t="s">
        <v>3169</v>
      </c>
      <c r="T632" s="14"/>
      <c r="U632" s="19" t="str">
        <f>HYPERLINK("https://pbs.twimg.com/profile_images/1216053466730201088/HAmwvvmi.jpg","View")</f>
        <v>View</v>
      </c>
      <c r="V632" s="14"/>
      <c r="W632" s="14"/>
      <c r="X632" s="14"/>
      <c r="Y632" s="14"/>
      <c r="Z632" s="14"/>
    </row>
    <row r="633">
      <c r="A633" s="11">
        <v>43847.3253587963</v>
      </c>
      <c r="B633" s="12" t="str">
        <f>HYPERLINK("https://twitter.com/aosproductindia","@aosproductindia")</f>
        <v>@aosproductindia</v>
      </c>
      <c r="C633" s="1" t="s">
        <v>3170</v>
      </c>
      <c r="D633" s="1" t="s">
        <v>3171</v>
      </c>
      <c r="E633" s="12" t="str">
        <f>HYPERLINK("https://twitter.com/aosproductindia/status/1218153123690082304","1218153123690082304")</f>
        <v>1218153123690082304</v>
      </c>
      <c r="F633" s="13" t="s">
        <v>3172</v>
      </c>
      <c r="G633" s="13" t="s">
        <v>3173</v>
      </c>
      <c r="H633" s="14"/>
      <c r="I633" s="15">
        <v>0.0</v>
      </c>
      <c r="J633" s="15">
        <v>0.0</v>
      </c>
      <c r="K633" s="12" t="str">
        <f t="shared" si="64"/>
        <v>Twitter Web App</v>
      </c>
      <c r="L633" s="16">
        <v>585.0</v>
      </c>
      <c r="M633" s="16">
        <v>1555.0</v>
      </c>
      <c r="N633" s="16">
        <v>22.0</v>
      </c>
      <c r="O633" s="17"/>
      <c r="P633" s="18">
        <v>41867.33207175926</v>
      </c>
      <c r="Q633" s="1" t="s">
        <v>3174</v>
      </c>
      <c r="R633" s="1" t="s">
        <v>3175</v>
      </c>
      <c r="S633" s="13" t="s">
        <v>3176</v>
      </c>
      <c r="T633" s="14"/>
      <c r="U633" s="19" t="str">
        <f>HYPERLINK("https://pbs.twimg.com/profile_images/1139850720117551104/rLejuTTU.png","View")</f>
        <v>View</v>
      </c>
      <c r="V633" s="14"/>
      <c r="W633" s="14"/>
      <c r="X633" s="14"/>
      <c r="Y633" s="14"/>
      <c r="Z633" s="14"/>
    </row>
    <row r="634">
      <c r="A634" s="11">
        <v>43847.32309027778</v>
      </c>
      <c r="B634" s="12" t="str">
        <f>HYPERLINK("https://twitter.com/DecisiveThinki1","@DecisiveThinki1")</f>
        <v>@DecisiveThinki1</v>
      </c>
      <c r="C634" s="1" t="s">
        <v>3177</v>
      </c>
      <c r="D634" s="1" t="s">
        <v>3178</v>
      </c>
      <c r="E634" s="12" t="str">
        <f>HYPERLINK("https://twitter.com/DecisiveThinki1/status/1218152300721647619","1218152300721647619")</f>
        <v>1218152300721647619</v>
      </c>
      <c r="F634" s="14"/>
      <c r="G634" s="13" t="s">
        <v>3179</v>
      </c>
      <c r="H634" s="14"/>
      <c r="I634" s="15">
        <v>0.0</v>
      </c>
      <c r="J634" s="15">
        <v>0.0</v>
      </c>
      <c r="K634" s="12" t="str">
        <f>HYPERLINK("https://www.hootsuite.com","Hootsuite Inc.")</f>
        <v>Hootsuite Inc.</v>
      </c>
      <c r="L634" s="16">
        <v>24.0</v>
      </c>
      <c r="M634" s="16">
        <v>50.0</v>
      </c>
      <c r="N634" s="16">
        <v>0.0</v>
      </c>
      <c r="O634" s="17"/>
      <c r="P634" s="18">
        <v>43416.22861111111</v>
      </c>
      <c r="Q634" s="1" t="s">
        <v>1194</v>
      </c>
      <c r="R634" s="1" t="s">
        <v>3180</v>
      </c>
      <c r="S634" s="13" t="s">
        <v>3181</v>
      </c>
      <c r="T634" s="14"/>
      <c r="U634" s="19" t="str">
        <f>HYPERLINK("https://pbs.twimg.com/profile_images/1063018821634740225/RAJbzmKL.jpg","View")</f>
        <v>View</v>
      </c>
      <c r="V634" s="14"/>
      <c r="W634" s="14"/>
      <c r="X634" s="14"/>
      <c r="Y634" s="14"/>
      <c r="Z634" s="14"/>
    </row>
    <row r="635">
      <c r="A635" s="11">
        <v>43847.318865740745</v>
      </c>
      <c r="B635" s="12" t="str">
        <f>HYPERLINK("https://twitter.com/PGArtWorks","@PGArtWorks")</f>
        <v>@PGArtWorks</v>
      </c>
      <c r="C635" s="1" t="s">
        <v>3182</v>
      </c>
      <c r="D635" s="1" t="s">
        <v>3183</v>
      </c>
      <c r="E635" s="12" t="str">
        <f>HYPERLINK("https://twitter.com/PGArtWorks/status/1218150771541323783","1218150771541323783")</f>
        <v>1218150771541323783</v>
      </c>
      <c r="F635" s="14"/>
      <c r="G635" s="14"/>
      <c r="H635" s="14"/>
      <c r="I635" s="15">
        <v>0.0</v>
      </c>
      <c r="J635" s="15">
        <v>0.0</v>
      </c>
      <c r="K635" s="12" t="str">
        <f>HYPERLINK("http://www.linkedin.com/","LinkedIn")</f>
        <v>LinkedIn</v>
      </c>
      <c r="L635" s="16">
        <v>625.0</v>
      </c>
      <c r="M635" s="16">
        <v>431.0</v>
      </c>
      <c r="N635" s="16">
        <v>28.0</v>
      </c>
      <c r="O635" s="17"/>
      <c r="P635" s="18">
        <v>40372.47604166667</v>
      </c>
      <c r="Q635" s="1" t="s">
        <v>268</v>
      </c>
      <c r="R635" s="1" t="s">
        <v>3184</v>
      </c>
      <c r="S635" s="13" t="s">
        <v>3185</v>
      </c>
      <c r="T635" s="14"/>
      <c r="U635" s="19" t="str">
        <f>HYPERLINK("https://pbs.twimg.com/profile_images/966711159058464769/ZhLJ00gM.jpg","View")</f>
        <v>View</v>
      </c>
      <c r="V635" s="14"/>
      <c r="W635" s="14"/>
      <c r="X635" s="14"/>
      <c r="Y635" s="14"/>
      <c r="Z635" s="14"/>
    </row>
    <row r="636">
      <c r="A636" s="11">
        <v>43847.31770833333</v>
      </c>
      <c r="B636" s="12" t="str">
        <f>HYPERLINK("https://twitter.com/moviesandtvman","@moviesandtvman")</f>
        <v>@moviesandtvman</v>
      </c>
      <c r="C636" s="1" t="s">
        <v>3186</v>
      </c>
      <c r="D636" s="1" t="s">
        <v>3102</v>
      </c>
      <c r="E636" s="12" t="str">
        <f>HYPERLINK("https://twitter.com/moviesandtvman/status/1218150352710750210","1218150352710750210")</f>
        <v>1218150352710750210</v>
      </c>
      <c r="F636" s="13" t="s">
        <v>3187</v>
      </c>
      <c r="G636" s="13" t="s">
        <v>3188</v>
      </c>
      <c r="H636" s="14"/>
      <c r="I636" s="15">
        <v>0.0</v>
      </c>
      <c r="J636" s="15">
        <v>0.0</v>
      </c>
      <c r="K636" s="12" t="str">
        <f>HYPERLINK("https://missinglettr.com","Missinglettr")</f>
        <v>Missinglettr</v>
      </c>
      <c r="L636" s="16">
        <v>2990.0</v>
      </c>
      <c r="M636" s="16">
        <v>1485.0</v>
      </c>
      <c r="N636" s="16">
        <v>7.0</v>
      </c>
      <c r="O636" s="17"/>
      <c r="P636" s="18">
        <v>42840.05099537037</v>
      </c>
      <c r="Q636" s="14"/>
      <c r="R636" s="1" t="s">
        <v>3189</v>
      </c>
      <c r="S636" s="14"/>
      <c r="T636" s="14"/>
      <c r="U636" s="19" t="str">
        <f>HYPERLINK("https://pbs.twimg.com/profile_images/853115860965363712/s4JuzjM_.jpg","View")</f>
        <v>View</v>
      </c>
      <c r="V636" s="14"/>
      <c r="W636" s="14"/>
      <c r="X636" s="14"/>
      <c r="Y636" s="14"/>
      <c r="Z636" s="14"/>
    </row>
    <row r="637">
      <c r="A637" s="11">
        <v>43847.316030092596</v>
      </c>
      <c r="B637" s="12" t="str">
        <f>HYPERLINK("https://twitter.com/TheCalmPeople","@TheCalmPeople")</f>
        <v>@TheCalmPeople</v>
      </c>
      <c r="C637" s="1" t="s">
        <v>2145</v>
      </c>
      <c r="D637" s="1" t="s">
        <v>3190</v>
      </c>
      <c r="E637" s="12" t="str">
        <f>HYPERLINK("https://twitter.com/TheCalmPeople/status/1218149741399285762","1218149741399285762")</f>
        <v>1218149741399285762</v>
      </c>
      <c r="F637" s="14"/>
      <c r="G637" s="13" t="s">
        <v>3191</v>
      </c>
      <c r="H637" s="14"/>
      <c r="I637" s="15">
        <v>0.0</v>
      </c>
      <c r="J637" s="15">
        <v>0.0</v>
      </c>
      <c r="K637" s="12" t="str">
        <f>HYPERLINK("https://www.hootsuite.com","Hootsuite Inc.")</f>
        <v>Hootsuite Inc.</v>
      </c>
      <c r="L637" s="16">
        <v>1748.0</v>
      </c>
      <c r="M637" s="16">
        <v>261.0</v>
      </c>
      <c r="N637" s="16">
        <v>39.0</v>
      </c>
      <c r="O637" s="17"/>
      <c r="P637" s="18">
        <v>39970.570706018516</v>
      </c>
      <c r="Q637" s="1" t="s">
        <v>864</v>
      </c>
      <c r="R637" s="1" t="s">
        <v>2148</v>
      </c>
      <c r="S637" s="13" t="s">
        <v>2149</v>
      </c>
      <c r="T637" s="14"/>
      <c r="U637" s="19" t="str">
        <f>HYPERLINK("https://pbs.twimg.com/profile_images/651434318506528768/fuSNk5ze.jpg","View")</f>
        <v>View</v>
      </c>
      <c r="V637" s="14"/>
      <c r="W637" s="14"/>
      <c r="X637" s="14"/>
      <c r="Y637" s="14"/>
      <c r="Z637" s="14"/>
    </row>
    <row r="638">
      <c r="A638" s="11">
        <v>43847.31439814815</v>
      </c>
      <c r="B638" s="12" t="str">
        <f>HYPERLINK("https://twitter.com/lucas73sm","@lucas73sm")</f>
        <v>@lucas73sm</v>
      </c>
      <c r="C638" s="1" t="s">
        <v>3192</v>
      </c>
      <c r="D638" s="1" t="s">
        <v>3193</v>
      </c>
      <c r="E638" s="12" t="str">
        <f>HYPERLINK("https://twitter.com/lucas73sm/status/1218149150073577473","1218149150073577473")</f>
        <v>1218149150073577473</v>
      </c>
      <c r="F638" s="13" t="s">
        <v>3194</v>
      </c>
      <c r="G638" s="14"/>
      <c r="H638" s="12" t="str">
        <f>HYPERLINK("https://ctrlq.org/maps/address/#-26.2047,28.0421","Map")</f>
        <v>Map</v>
      </c>
      <c r="I638" s="15">
        <v>0.0</v>
      </c>
      <c r="J638" s="15">
        <v>0.0</v>
      </c>
      <c r="K638" s="12" t="str">
        <f t="shared" ref="K638:K639" si="65">HYPERLINK("http://instagram.com","Instagram")</f>
        <v>Instagram</v>
      </c>
      <c r="L638" s="16">
        <v>337.0</v>
      </c>
      <c r="M638" s="16">
        <v>204.0</v>
      </c>
      <c r="N638" s="16">
        <v>20.0</v>
      </c>
      <c r="O638" s="17"/>
      <c r="P638" s="18">
        <v>40871.58542824074</v>
      </c>
      <c r="Q638" s="1" t="s">
        <v>3111</v>
      </c>
      <c r="R638" s="1" t="s">
        <v>3195</v>
      </c>
      <c r="S638" s="14"/>
      <c r="T638" s="14"/>
      <c r="U638" s="19" t="str">
        <f>HYPERLINK("https://pbs.twimg.com/profile_images/1204302926992281600/tMhuJhdl.jpg","View")</f>
        <v>View</v>
      </c>
      <c r="V638" s="14"/>
      <c r="W638" s="14"/>
      <c r="X638" s="14"/>
      <c r="Y638" s="14"/>
      <c r="Z638" s="14"/>
    </row>
    <row r="639">
      <c r="A639" s="11">
        <v>43847.31313657407</v>
      </c>
      <c r="B639" s="12" t="str">
        <f>HYPERLINK("https://twitter.com/healistry","@healistry")</f>
        <v>@healistry</v>
      </c>
      <c r="C639" s="1" t="s">
        <v>3196</v>
      </c>
      <c r="D639" s="1" t="s">
        <v>3197</v>
      </c>
      <c r="E639" s="12" t="str">
        <f>HYPERLINK("https://twitter.com/healistry/status/1218148694576500737","1218148694576500737")</f>
        <v>1218148694576500737</v>
      </c>
      <c r="F639" s="13" t="s">
        <v>3198</v>
      </c>
      <c r="G639" s="14"/>
      <c r="H639" s="14"/>
      <c r="I639" s="15">
        <v>0.0</v>
      </c>
      <c r="J639" s="15">
        <v>0.0</v>
      </c>
      <c r="K639" s="12" t="str">
        <f t="shared" si="65"/>
        <v>Instagram</v>
      </c>
      <c r="L639" s="16">
        <v>162.0</v>
      </c>
      <c r="M639" s="16">
        <v>333.0</v>
      </c>
      <c r="N639" s="16">
        <v>2.0</v>
      </c>
      <c r="O639" s="17"/>
      <c r="P639" s="18">
        <v>42895.58515046297</v>
      </c>
      <c r="Q639" s="1" t="s">
        <v>2904</v>
      </c>
      <c r="R639" s="1" t="s">
        <v>3199</v>
      </c>
      <c r="S639" s="14"/>
      <c r="T639" s="14"/>
      <c r="U639" s="19" t="str">
        <f>HYPERLINK("https://pbs.twimg.com/profile_images/1182812672812732416/30gmyzUF.jpg","View")</f>
        <v>View</v>
      </c>
      <c r="V639" s="14"/>
      <c r="W639" s="14"/>
      <c r="X639" s="14"/>
      <c r="Y639" s="14"/>
      <c r="Z639" s="14"/>
    </row>
    <row r="640">
      <c r="A640" s="11">
        <v>43847.3094675926</v>
      </c>
      <c r="B640" s="12" t="str">
        <f>HYPERLINK("https://twitter.com/RickyRave","@RickyRave")</f>
        <v>@RickyRave</v>
      </c>
      <c r="C640" s="1" t="s">
        <v>3200</v>
      </c>
      <c r="D640" s="1" t="s">
        <v>3201</v>
      </c>
      <c r="E640" s="12" t="str">
        <f>HYPERLINK("https://twitter.com/RickyRave/status/1218147366156541952","1218147366156541952")</f>
        <v>1218147366156541952</v>
      </c>
      <c r="F640" s="14"/>
      <c r="G640" s="14"/>
      <c r="H640" s="14"/>
      <c r="I640" s="15">
        <v>0.0</v>
      </c>
      <c r="J640" s="15">
        <v>2.0</v>
      </c>
      <c r="K640" s="12" t="str">
        <f>HYPERLINK("http://twitter.com/download/iphone","Twitter for iPhone")</f>
        <v>Twitter for iPhone</v>
      </c>
      <c r="L640" s="16">
        <v>2672.0</v>
      </c>
      <c r="M640" s="16">
        <v>3570.0</v>
      </c>
      <c r="N640" s="16">
        <v>40.0</v>
      </c>
      <c r="O640" s="17"/>
      <c r="P640" s="18">
        <v>39918.861712962964</v>
      </c>
      <c r="Q640" s="1" t="s">
        <v>2776</v>
      </c>
      <c r="R640" s="1" t="s">
        <v>3202</v>
      </c>
      <c r="S640" s="13" t="s">
        <v>3203</v>
      </c>
      <c r="T640" s="14"/>
      <c r="U640" s="19" t="str">
        <f>HYPERLINK("https://pbs.twimg.com/profile_images/1075956796051939330/gtCz0Hrl.jpg","View")</f>
        <v>View</v>
      </c>
      <c r="V640" s="14"/>
      <c r="W640" s="14"/>
      <c r="X640" s="14"/>
      <c r="Y640" s="14"/>
      <c r="Z640" s="14"/>
    </row>
    <row r="641">
      <c r="A641" s="11">
        <v>43847.30924768519</v>
      </c>
      <c r="B641" s="12" t="str">
        <f>HYPERLINK("https://twitter.com/YBRICH","@YBRICH")</f>
        <v>@YBRICH</v>
      </c>
      <c r="C641" s="1" t="s">
        <v>3204</v>
      </c>
      <c r="D641" s="1" t="s">
        <v>3205</v>
      </c>
      <c r="E641" s="12" t="str">
        <f>HYPERLINK("https://twitter.com/YBRICH/status/1218147284891947008","1218147284891947008")</f>
        <v>1218147284891947008</v>
      </c>
      <c r="F641" s="14"/>
      <c r="G641" s="14"/>
      <c r="H641" s="14"/>
      <c r="I641" s="15">
        <v>0.0</v>
      </c>
      <c r="J641" s="15">
        <v>0.0</v>
      </c>
      <c r="K641" s="12" t="str">
        <f>HYPERLINK("http://twitter.com/download/android","Twitter for Android")</f>
        <v>Twitter for Android</v>
      </c>
      <c r="L641" s="16">
        <v>72.0</v>
      </c>
      <c r="M641" s="16">
        <v>74.0</v>
      </c>
      <c r="N641" s="16">
        <v>3.0</v>
      </c>
      <c r="O641" s="17"/>
      <c r="P641" s="18">
        <v>40428.66850694444</v>
      </c>
      <c r="Q641" s="14"/>
      <c r="R641" s="14"/>
      <c r="S641" s="14"/>
      <c r="T641" s="14"/>
      <c r="U641" s="19" t="str">
        <f>HYPERLINK("https://pbs.twimg.com/profile_images/586977467174412288/zZ-org2s.jpg","View")</f>
        <v>View</v>
      </c>
      <c r="V641" s="14"/>
      <c r="W641" s="14"/>
      <c r="X641" s="14"/>
      <c r="Y641" s="14"/>
      <c r="Z641" s="14"/>
    </row>
    <row r="642">
      <c r="A642" s="11">
        <v>43847.308796296296</v>
      </c>
      <c r="B642" s="12" t="str">
        <f>HYPERLINK("https://twitter.com/Sueschlesman","@Sueschlesman")</f>
        <v>@Sueschlesman</v>
      </c>
      <c r="C642" s="1" t="s">
        <v>3206</v>
      </c>
      <c r="D642" s="1" t="s">
        <v>3207</v>
      </c>
      <c r="E642" s="12" t="str">
        <f>HYPERLINK("https://twitter.com/Sueschlesman/status/1218147121242738688","1218147121242738688")</f>
        <v>1218147121242738688</v>
      </c>
      <c r="F642" s="13" t="s">
        <v>3208</v>
      </c>
      <c r="G642" s="14"/>
      <c r="H642" s="14"/>
      <c r="I642" s="15">
        <v>0.0</v>
      </c>
      <c r="J642" s="15">
        <v>1.0</v>
      </c>
      <c r="K642" s="12" t="str">
        <f>HYPERLINK("http://twitter.com","Twitter Web Client")</f>
        <v>Twitter Web Client</v>
      </c>
      <c r="L642" s="16">
        <v>656.0</v>
      </c>
      <c r="M642" s="16">
        <v>1203.0</v>
      </c>
      <c r="N642" s="16">
        <v>8.0</v>
      </c>
      <c r="O642" s="17"/>
      <c r="P642" s="18">
        <v>41217.3233912037</v>
      </c>
      <c r="Q642" s="1" t="s">
        <v>3209</v>
      </c>
      <c r="R642" s="1" t="s">
        <v>3210</v>
      </c>
      <c r="S642" s="13" t="s">
        <v>3211</v>
      </c>
      <c r="T642" s="14"/>
      <c r="U642" s="19" t="str">
        <f>HYPERLINK("https://pbs.twimg.com/profile_images/813714245124816896/ky4YCMBp.jpg","View")</f>
        <v>View</v>
      </c>
      <c r="V642" s="14"/>
      <c r="W642" s="14"/>
      <c r="X642" s="14"/>
      <c r="Y642" s="14"/>
      <c r="Z642" s="14"/>
    </row>
    <row r="643">
      <c r="A643" s="11">
        <v>43847.30853009259</v>
      </c>
      <c r="B643" s="12" t="str">
        <f>HYPERLINK("https://twitter.com/mindfulyouspace","@mindfulyouspace")</f>
        <v>@mindfulyouspace</v>
      </c>
      <c r="C643" s="1" t="s">
        <v>3212</v>
      </c>
      <c r="D643" s="1" t="s">
        <v>3213</v>
      </c>
      <c r="E643" s="12" t="str">
        <f>HYPERLINK("https://twitter.com/mindfulyouspace/status/1218147025725857792","1218147025725857792")</f>
        <v>1218147025725857792</v>
      </c>
      <c r="F643" s="13" t="s">
        <v>3214</v>
      </c>
      <c r="G643" s="13" t="s">
        <v>3215</v>
      </c>
      <c r="H643" s="14"/>
      <c r="I643" s="15">
        <v>0.0</v>
      </c>
      <c r="J643" s="15">
        <v>0.0</v>
      </c>
      <c r="K643" s="12" t="str">
        <f t="shared" ref="K643:K645" si="66">HYPERLINK("https://mobile.twitter.com","Twitter Web App")</f>
        <v>Twitter Web App</v>
      </c>
      <c r="L643" s="16">
        <v>0.0</v>
      </c>
      <c r="M643" s="16">
        <v>0.0</v>
      </c>
      <c r="N643" s="16">
        <v>0.0</v>
      </c>
      <c r="O643" s="17"/>
      <c r="P643" s="18">
        <v>43609.302615740744</v>
      </c>
      <c r="Q643" s="1" t="s">
        <v>1194</v>
      </c>
      <c r="R643" s="1" t="s">
        <v>3216</v>
      </c>
      <c r="S643" s="13" t="s">
        <v>3217</v>
      </c>
      <c r="T643" s="14"/>
      <c r="U643" s="19" t="str">
        <f>HYPERLINK("https://pbs.twimg.com/profile_images/1206633218180632576/l2pAUnVG.jpg","View")</f>
        <v>View</v>
      </c>
      <c r="V643" s="14"/>
      <c r="W643" s="14"/>
      <c r="X643" s="14"/>
      <c r="Y643" s="14"/>
      <c r="Z643" s="14"/>
    </row>
    <row r="644">
      <c r="A644" s="11">
        <v>43847.30710648149</v>
      </c>
      <c r="B644" s="12" t="str">
        <f>HYPERLINK("https://twitter.com/DrMarkNH","@DrMarkNH")</f>
        <v>@DrMarkNH</v>
      </c>
      <c r="C644" s="1" t="s">
        <v>1185</v>
      </c>
      <c r="D644" s="1" t="s">
        <v>3218</v>
      </c>
      <c r="E644" s="12" t="str">
        <f>HYPERLINK("https://twitter.com/DrMarkNH/status/1218146507557347328","1218146507557347328")</f>
        <v>1218146507557347328</v>
      </c>
      <c r="F644" s="13" t="s">
        <v>3219</v>
      </c>
      <c r="G644" s="14"/>
      <c r="H644" s="14"/>
      <c r="I644" s="15">
        <v>0.0</v>
      </c>
      <c r="J644" s="15">
        <v>1.0</v>
      </c>
      <c r="K644" s="12" t="str">
        <f t="shared" si="66"/>
        <v>Twitter Web App</v>
      </c>
      <c r="L644" s="16">
        <v>69.0</v>
      </c>
      <c r="M644" s="16">
        <v>116.0</v>
      </c>
      <c r="N644" s="16">
        <v>0.0</v>
      </c>
      <c r="O644" s="17"/>
      <c r="P644" s="18">
        <v>41212.71958333333</v>
      </c>
      <c r="Q644" s="1" t="s">
        <v>1188</v>
      </c>
      <c r="R644" s="1" t="s">
        <v>1189</v>
      </c>
      <c r="S644" s="13" t="s">
        <v>1190</v>
      </c>
      <c r="T644" s="14"/>
      <c r="U644" s="19" t="str">
        <f>HYPERLINK("https://pbs.twimg.com/profile_images/3635344032/3902cf99b2f5e3d8d1b79ee1e4e62e98.jpeg","View")</f>
        <v>View</v>
      </c>
      <c r="V644" s="14"/>
      <c r="W644" s="14"/>
      <c r="X644" s="14"/>
      <c r="Y644" s="14"/>
      <c r="Z644" s="14"/>
    </row>
    <row r="645">
      <c r="A645" s="11">
        <v>43847.30663194445</v>
      </c>
      <c r="B645" s="12" t="str">
        <f>HYPERLINK("https://twitter.com/sarivuohtoniemi","@sarivuohtoniemi")</f>
        <v>@sarivuohtoniemi</v>
      </c>
      <c r="C645" s="1" t="s">
        <v>3220</v>
      </c>
      <c r="D645" s="1" t="s">
        <v>3221</v>
      </c>
      <c r="E645" s="12" t="str">
        <f>HYPERLINK("https://twitter.com/sarivuohtoniemi/status/1218146337943965696","1218146337943965696")</f>
        <v>1218146337943965696</v>
      </c>
      <c r="F645" s="14"/>
      <c r="G645" s="13" t="s">
        <v>3222</v>
      </c>
      <c r="H645" s="14"/>
      <c r="I645" s="15">
        <v>0.0</v>
      </c>
      <c r="J645" s="15">
        <v>3.0</v>
      </c>
      <c r="K645" s="12" t="str">
        <f t="shared" si="66"/>
        <v>Twitter Web App</v>
      </c>
      <c r="L645" s="16">
        <v>293.0</v>
      </c>
      <c r="M645" s="16">
        <v>450.0</v>
      </c>
      <c r="N645" s="16">
        <v>18.0</v>
      </c>
      <c r="O645" s="17"/>
      <c r="P645" s="18">
        <v>41718.71542824074</v>
      </c>
      <c r="Q645" s="1" t="s">
        <v>3223</v>
      </c>
      <c r="R645" s="1" t="s">
        <v>3224</v>
      </c>
      <c r="S645" s="13" t="s">
        <v>3225</v>
      </c>
      <c r="T645" s="14"/>
      <c r="U645" s="19" t="str">
        <f>HYPERLINK("https://pbs.twimg.com/profile_images/1157583865139081217/R05bORab.jpg","View")</f>
        <v>View</v>
      </c>
      <c r="V645" s="14"/>
      <c r="W645" s="14"/>
      <c r="X645" s="14"/>
      <c r="Y645" s="14"/>
      <c r="Z645" s="14"/>
    </row>
    <row r="646">
      <c r="A646" s="11">
        <v>43847.305601851855</v>
      </c>
      <c r="B646" s="12" t="str">
        <f>HYPERLINK("https://twitter.com/PinkSpag_Debbie","@PinkSpag_Debbie")</f>
        <v>@PinkSpag_Debbie</v>
      </c>
      <c r="C646" s="1" t="s">
        <v>3226</v>
      </c>
      <c r="D646" s="1" t="s">
        <v>3227</v>
      </c>
      <c r="E646" s="12" t="str">
        <f>HYPERLINK("https://twitter.com/PinkSpag_Debbie/status/1218145963224850435","1218145963224850435")</f>
        <v>1218145963224850435</v>
      </c>
      <c r="F646" s="14"/>
      <c r="G646" s="14"/>
      <c r="H646" s="14"/>
      <c r="I646" s="15">
        <v>0.0</v>
      </c>
      <c r="J646" s="15">
        <v>0.0</v>
      </c>
      <c r="K646" s="12" t="str">
        <f>HYPERLINK("https://www.hootsuite.com","Hootsuite Inc.")</f>
        <v>Hootsuite Inc.</v>
      </c>
      <c r="L646" s="16">
        <v>643.0</v>
      </c>
      <c r="M646" s="16">
        <v>696.0</v>
      </c>
      <c r="N646" s="16">
        <v>12.0</v>
      </c>
      <c r="O646" s="17"/>
      <c r="P646" s="18">
        <v>42969.07759259259</v>
      </c>
      <c r="Q646" s="1" t="s">
        <v>3228</v>
      </c>
      <c r="R646" s="1" t="s">
        <v>3229</v>
      </c>
      <c r="S646" s="13" t="s">
        <v>3230</v>
      </c>
      <c r="T646" s="14"/>
      <c r="U646" s="19" t="str">
        <f>HYPERLINK("https://pbs.twimg.com/profile_images/1174624574161465344/MsJpv6BY.jpg","View")</f>
        <v>View</v>
      </c>
      <c r="V646" s="14"/>
      <c r="W646" s="14"/>
      <c r="X646" s="14"/>
      <c r="Y646" s="14"/>
      <c r="Z646" s="14"/>
    </row>
    <row r="647">
      <c r="A647" s="11">
        <v>43847.30383101852</v>
      </c>
      <c r="B647" s="12" t="str">
        <f>HYPERLINK("https://twitter.com/DrRebeccaHasson","@DrRebeccaHasson")</f>
        <v>@DrRebeccaHasson</v>
      </c>
      <c r="C647" s="1" t="s">
        <v>3231</v>
      </c>
      <c r="D647" s="1" t="s">
        <v>3232</v>
      </c>
      <c r="E647" s="12" t="str">
        <f>HYPERLINK("https://twitter.com/DrRebeccaHasson/status/1218145322075148288","1218145322075148288")</f>
        <v>1218145322075148288</v>
      </c>
      <c r="F647" s="13" t="s">
        <v>3233</v>
      </c>
      <c r="G647" s="14"/>
      <c r="H647" s="14"/>
      <c r="I647" s="15">
        <v>4.0</v>
      </c>
      <c r="J647" s="15">
        <v>13.0</v>
      </c>
      <c r="K647" s="12" t="str">
        <f>HYPERLINK("http://twitter.com/download/iphone","Twitter for iPhone")</f>
        <v>Twitter for iPhone</v>
      </c>
      <c r="L647" s="16">
        <v>624.0</v>
      </c>
      <c r="M647" s="16">
        <v>360.0</v>
      </c>
      <c r="N647" s="16">
        <v>23.0</v>
      </c>
      <c r="O647" s="17"/>
      <c r="P647" s="18">
        <v>40941.92806712963</v>
      </c>
      <c r="Q647" s="1" t="s">
        <v>654</v>
      </c>
      <c r="R647" s="1" t="s">
        <v>3234</v>
      </c>
      <c r="S647" s="13" t="s">
        <v>3235</v>
      </c>
      <c r="T647" s="14"/>
      <c r="U647" s="19" t="str">
        <f>HYPERLINK("https://pbs.twimg.com/profile_images/736160879855685632/8vO3_8Ay.jpg","View")</f>
        <v>View</v>
      </c>
      <c r="V647" s="14"/>
      <c r="W647" s="14"/>
      <c r="X647" s="14"/>
      <c r="Y647" s="14"/>
      <c r="Z647" s="14"/>
    </row>
    <row r="648">
      <c r="A648" s="11">
        <v>43847.29517361111</v>
      </c>
      <c r="B648" s="12" t="str">
        <f>HYPERLINK("https://twitter.com/FUSIONspaces","@FUSIONspaces")</f>
        <v>@FUSIONspaces</v>
      </c>
      <c r="C648" s="1" t="s">
        <v>3236</v>
      </c>
      <c r="D648" s="1" t="s">
        <v>3237</v>
      </c>
      <c r="E648" s="12" t="str">
        <f>HYPERLINK("https://twitter.com/FUSIONspaces/status/1218142186623176705","1218142186623176705")</f>
        <v>1218142186623176705</v>
      </c>
      <c r="F648" s="13" t="s">
        <v>3238</v>
      </c>
      <c r="G648" s="14"/>
      <c r="H648" s="14"/>
      <c r="I648" s="15">
        <v>0.0</v>
      </c>
      <c r="J648" s="15">
        <v>2.0</v>
      </c>
      <c r="K648" s="12" t="str">
        <f>HYPERLINK("https://www.hootsuite.com","Hootsuite Inc.")</f>
        <v>Hootsuite Inc.</v>
      </c>
      <c r="L648" s="16">
        <v>472.0</v>
      </c>
      <c r="M648" s="16">
        <v>955.0</v>
      </c>
      <c r="N648" s="16">
        <v>32.0</v>
      </c>
      <c r="O648" s="17"/>
      <c r="P648" s="18">
        <v>42329.19001157407</v>
      </c>
      <c r="Q648" s="1" t="s">
        <v>3239</v>
      </c>
      <c r="R648" s="1" t="s">
        <v>3240</v>
      </c>
      <c r="S648" s="13" t="s">
        <v>3241</v>
      </c>
      <c r="T648" s="14"/>
      <c r="U648" s="19" t="str">
        <f>HYPERLINK("https://pbs.twimg.com/profile_images/691304209321451521/ecW_wCpH.jpg","View")</f>
        <v>View</v>
      </c>
      <c r="V648" s="14"/>
      <c r="W648" s="14"/>
      <c r="X648" s="14"/>
      <c r="Y648" s="14"/>
      <c r="Z648" s="14"/>
    </row>
    <row r="649">
      <c r="A649" s="11">
        <v>43847.29375</v>
      </c>
      <c r="B649" s="12" t="str">
        <f>HYPERLINK("https://twitter.com/ASYork1","@ASYork1")</f>
        <v>@ASYork1</v>
      </c>
      <c r="C649" s="1" t="s">
        <v>3242</v>
      </c>
      <c r="D649" s="1" t="s">
        <v>3243</v>
      </c>
      <c r="E649" s="12" t="str">
        <f>HYPERLINK("https://twitter.com/ASYork1/status/1218141667892563968","1218141667892563968")</f>
        <v>1218141667892563968</v>
      </c>
      <c r="F649" s="14"/>
      <c r="G649" s="13" t="s">
        <v>3244</v>
      </c>
      <c r="H649" s="14"/>
      <c r="I649" s="15">
        <v>1.0</v>
      </c>
      <c r="J649" s="15">
        <v>1.0</v>
      </c>
      <c r="K649" s="12" t="str">
        <f>HYPERLINK("https://about.twitter.com/products/tweetdeck","TweetDeck")</f>
        <v>TweetDeck</v>
      </c>
      <c r="L649" s="16">
        <v>370.0</v>
      </c>
      <c r="M649" s="16">
        <v>200.0</v>
      </c>
      <c r="N649" s="16">
        <v>23.0</v>
      </c>
      <c r="O649" s="17"/>
      <c r="P649" s="18">
        <v>42108.506990740745</v>
      </c>
      <c r="Q649" s="1" t="s">
        <v>3245</v>
      </c>
      <c r="R649" s="1" t="s">
        <v>3246</v>
      </c>
      <c r="S649" s="14"/>
      <c r="T649" s="14"/>
      <c r="U649" s="19" t="str">
        <f>HYPERLINK("https://pbs.twimg.com/profile_images/804032856565563392/GZMkne-U.jpg","View")</f>
        <v>View</v>
      </c>
      <c r="V649" s="14"/>
      <c r="W649" s="14"/>
      <c r="X649" s="14"/>
      <c r="Y649" s="14"/>
      <c r="Z649" s="14"/>
    </row>
    <row r="650">
      <c r="A650" s="11">
        <v>43847.292071759264</v>
      </c>
      <c r="B650" s="12" t="str">
        <f>HYPERLINK("https://twitter.com/johnkaiser13","@johnkaiser13")</f>
        <v>@johnkaiser13</v>
      </c>
      <c r="C650" s="1" t="s">
        <v>3247</v>
      </c>
      <c r="D650" s="1" t="s">
        <v>3248</v>
      </c>
      <c r="E650" s="12" t="str">
        <f>HYPERLINK("https://twitter.com/johnkaiser13/status/1218141059051593729","1218141059051593729")</f>
        <v>1218141059051593729</v>
      </c>
      <c r="F650" s="13" t="s">
        <v>3249</v>
      </c>
      <c r="G650" s="13" t="s">
        <v>3250</v>
      </c>
      <c r="H650" s="14"/>
      <c r="I650" s="15">
        <v>0.0</v>
      </c>
      <c r="J650" s="15">
        <v>0.0</v>
      </c>
      <c r="K650" s="12" t="str">
        <f>HYPERLINK("https://missinglettr.com","Missinglettr")</f>
        <v>Missinglettr</v>
      </c>
      <c r="L650" s="16">
        <v>841.0</v>
      </c>
      <c r="M650" s="16">
        <v>4994.0</v>
      </c>
      <c r="N650" s="16">
        <v>86.0</v>
      </c>
      <c r="O650" s="17"/>
      <c r="P650" s="18">
        <v>41523.512662037036</v>
      </c>
      <c r="Q650" s="1" t="s">
        <v>3251</v>
      </c>
      <c r="R650" s="1" t="s">
        <v>3252</v>
      </c>
      <c r="S650" s="13" t="s">
        <v>3253</v>
      </c>
      <c r="T650" s="14"/>
      <c r="U650" s="19" t="str">
        <f>HYPERLINK("https://pbs.twimg.com/profile_images/873435029908578304/WVkkOyrc.jpg","View")</f>
        <v>View</v>
      </c>
      <c r="V650" s="14"/>
      <c r="W650" s="14"/>
      <c r="X650" s="14"/>
      <c r="Y650" s="14"/>
      <c r="Z650" s="14"/>
    </row>
    <row r="651">
      <c r="A651" s="11">
        <v>43847.29179398148</v>
      </c>
      <c r="B651" s="12" t="str">
        <f>HYPERLINK("https://twitter.com/Kalingatv","@Kalingatv")</f>
        <v>@Kalingatv</v>
      </c>
      <c r="C651" s="1" t="s">
        <v>3254</v>
      </c>
      <c r="D651" s="1" t="s">
        <v>3255</v>
      </c>
      <c r="E651" s="12" t="str">
        <f>HYPERLINK("https://twitter.com/Kalingatv/status/1218140958824386560","1218140958824386560")</f>
        <v>1218140958824386560</v>
      </c>
      <c r="F651" s="13" t="s">
        <v>3256</v>
      </c>
      <c r="G651" s="14"/>
      <c r="H651" s="14"/>
      <c r="I651" s="15">
        <v>0.0</v>
      </c>
      <c r="J651" s="15">
        <v>2.0</v>
      </c>
      <c r="K651" s="12" t="str">
        <f>HYPERLINK("https://mobile.twitter.com","Twitter Web App")</f>
        <v>Twitter Web App</v>
      </c>
      <c r="L651" s="16">
        <v>33793.0</v>
      </c>
      <c r="M651" s="16">
        <v>191.0</v>
      </c>
      <c r="N651" s="16">
        <v>64.0</v>
      </c>
      <c r="O651" s="17"/>
      <c r="P651" s="18">
        <v>42119.02596064815</v>
      </c>
      <c r="Q651" s="1" t="s">
        <v>3257</v>
      </c>
      <c r="R651" s="1" t="s">
        <v>3258</v>
      </c>
      <c r="S651" s="13" t="s">
        <v>3259</v>
      </c>
      <c r="T651" s="14"/>
      <c r="U651" s="19" t="str">
        <f>HYPERLINK("https://pbs.twimg.com/profile_images/1032290581043732480/JnVinurZ.jpg","View")</f>
        <v>View</v>
      </c>
      <c r="V651" s="14"/>
      <c r="W651" s="14"/>
      <c r="X651" s="14"/>
      <c r="Y651" s="14"/>
      <c r="Z651" s="14"/>
    </row>
    <row r="652">
      <c r="A652" s="11">
        <v>43847.291400462964</v>
      </c>
      <c r="B652" s="12" t="str">
        <f>HYPERLINK("https://twitter.com/Luvandlifestyle","@Luvandlifestyle")</f>
        <v>@Luvandlifestyle</v>
      </c>
      <c r="C652" s="1" t="s">
        <v>3260</v>
      </c>
      <c r="D652" s="1" t="s">
        <v>3261</v>
      </c>
      <c r="E652" s="12" t="str">
        <f>HYPERLINK("https://twitter.com/Luvandlifestyle/status/1218140816667041792","1218140816667041792")</f>
        <v>1218140816667041792</v>
      </c>
      <c r="F652" s="13" t="s">
        <v>3262</v>
      </c>
      <c r="G652" s="13" t="s">
        <v>3263</v>
      </c>
      <c r="H652" s="14"/>
      <c r="I652" s="15">
        <v>0.0</v>
      </c>
      <c r="J652" s="15">
        <v>0.0</v>
      </c>
      <c r="K652" s="12" t="str">
        <f>HYPERLINK("https://missinglettr.com","Missinglettr")</f>
        <v>Missinglettr</v>
      </c>
      <c r="L652" s="16">
        <v>4029.0</v>
      </c>
      <c r="M652" s="16">
        <v>1046.0</v>
      </c>
      <c r="N652" s="16">
        <v>106.0</v>
      </c>
      <c r="O652" s="17"/>
      <c r="P652" s="18">
        <v>41505.25202546296</v>
      </c>
      <c r="Q652" s="1" t="s">
        <v>3264</v>
      </c>
      <c r="R652" s="1" t="s">
        <v>3265</v>
      </c>
      <c r="S652" s="13" t="s">
        <v>3266</v>
      </c>
      <c r="T652" s="14"/>
      <c r="U652" s="19" t="str">
        <f>HYPERLINK("https://pbs.twimg.com/profile_images/1213581823873343488/neFRfAXA.jpg","View")</f>
        <v>View</v>
      </c>
      <c r="V652" s="14"/>
      <c r="W652" s="14"/>
      <c r="X652" s="14"/>
      <c r="Y652" s="14"/>
      <c r="Z652" s="14"/>
    </row>
    <row r="653">
      <c r="A653" s="11">
        <v>43847.284259259264</v>
      </c>
      <c r="B653" s="12" t="str">
        <f>HYPERLINK("https://twitter.com/TalkingEDsScot","@TalkingEDsScot")</f>
        <v>@TalkingEDsScot</v>
      </c>
      <c r="C653" s="1" t="s">
        <v>3267</v>
      </c>
      <c r="D653" s="1" t="s">
        <v>3268</v>
      </c>
      <c r="E653" s="12" t="str">
        <f>HYPERLINK("https://twitter.com/TalkingEDsScot/status/1218138229054038017","1218138229054038017")</f>
        <v>1218138229054038017</v>
      </c>
      <c r="F653" s="13" t="s">
        <v>3269</v>
      </c>
      <c r="G653" s="13" t="s">
        <v>3270</v>
      </c>
      <c r="H653" s="14"/>
      <c r="I653" s="15">
        <v>0.0</v>
      </c>
      <c r="J653" s="15">
        <v>1.0</v>
      </c>
      <c r="K653" s="12" t="str">
        <f t="shared" ref="K653:K655" si="67">HYPERLINK("https://mobile.twitter.com","Twitter Web App")</f>
        <v>Twitter Web App</v>
      </c>
      <c r="L653" s="16">
        <v>215.0</v>
      </c>
      <c r="M653" s="16">
        <v>313.0</v>
      </c>
      <c r="N653" s="16">
        <v>4.0</v>
      </c>
      <c r="O653" s="17"/>
      <c r="P653" s="18">
        <v>42216.65138888889</v>
      </c>
      <c r="Q653" s="1" t="s">
        <v>1405</v>
      </c>
      <c r="R653" s="1" t="s">
        <v>3271</v>
      </c>
      <c r="S653" s="13" t="s">
        <v>3272</v>
      </c>
      <c r="T653" s="14"/>
      <c r="U653" s="19" t="str">
        <f>HYPERLINK("https://pbs.twimg.com/profile_images/942127077481992192/_qebsLu3.jpg","View")</f>
        <v>View</v>
      </c>
      <c r="V653" s="14"/>
      <c r="W653" s="14"/>
      <c r="X653" s="14"/>
      <c r="Y653" s="14"/>
      <c r="Z653" s="14"/>
    </row>
    <row r="654">
      <c r="A654" s="11">
        <v>43847.28359953704</v>
      </c>
      <c r="B654" s="12" t="str">
        <f>HYPERLINK("https://twitter.com/UnfolduOfficial","@UnfolduOfficial")</f>
        <v>@UnfolduOfficial</v>
      </c>
      <c r="C654" s="1" t="s">
        <v>3273</v>
      </c>
      <c r="D654" s="1" t="s">
        <v>3274</v>
      </c>
      <c r="E654" s="12" t="str">
        <f>HYPERLINK("https://twitter.com/UnfolduOfficial/status/1218137989005697024","1218137989005697024")</f>
        <v>1218137989005697024</v>
      </c>
      <c r="F654" s="14"/>
      <c r="G654" s="13" t="s">
        <v>3275</v>
      </c>
      <c r="H654" s="14"/>
      <c r="I654" s="15">
        <v>0.0</v>
      </c>
      <c r="J654" s="15">
        <v>0.0</v>
      </c>
      <c r="K654" s="12" t="str">
        <f t="shared" si="67"/>
        <v>Twitter Web App</v>
      </c>
      <c r="L654" s="16">
        <v>365.0</v>
      </c>
      <c r="M654" s="16">
        <v>86.0</v>
      </c>
      <c r="N654" s="16">
        <v>2.0</v>
      </c>
      <c r="O654" s="17"/>
      <c r="P654" s="18">
        <v>43655.19943287037</v>
      </c>
      <c r="Q654" s="1" t="s">
        <v>3276</v>
      </c>
      <c r="R654" s="1" t="s">
        <v>3277</v>
      </c>
      <c r="S654" s="13" t="s">
        <v>3278</v>
      </c>
      <c r="T654" s="14"/>
      <c r="U654" s="19" t="str">
        <f>HYPERLINK("https://pbs.twimg.com/profile_images/1171676420382187520/0diytw8P.jpg","View")</f>
        <v>View</v>
      </c>
      <c r="V654" s="14"/>
      <c r="W654" s="14"/>
      <c r="X654" s="14"/>
      <c r="Y654" s="14"/>
      <c r="Z654" s="14"/>
    </row>
    <row r="655">
      <c r="A655" s="11">
        <v>43847.282060185185</v>
      </c>
      <c r="B655" s="12" t="str">
        <f>HYPERLINK("https://twitter.com/PochatTraining","@PochatTraining")</f>
        <v>@PochatTraining</v>
      </c>
      <c r="C655" s="1" t="s">
        <v>3279</v>
      </c>
      <c r="D655" s="1" t="s">
        <v>3280</v>
      </c>
      <c r="E655" s="12" t="str">
        <f>HYPERLINK("https://twitter.com/PochatTraining/status/1218137433574907904","1218137433574907904")</f>
        <v>1218137433574907904</v>
      </c>
      <c r="F655" s="14"/>
      <c r="G655" s="13" t="s">
        <v>3281</v>
      </c>
      <c r="H655" s="14"/>
      <c r="I655" s="15">
        <v>7.0</v>
      </c>
      <c r="J655" s="15">
        <v>0.0</v>
      </c>
      <c r="K655" s="12" t="str">
        <f t="shared" si="67"/>
        <v>Twitter Web App</v>
      </c>
      <c r="L655" s="16">
        <v>1584.0</v>
      </c>
      <c r="M655" s="16">
        <v>1521.0</v>
      </c>
      <c r="N655" s="16">
        <v>104.0</v>
      </c>
      <c r="O655" s="17"/>
      <c r="P655" s="18">
        <v>42414.46103009259</v>
      </c>
      <c r="Q655" s="1" t="s">
        <v>3282</v>
      </c>
      <c r="R655" s="1" t="s">
        <v>3283</v>
      </c>
      <c r="S655" s="13" t="s">
        <v>3284</v>
      </c>
      <c r="T655" s="14"/>
      <c r="U655" s="19" t="str">
        <f>HYPERLINK("https://pbs.twimg.com/profile_images/698901550756827136/6Aax4H9u.png","View")</f>
        <v>View</v>
      </c>
      <c r="V655" s="14"/>
      <c r="W655" s="14"/>
      <c r="X655" s="14"/>
      <c r="Y655" s="14"/>
      <c r="Z655" s="14"/>
    </row>
    <row r="656">
      <c r="A656" s="11">
        <v>43847.282002314816</v>
      </c>
      <c r="B656" s="12" t="str">
        <f>HYPERLINK("https://twitter.com/atulk2007","@atulk2007")</f>
        <v>@atulk2007</v>
      </c>
      <c r="C656" s="1" t="s">
        <v>3285</v>
      </c>
      <c r="D656" s="1" t="s">
        <v>3286</v>
      </c>
      <c r="E656" s="12" t="str">
        <f>HYPERLINK("https://twitter.com/atulk2007/status/1218137413152673792","1218137413152673792")</f>
        <v>1218137413152673792</v>
      </c>
      <c r="F656" s="14"/>
      <c r="G656" s="14"/>
      <c r="H656" s="14"/>
      <c r="I656" s="15">
        <v>0.0</v>
      </c>
      <c r="J656" s="15">
        <v>0.0</v>
      </c>
      <c r="K656" s="12" t="str">
        <f t="shared" ref="K656:K657" si="68">HYPERLINK("http://twitter.com/download/iphone","Twitter for iPhone")</f>
        <v>Twitter for iPhone</v>
      </c>
      <c r="L656" s="16">
        <v>61.0</v>
      </c>
      <c r="M656" s="16">
        <v>72.0</v>
      </c>
      <c r="N656" s="16">
        <v>1.0</v>
      </c>
      <c r="O656" s="17"/>
      <c r="P656" s="18">
        <v>40363.50451388889</v>
      </c>
      <c r="Q656" s="1" t="s">
        <v>3287</v>
      </c>
      <c r="R656" s="1" t="s">
        <v>3288</v>
      </c>
      <c r="S656" s="13" t="s">
        <v>3289</v>
      </c>
      <c r="T656" s="14"/>
      <c r="U656" s="19" t="str">
        <f>HYPERLINK("https://pbs.twimg.com/profile_images/643774234594951170/Wcjlo4Qm.jpg","View")</f>
        <v>View</v>
      </c>
      <c r="V656" s="14"/>
      <c r="W656" s="14"/>
      <c r="X656" s="14"/>
      <c r="Y656" s="14"/>
      <c r="Z656" s="14"/>
    </row>
    <row r="657">
      <c r="A657" s="11">
        <v>43847.281793981485</v>
      </c>
      <c r="B657" s="12" t="str">
        <f>HYPERLINK("https://twitter.com/dlim006ny","@dlim006ny")</f>
        <v>@dlim006ny</v>
      </c>
      <c r="C657" s="1" t="s">
        <v>3290</v>
      </c>
      <c r="D657" s="1" t="s">
        <v>3291</v>
      </c>
      <c r="E657" s="12" t="str">
        <f>HYPERLINK("https://twitter.com/dlim006ny/status/1218137335898017798","1218137335898017798")</f>
        <v>1218137335898017798</v>
      </c>
      <c r="F657" s="13" t="s">
        <v>3292</v>
      </c>
      <c r="G657" s="14"/>
      <c r="H657" s="14"/>
      <c r="I657" s="15">
        <v>0.0</v>
      </c>
      <c r="J657" s="15">
        <v>0.0</v>
      </c>
      <c r="K657" s="12" t="str">
        <f t="shared" si="68"/>
        <v>Twitter for iPhone</v>
      </c>
      <c r="L657" s="16">
        <v>84.0</v>
      </c>
      <c r="M657" s="16">
        <v>274.0</v>
      </c>
      <c r="N657" s="16">
        <v>0.0</v>
      </c>
      <c r="O657" s="17"/>
      <c r="P657" s="18">
        <v>42697.83309027778</v>
      </c>
      <c r="Q657" s="14"/>
      <c r="R657" s="1" t="s">
        <v>3293</v>
      </c>
      <c r="S657" s="13" t="s">
        <v>3294</v>
      </c>
      <c r="T657" s="14"/>
      <c r="U657" s="19" t="str">
        <f>HYPERLINK("https://pbs.twimg.com/profile_images/1129908152089104384/R0y28e5Y.jpg","View")</f>
        <v>View</v>
      </c>
      <c r="V657" s="14"/>
      <c r="W657" s="14"/>
      <c r="X657" s="14"/>
      <c r="Y657" s="14"/>
      <c r="Z657" s="14"/>
    </row>
    <row r="658">
      <c r="A658" s="11">
        <v>43847.281331018516</v>
      </c>
      <c r="B658" s="12" t="str">
        <f>HYPERLINK("https://twitter.com/EastWingRufford","@EastWingRufford")</f>
        <v>@EastWingRufford</v>
      </c>
      <c r="C658" s="1" t="s">
        <v>1002</v>
      </c>
      <c r="D658" s="1" t="s">
        <v>1003</v>
      </c>
      <c r="E658" s="12" t="str">
        <f>HYPERLINK("https://twitter.com/EastWingRufford/status/1218137169425989632","1218137169425989632")</f>
        <v>1218137169425989632</v>
      </c>
      <c r="F658" s="13" t="s">
        <v>1004</v>
      </c>
      <c r="G658" s="13" t="s">
        <v>3295</v>
      </c>
      <c r="H658" s="14"/>
      <c r="I658" s="15">
        <v>0.0</v>
      </c>
      <c r="J658" s="15">
        <v>0.0</v>
      </c>
      <c r="K658" s="12" t="str">
        <f>HYPERLINK("https://socialposterfire.com","Social Poster Fire")</f>
        <v>Social Poster Fire</v>
      </c>
      <c r="L658" s="16">
        <v>342.0</v>
      </c>
      <c r="M658" s="16">
        <v>524.0</v>
      </c>
      <c r="N658" s="16">
        <v>4.0</v>
      </c>
      <c r="O658" s="17"/>
      <c r="P658" s="18">
        <v>43141.54956018519</v>
      </c>
      <c r="Q658" s="1" t="s">
        <v>1006</v>
      </c>
      <c r="R658" s="1" t="s">
        <v>1007</v>
      </c>
      <c r="S658" s="13" t="s">
        <v>1008</v>
      </c>
      <c r="T658" s="14"/>
      <c r="U658" s="19" t="str">
        <f>HYPERLINK("https://pbs.twimg.com/profile_images/962404982984241158/u2bomX09.jpg","View")</f>
        <v>View</v>
      </c>
      <c r="V658" s="14"/>
      <c r="W658" s="14"/>
      <c r="X658" s="14"/>
      <c r="Y658" s="14"/>
      <c r="Z658" s="14"/>
    </row>
    <row r="659">
      <c r="A659" s="11">
        <v>43847.28127314815</v>
      </c>
      <c r="B659" s="12" t="str">
        <f>HYPERLINK("https://twitter.com/habitswellbeing","@habitswellbeing")</f>
        <v>@habitswellbeing</v>
      </c>
      <c r="C659" s="1" t="s">
        <v>1654</v>
      </c>
      <c r="D659" s="1" t="s">
        <v>3296</v>
      </c>
      <c r="E659" s="12" t="str">
        <f>HYPERLINK("https://twitter.com/habitswellbeing/status/1218137147397562368","1218137147397562368")</f>
        <v>1218137147397562368</v>
      </c>
      <c r="F659" s="14"/>
      <c r="G659" s="13" t="s">
        <v>3297</v>
      </c>
      <c r="H659" s="14"/>
      <c r="I659" s="15">
        <v>0.0</v>
      </c>
      <c r="J659" s="15">
        <v>1.0</v>
      </c>
      <c r="K659" s="12" t="str">
        <f>HYPERLINK("https://buffer.com","Buffer")</f>
        <v>Buffer</v>
      </c>
      <c r="L659" s="16">
        <v>182.0</v>
      </c>
      <c r="M659" s="16">
        <v>82.0</v>
      </c>
      <c r="N659" s="16">
        <v>34.0</v>
      </c>
      <c r="O659" s="17"/>
      <c r="P659" s="18">
        <v>42106.92797453704</v>
      </c>
      <c r="Q659" s="1" t="s">
        <v>51</v>
      </c>
      <c r="R659" s="1" t="s">
        <v>1658</v>
      </c>
      <c r="S659" s="13" t="s">
        <v>1659</v>
      </c>
      <c r="T659" s="14"/>
      <c r="U659" s="19" t="str">
        <f>HYPERLINK("https://pbs.twimg.com/profile_images/587445709403631617/qgbNIiNn.jpg","View")</f>
        <v>View</v>
      </c>
      <c r="V659" s="14"/>
      <c r="W659" s="14"/>
      <c r="X659" s="14"/>
      <c r="Y659" s="14"/>
      <c r="Z659" s="14"/>
    </row>
    <row r="660">
      <c r="A660" s="11">
        <v>43847.28125</v>
      </c>
      <c r="B660" s="12" t="str">
        <f>HYPERLINK("https://twitter.com/GranaGard","@GranaGard")</f>
        <v>@GranaGard</v>
      </c>
      <c r="C660" s="1" t="s">
        <v>3298</v>
      </c>
      <c r="D660" s="1" t="s">
        <v>3299</v>
      </c>
      <c r="E660" s="12" t="str">
        <f>HYPERLINK("https://twitter.com/GranaGard/status/1218137137989636097","1218137137989636097")</f>
        <v>1218137137989636097</v>
      </c>
      <c r="F660" s="13" t="s">
        <v>3300</v>
      </c>
      <c r="G660" s="13" t="s">
        <v>3301</v>
      </c>
      <c r="H660" s="14"/>
      <c r="I660" s="15">
        <v>0.0</v>
      </c>
      <c r="J660" s="15">
        <v>0.0</v>
      </c>
      <c r="K660" s="12" t="str">
        <f>HYPERLINK("https://about.twitter.com/products/tweetdeck","TweetDeck")</f>
        <v>TweetDeck</v>
      </c>
      <c r="L660" s="16">
        <v>127.0</v>
      </c>
      <c r="M660" s="16">
        <v>612.0</v>
      </c>
      <c r="N660" s="16">
        <v>1.0</v>
      </c>
      <c r="O660" s="17"/>
      <c r="P660" s="18">
        <v>43719.42726851851</v>
      </c>
      <c r="Q660" s="14"/>
      <c r="R660" s="1" t="s">
        <v>3302</v>
      </c>
      <c r="S660" s="13" t="s">
        <v>3303</v>
      </c>
      <c r="T660" s="14"/>
      <c r="U660" s="19" t="str">
        <f>HYPERLINK("https://pbs.twimg.com/profile_images/1171789660919648257/oCo0NNtU.png","View")</f>
        <v>View</v>
      </c>
      <c r="V660" s="14"/>
      <c r="W660" s="14"/>
      <c r="X660" s="14"/>
      <c r="Y660" s="14"/>
      <c r="Z660" s="14"/>
    </row>
    <row r="661">
      <c r="A661" s="11">
        <v>43847.27798611111</v>
      </c>
      <c r="B661" s="12" t="str">
        <f>HYPERLINK("https://twitter.com/DrPeteMarcelo","@DrPeteMarcelo")</f>
        <v>@DrPeteMarcelo</v>
      </c>
      <c r="C661" s="1" t="s">
        <v>3304</v>
      </c>
      <c r="D661" s="1" t="s">
        <v>3305</v>
      </c>
      <c r="E661" s="12" t="str">
        <f>HYPERLINK("https://twitter.com/DrPeteMarcelo/status/1218135955292463105","1218135955292463105")</f>
        <v>1218135955292463105</v>
      </c>
      <c r="F661" s="13" t="s">
        <v>3306</v>
      </c>
      <c r="G661" s="14"/>
      <c r="H661" s="14"/>
      <c r="I661" s="15">
        <v>3.0</v>
      </c>
      <c r="J661" s="15">
        <v>2.0</v>
      </c>
      <c r="K661" s="12" t="str">
        <f>HYPERLINK("http://www.facebook.com/twitter","Facebook")</f>
        <v>Facebook</v>
      </c>
      <c r="L661" s="16">
        <v>2857.0</v>
      </c>
      <c r="M661" s="16">
        <v>2448.0</v>
      </c>
      <c r="N661" s="16">
        <v>118.0</v>
      </c>
      <c r="O661" s="17"/>
      <c r="P661" s="18">
        <v>40500.30787037037</v>
      </c>
      <c r="Q661" s="1" t="s">
        <v>3307</v>
      </c>
      <c r="R661" s="1" t="s">
        <v>3308</v>
      </c>
      <c r="S661" s="13" t="s">
        <v>3309</v>
      </c>
      <c r="T661" s="14"/>
      <c r="U661" s="19" t="str">
        <f>HYPERLINK("https://pbs.twimg.com/profile_images/1071780184766984192/zqSBgmO4.jpg","View")</f>
        <v>View</v>
      </c>
      <c r="V661" s="14"/>
      <c r="W661" s="14"/>
      <c r="X661" s="14"/>
      <c r="Y661" s="14"/>
      <c r="Z661" s="14"/>
    </row>
    <row r="662">
      <c r="A662" s="11">
        <v>43847.277974537035</v>
      </c>
      <c r="B662" s="12" t="str">
        <f>HYPERLINK("https://twitter.com/BrainCollectiv1","@BrainCollectiv1")</f>
        <v>@BrainCollectiv1</v>
      </c>
      <c r="C662" s="1" t="s">
        <v>300</v>
      </c>
      <c r="D662" s="1" t="s">
        <v>301</v>
      </c>
      <c r="E662" s="12" t="str">
        <f>HYPERLINK("https://twitter.com/BrainCollectiv1/status/1218135953484713984","1218135953484713984")</f>
        <v>1218135953484713984</v>
      </c>
      <c r="F662" s="13" t="s">
        <v>3310</v>
      </c>
      <c r="G662" s="14"/>
      <c r="H662" s="14"/>
      <c r="I662" s="15">
        <v>0.0</v>
      </c>
      <c r="J662" s="15">
        <v>0.0</v>
      </c>
      <c r="K662" s="12" t="str">
        <f>HYPERLINK("https://www.socialreport.com","SocialReport.com")</f>
        <v>SocialReport.com</v>
      </c>
      <c r="L662" s="16">
        <v>210.0</v>
      </c>
      <c r="M662" s="16">
        <v>340.0</v>
      </c>
      <c r="N662" s="16">
        <v>1.0</v>
      </c>
      <c r="O662" s="17"/>
      <c r="P662" s="18">
        <v>43033.30827546296</v>
      </c>
      <c r="Q662" s="1" t="s">
        <v>303</v>
      </c>
      <c r="R662" s="1" t="s">
        <v>304</v>
      </c>
      <c r="S662" s="13" t="s">
        <v>305</v>
      </c>
      <c r="T662" s="14"/>
      <c r="U662" s="19" t="str">
        <f>HYPERLINK("https://pbs.twimg.com/profile_images/923152499946737664/liFNQKWG.jpg","View")</f>
        <v>View</v>
      </c>
      <c r="V662" s="14"/>
      <c r="W662" s="14"/>
      <c r="X662" s="14"/>
      <c r="Y662" s="14"/>
      <c r="Z662" s="14"/>
    </row>
    <row r="663">
      <c r="A663" s="11">
        <v>43847.27329861111</v>
      </c>
      <c r="B663" s="12" t="str">
        <f>HYPERLINK("https://twitter.com/MahiraK12128172","@MahiraK12128172")</f>
        <v>@MahiraK12128172</v>
      </c>
      <c r="C663" s="1" t="s">
        <v>1961</v>
      </c>
      <c r="D663" s="1" t="s">
        <v>3311</v>
      </c>
      <c r="E663" s="12" t="str">
        <f>HYPERLINK("https://twitter.com/MahiraK12128172/status/1218134255835975681","1218134255835975681")</f>
        <v>1218134255835975681</v>
      </c>
      <c r="F663" s="14"/>
      <c r="G663" s="13" t="s">
        <v>3312</v>
      </c>
      <c r="H663" s="14"/>
      <c r="I663" s="15">
        <v>0.0</v>
      </c>
      <c r="J663" s="15">
        <v>1.0</v>
      </c>
      <c r="K663" s="12" t="str">
        <f>HYPERLINK("http://twitter.com/download/android","Twitter for Android")</f>
        <v>Twitter for Android</v>
      </c>
      <c r="L663" s="16">
        <v>7.0</v>
      </c>
      <c r="M663" s="16">
        <v>6.0</v>
      </c>
      <c r="N663" s="16">
        <v>0.0</v>
      </c>
      <c r="O663" s="17"/>
      <c r="P663" s="18">
        <v>43828.45667824074</v>
      </c>
      <c r="Q663" s="14"/>
      <c r="R663" s="1" t="s">
        <v>1963</v>
      </c>
      <c r="S663" s="14"/>
      <c r="T663" s="14"/>
      <c r="U663" s="19" t="str">
        <f>HYPERLINK("https://pbs.twimg.com/profile_images/1215238874550632448/rjhz6sRR.jpg","View")</f>
        <v>View</v>
      </c>
      <c r="V663" s="14"/>
      <c r="W663" s="14"/>
      <c r="X663" s="14"/>
      <c r="Y663" s="14"/>
      <c r="Z663" s="14"/>
    </row>
    <row r="664">
      <c r="A664" s="11">
        <v>43847.272511574076</v>
      </c>
      <c r="B664" s="12" t="str">
        <f>HYPERLINK("https://twitter.com/depressioncong2","@depressioncong2")</f>
        <v>@depressioncong2</v>
      </c>
      <c r="C664" s="1" t="s">
        <v>3313</v>
      </c>
      <c r="D664" s="1" t="s">
        <v>3314</v>
      </c>
      <c r="E664" s="12" t="str">
        <f>HYPERLINK("https://twitter.com/depressioncong2/status/1218133973190078464","1218133973190078464")</f>
        <v>1218133973190078464</v>
      </c>
      <c r="F664" s="13" t="s">
        <v>3315</v>
      </c>
      <c r="G664" s="13" t="s">
        <v>3316</v>
      </c>
      <c r="H664" s="14"/>
      <c r="I664" s="15">
        <v>0.0</v>
      </c>
      <c r="J664" s="15">
        <v>1.0</v>
      </c>
      <c r="K664" s="12" t="str">
        <f>HYPERLINK("https://mobile.twitter.com","Twitter Web App")</f>
        <v>Twitter Web App</v>
      </c>
      <c r="L664" s="16">
        <v>88.0</v>
      </c>
      <c r="M664" s="16">
        <v>391.0</v>
      </c>
      <c r="N664" s="16">
        <v>0.0</v>
      </c>
      <c r="O664" s="17"/>
      <c r="P664" s="18">
        <v>43293.00284722222</v>
      </c>
      <c r="Q664" s="14"/>
      <c r="R664" s="1" t="s">
        <v>3317</v>
      </c>
      <c r="S664" s="14"/>
      <c r="T664" s="14"/>
      <c r="U664" s="19" t="str">
        <f>HYPERLINK("https://pbs.twimg.com/profile_images/1197722431705604096/p3qUZtvV.jpg","View")</f>
        <v>View</v>
      </c>
      <c r="V664" s="14"/>
      <c r="W664" s="14"/>
      <c r="X664" s="14"/>
      <c r="Y664" s="14"/>
      <c r="Z664" s="14"/>
    </row>
    <row r="665">
      <c r="A665" s="11">
        <v>43847.26783564815</v>
      </c>
      <c r="B665" s="12" t="str">
        <f>HYPERLINK("https://twitter.com/renascencemusic","@renascencemusic")</f>
        <v>@renascencemusic</v>
      </c>
      <c r="C665" s="1" t="s">
        <v>247</v>
      </c>
      <c r="D665" s="1" t="s">
        <v>3318</v>
      </c>
      <c r="E665" s="12" t="str">
        <f>HYPERLINK("https://twitter.com/renascencemusic/status/1218132279920398337","1218132279920398337")</f>
        <v>1218132279920398337</v>
      </c>
      <c r="F665" s="13" t="s">
        <v>3319</v>
      </c>
      <c r="G665" s="13" t="s">
        <v>3320</v>
      </c>
      <c r="H665" s="14"/>
      <c r="I665" s="15">
        <v>0.0</v>
      </c>
      <c r="J665" s="15">
        <v>0.0</v>
      </c>
      <c r="K665" s="12" t="str">
        <f>HYPERLINK("https://www.socialoomph.com","SocialOomph")</f>
        <v>SocialOomph</v>
      </c>
      <c r="L665" s="16">
        <v>13031.0</v>
      </c>
      <c r="M665" s="16">
        <v>11650.0</v>
      </c>
      <c r="N665" s="16">
        <v>219.0</v>
      </c>
      <c r="O665" s="17"/>
      <c r="P665" s="18">
        <v>42470.67052083333</v>
      </c>
      <c r="Q665" s="1" t="s">
        <v>251</v>
      </c>
      <c r="R665" s="1" t="s">
        <v>252</v>
      </c>
      <c r="S665" s="13" t="s">
        <v>253</v>
      </c>
      <c r="T665" s="14"/>
      <c r="U665" s="19" t="str">
        <f>HYPERLINK("https://pbs.twimg.com/profile_images/1123407512743612416/g721ra2J.png","View")</f>
        <v>View</v>
      </c>
      <c r="V665" s="14"/>
      <c r="W665" s="14"/>
      <c r="X665" s="14"/>
      <c r="Y665" s="14"/>
      <c r="Z665" s="14"/>
    </row>
    <row r="666">
      <c r="A666" s="11">
        <v>43847.26648148148</v>
      </c>
      <c r="B666" s="12" t="str">
        <f>HYPERLINK("https://twitter.com/theempathybiz","@theempathybiz")</f>
        <v>@theempathybiz</v>
      </c>
      <c r="C666" s="1" t="s">
        <v>3321</v>
      </c>
      <c r="D666" s="1" t="s">
        <v>3322</v>
      </c>
      <c r="E666" s="12" t="str">
        <f>HYPERLINK("https://twitter.com/theempathybiz/status/1218131786951221249","1218131786951221249")</f>
        <v>1218131786951221249</v>
      </c>
      <c r="F666" s="13" t="s">
        <v>3323</v>
      </c>
      <c r="G666" s="14"/>
      <c r="H666" s="14"/>
      <c r="I666" s="15">
        <v>2.0</v>
      </c>
      <c r="J666" s="15">
        <v>2.0</v>
      </c>
      <c r="K666" s="12" t="str">
        <f>HYPERLINK("http://twitter.com/download/iphone","Twitter for iPhone")</f>
        <v>Twitter for iPhone</v>
      </c>
      <c r="L666" s="16">
        <v>14727.0</v>
      </c>
      <c r="M666" s="16">
        <v>4322.0</v>
      </c>
      <c r="N666" s="16">
        <v>575.0</v>
      </c>
      <c r="O666" s="17"/>
      <c r="P666" s="18">
        <v>40307.613530092596</v>
      </c>
      <c r="Q666" s="1" t="s">
        <v>268</v>
      </c>
      <c r="R666" s="1" t="s">
        <v>3324</v>
      </c>
      <c r="S666" s="13" t="s">
        <v>3325</v>
      </c>
      <c r="T666" s="14"/>
      <c r="U666" s="19" t="str">
        <f>HYPERLINK("https://pbs.twimg.com/profile_images/1216480868178518016/NJCFWlBE.jpg","View")</f>
        <v>View</v>
      </c>
      <c r="V666" s="14"/>
      <c r="W666" s="14"/>
      <c r="X666" s="14"/>
      <c r="Y666" s="14"/>
      <c r="Z666" s="14"/>
    </row>
    <row r="667">
      <c r="A667" s="11">
        <v>43847.25869212963</v>
      </c>
      <c r="B667" s="12" t="str">
        <f>HYPERLINK("https://twitter.com/mylondonworks","@mylondonworks")</f>
        <v>@mylondonworks</v>
      </c>
      <c r="C667" s="1" t="s">
        <v>3326</v>
      </c>
      <c r="D667" s="1" t="s">
        <v>3327</v>
      </c>
      <c r="E667" s="12" t="str">
        <f>HYPERLINK("https://twitter.com/mylondonworks/status/1218128966042771456","1218128966042771456")</f>
        <v>1218128966042771456</v>
      </c>
      <c r="F667" s="13" t="s">
        <v>3328</v>
      </c>
      <c r="G667" s="13" t="s">
        <v>3329</v>
      </c>
      <c r="H667" s="14"/>
      <c r="I667" s="15">
        <v>0.0</v>
      </c>
      <c r="J667" s="15">
        <v>0.0</v>
      </c>
      <c r="K667" s="12" t="str">
        <f>HYPERLINK("https://about.twitter.com/products/tweetdeck","TweetDeck")</f>
        <v>TweetDeck</v>
      </c>
      <c r="L667" s="16">
        <v>8186.0</v>
      </c>
      <c r="M667" s="16">
        <v>5405.0</v>
      </c>
      <c r="N667" s="16">
        <v>210.0</v>
      </c>
      <c r="O667" s="17"/>
      <c r="P667" s="18">
        <v>41905.59875</v>
      </c>
      <c r="Q667" s="1" t="s">
        <v>342</v>
      </c>
      <c r="R667" s="1" t="s">
        <v>3330</v>
      </c>
      <c r="S667" s="13" t="s">
        <v>3331</v>
      </c>
      <c r="T667" s="14"/>
      <c r="U667" s="19" t="str">
        <f>HYPERLINK("https://pbs.twimg.com/profile_images/1139196199133749248/RUUq2S4V.png","View")</f>
        <v>View</v>
      </c>
      <c r="V667" s="14"/>
      <c r="W667" s="14"/>
      <c r="X667" s="14"/>
      <c r="Y667" s="14"/>
      <c r="Z667" s="14"/>
    </row>
    <row r="668">
      <c r="A668" s="11">
        <v>43847.2584375</v>
      </c>
      <c r="B668" s="12" t="str">
        <f>HYPERLINK("https://twitter.com/hrmagazine","@hrmagazine")</f>
        <v>@hrmagazine</v>
      </c>
      <c r="C668" s="1" t="s">
        <v>3332</v>
      </c>
      <c r="D668" s="1" t="s">
        <v>3333</v>
      </c>
      <c r="E668" s="12" t="str">
        <f>HYPERLINK("https://twitter.com/hrmagazine/status/1218128872169930752","1218128872169930752")</f>
        <v>1218128872169930752</v>
      </c>
      <c r="F668" s="13" t="s">
        <v>3334</v>
      </c>
      <c r="G668" s="13" t="s">
        <v>3335</v>
      </c>
      <c r="H668" s="14"/>
      <c r="I668" s="15">
        <v>1.0</v>
      </c>
      <c r="J668" s="15">
        <v>2.0</v>
      </c>
      <c r="K668" s="12" t="str">
        <f>HYPERLINK("https://mobile.twitter.com","Twitter Web App")</f>
        <v>Twitter Web App</v>
      </c>
      <c r="L668" s="16">
        <v>162774.0</v>
      </c>
      <c r="M668" s="16">
        <v>5.0</v>
      </c>
      <c r="N668" s="16">
        <v>3078.0</v>
      </c>
      <c r="O668" s="17"/>
      <c r="P668" s="18">
        <v>39800.29207175926</v>
      </c>
      <c r="Q668" s="14"/>
      <c r="R668" s="1" t="s">
        <v>3336</v>
      </c>
      <c r="S668" s="13" t="s">
        <v>3337</v>
      </c>
      <c r="T668" s="14"/>
      <c r="U668" s="19" t="str">
        <f>HYPERLINK("https://pbs.twimg.com/profile_images/464425068668260352/WEVRKVV2.png","View")</f>
        <v>View</v>
      </c>
      <c r="V668" s="14"/>
      <c r="W668" s="14"/>
      <c r="X668" s="14"/>
      <c r="Y668" s="14"/>
      <c r="Z668" s="14"/>
    </row>
    <row r="669">
      <c r="A669" s="11">
        <v>43847.25350694444</v>
      </c>
      <c r="B669" s="12" t="str">
        <f>HYPERLINK("https://twitter.com/TheCalmPeople","@TheCalmPeople")</f>
        <v>@TheCalmPeople</v>
      </c>
      <c r="C669" s="1" t="s">
        <v>2145</v>
      </c>
      <c r="D669" s="1" t="s">
        <v>3338</v>
      </c>
      <c r="E669" s="12" t="str">
        <f>HYPERLINK("https://twitter.com/TheCalmPeople/status/1218127086113689606","1218127086113689606")</f>
        <v>1218127086113689606</v>
      </c>
      <c r="F669" s="13" t="s">
        <v>2147</v>
      </c>
      <c r="G669" s="14"/>
      <c r="H669" s="14"/>
      <c r="I669" s="15">
        <v>0.0</v>
      </c>
      <c r="J669" s="15">
        <v>0.0</v>
      </c>
      <c r="K669" s="12" t="str">
        <f>HYPERLINK("https://www.hootsuite.com","Hootsuite Inc.")</f>
        <v>Hootsuite Inc.</v>
      </c>
      <c r="L669" s="16">
        <v>1748.0</v>
      </c>
      <c r="M669" s="16">
        <v>261.0</v>
      </c>
      <c r="N669" s="16">
        <v>39.0</v>
      </c>
      <c r="O669" s="17"/>
      <c r="P669" s="18">
        <v>39970.570706018516</v>
      </c>
      <c r="Q669" s="1" t="s">
        <v>864</v>
      </c>
      <c r="R669" s="1" t="s">
        <v>2148</v>
      </c>
      <c r="S669" s="13" t="s">
        <v>2149</v>
      </c>
      <c r="T669" s="14"/>
      <c r="U669" s="19" t="str">
        <f>HYPERLINK("https://pbs.twimg.com/profile_images/651434318506528768/fuSNk5ze.jpg","View")</f>
        <v>View</v>
      </c>
      <c r="V669" s="14"/>
      <c r="W669" s="14"/>
      <c r="X669" s="14"/>
      <c r="Y669" s="14"/>
      <c r="Z669" s="14"/>
    </row>
    <row r="670">
      <c r="A670" s="11">
        <v>43847.250706018516</v>
      </c>
      <c r="B670" s="12" t="str">
        <f>HYPERLINK("https://twitter.com/latestly","@latestly")</f>
        <v>@latestly</v>
      </c>
      <c r="C670" s="1" t="s">
        <v>3339</v>
      </c>
      <c r="D670" s="1" t="s">
        <v>3340</v>
      </c>
      <c r="E670" s="12" t="str">
        <f>HYPERLINK("https://twitter.com/latestly/status/1218126070970368001","1218126070970368001")</f>
        <v>1218126070970368001</v>
      </c>
      <c r="F670" s="13" t="s">
        <v>3341</v>
      </c>
      <c r="G670" s="14"/>
      <c r="H670" s="14"/>
      <c r="I670" s="15">
        <v>0.0</v>
      </c>
      <c r="J670" s="15">
        <v>1.0</v>
      </c>
      <c r="K670" s="12" t="str">
        <f>HYPERLINK("https://mobile.twitter.com","Twitter Web App")</f>
        <v>Twitter Web App</v>
      </c>
      <c r="L670" s="16">
        <v>52101.0</v>
      </c>
      <c r="M670" s="16">
        <v>332.0</v>
      </c>
      <c r="N670" s="16">
        <v>79.0</v>
      </c>
      <c r="O670" s="20" t="s">
        <v>38</v>
      </c>
      <c r="P670" s="18">
        <v>42773.0287962963</v>
      </c>
      <c r="Q670" s="1" t="s">
        <v>1160</v>
      </c>
      <c r="R670" s="1" t="s">
        <v>3342</v>
      </c>
      <c r="S670" s="13" t="s">
        <v>3343</v>
      </c>
      <c r="T670" s="14"/>
      <c r="U670" s="19" t="str">
        <f>HYPERLINK("https://pbs.twimg.com/profile_images/950961428181037056/pXvuVpuy.jpg","View")</f>
        <v>View</v>
      </c>
      <c r="V670" s="14"/>
      <c r="W670" s="14"/>
      <c r="X670" s="14"/>
      <c r="Y670" s="14"/>
      <c r="Z670" s="14"/>
    </row>
    <row r="671">
      <c r="A671" s="11">
        <v>43847.249930555554</v>
      </c>
      <c r="B671" s="12" t="str">
        <f>HYPERLINK("https://twitter.com/Deizievents","@Deizievents")</f>
        <v>@Deizievents</v>
      </c>
      <c r="C671" s="1" t="s">
        <v>3344</v>
      </c>
      <c r="D671" s="1" t="s">
        <v>3345</v>
      </c>
      <c r="E671" s="12" t="str">
        <f>HYPERLINK("https://twitter.com/Deizievents/status/1218125791046881281","1218125791046881281")</f>
        <v>1218125791046881281</v>
      </c>
      <c r="F671" s="13" t="s">
        <v>3346</v>
      </c>
      <c r="G671" s="14"/>
      <c r="H671" s="12" t="str">
        <f>HYPERLINK("https://ctrlq.org/maps/address/#51.50711486,-0.12731805","Map")</f>
        <v>Map</v>
      </c>
      <c r="I671" s="15">
        <v>0.0</v>
      </c>
      <c r="J671" s="15">
        <v>0.0</v>
      </c>
      <c r="K671" s="12" t="str">
        <f>HYPERLINK("http://instagram.com","Instagram")</f>
        <v>Instagram</v>
      </c>
      <c r="L671" s="16">
        <v>503.0</v>
      </c>
      <c r="M671" s="16">
        <v>375.0</v>
      </c>
      <c r="N671" s="16">
        <v>23.0</v>
      </c>
      <c r="O671" s="17"/>
      <c r="P671" s="18">
        <v>39948.41670138889</v>
      </c>
      <c r="Q671" s="1" t="s">
        <v>1450</v>
      </c>
      <c r="R671" s="1" t="s">
        <v>3347</v>
      </c>
      <c r="S671" s="14"/>
      <c r="T671" s="14"/>
      <c r="U671" s="19" t="str">
        <f>HYPERLINK("https://pbs.twimg.com/profile_images/1157451830235926528/p4m0PDfe.jpg","View")</f>
        <v>View</v>
      </c>
      <c r="V671" s="14"/>
      <c r="W671" s="14"/>
      <c r="X671" s="14"/>
      <c r="Y671" s="14"/>
      <c r="Z671" s="14"/>
    </row>
    <row r="672">
      <c r="A672" s="11">
        <v>43847.24979166666</v>
      </c>
      <c r="B672" s="12" t="str">
        <f>HYPERLINK("https://twitter.com/drvinnytran","@drvinnytran")</f>
        <v>@drvinnytran</v>
      </c>
      <c r="C672" s="1" t="s">
        <v>3348</v>
      </c>
      <c r="D672" s="1" t="s">
        <v>3349</v>
      </c>
      <c r="E672" s="12" t="str">
        <f>HYPERLINK("https://twitter.com/drvinnytran/status/1218125740438216705","1218125740438216705")</f>
        <v>1218125740438216705</v>
      </c>
      <c r="F672" s="13" t="s">
        <v>3350</v>
      </c>
      <c r="G672" s="14"/>
      <c r="H672" s="14"/>
      <c r="I672" s="15">
        <v>0.0</v>
      </c>
      <c r="J672" s="15">
        <v>0.0</v>
      </c>
      <c r="K672" s="12" t="str">
        <f>HYPERLINK("http://twitter.com/download/iphone","Twitter for iPhone")</f>
        <v>Twitter for iPhone</v>
      </c>
      <c r="L672" s="16">
        <v>1210.0</v>
      </c>
      <c r="M672" s="16">
        <v>230.0</v>
      </c>
      <c r="N672" s="16">
        <v>79.0</v>
      </c>
      <c r="O672" s="17"/>
      <c r="P672" s="18">
        <v>41552.30894675926</v>
      </c>
      <c r="Q672" s="1" t="s">
        <v>51</v>
      </c>
      <c r="R672" s="1" t="s">
        <v>3351</v>
      </c>
      <c r="S672" s="13" t="s">
        <v>3352</v>
      </c>
      <c r="T672" s="14"/>
      <c r="U672" s="19" t="str">
        <f>HYPERLINK("https://pbs.twimg.com/profile_images/1211203633687060481/izsw7vqj.jpg","View")</f>
        <v>View</v>
      </c>
      <c r="V672" s="14"/>
      <c r="W672" s="14"/>
      <c r="X672" s="14"/>
      <c r="Y672" s="14"/>
      <c r="Z672" s="14"/>
    </row>
    <row r="673">
      <c r="A673" s="11">
        <v>43847.24967592592</v>
      </c>
      <c r="B673" s="12" t="str">
        <f>HYPERLINK("https://twitter.com/allaboutpeople2","@allaboutpeople2")</f>
        <v>@allaboutpeople2</v>
      </c>
      <c r="C673" s="1" t="s">
        <v>3353</v>
      </c>
      <c r="D673" s="1" t="s">
        <v>3354</v>
      </c>
      <c r="E673" s="12" t="str">
        <f>HYPERLINK("https://twitter.com/allaboutpeople2/status/1218125696863739904","1218125696863739904")</f>
        <v>1218125696863739904</v>
      </c>
      <c r="F673" s="14"/>
      <c r="G673" s="13" t="s">
        <v>3355</v>
      </c>
      <c r="H673" s="14"/>
      <c r="I673" s="15">
        <v>0.0</v>
      </c>
      <c r="J673" s="15">
        <v>1.0</v>
      </c>
      <c r="K673" s="12" t="str">
        <f>HYPERLINK("https://mobile.twitter.com","Twitter Web App")</f>
        <v>Twitter Web App</v>
      </c>
      <c r="L673" s="16">
        <v>230.0</v>
      </c>
      <c r="M673" s="16">
        <v>414.0</v>
      </c>
      <c r="N673" s="16">
        <v>16.0</v>
      </c>
      <c r="O673" s="17"/>
      <c r="P673" s="18">
        <v>41213.62012731482</v>
      </c>
      <c r="Q673" s="1" t="s">
        <v>3356</v>
      </c>
      <c r="R673" s="1" t="s">
        <v>3357</v>
      </c>
      <c r="S673" s="13" t="s">
        <v>3358</v>
      </c>
      <c r="T673" s="14"/>
      <c r="U673" s="19" t="str">
        <f>HYPERLINK("https://pbs.twimg.com/profile_images/378800000806343196/b78722ae72d38ee4b2876be236fa0872.jpeg","View")</f>
        <v>View</v>
      </c>
      <c r="V673" s="14"/>
      <c r="W673" s="14"/>
      <c r="X673" s="14"/>
      <c r="Y673" s="14"/>
      <c r="Z673" s="14"/>
    </row>
    <row r="674">
      <c r="A674" s="11">
        <v>43847.24658564814</v>
      </c>
      <c r="B674" s="12" t="str">
        <f>HYPERLINK("https://twitter.com/SkinBodyRenewal","@SkinBodyRenewal")</f>
        <v>@SkinBodyRenewal</v>
      </c>
      <c r="C674" s="1" t="s">
        <v>3359</v>
      </c>
      <c r="D674" s="1" t="s">
        <v>3360</v>
      </c>
      <c r="E674" s="12" t="str">
        <f>HYPERLINK("https://twitter.com/SkinBodyRenewal/status/1218124578179907585","1218124578179907585")</f>
        <v>1218124578179907585</v>
      </c>
      <c r="F674" s="13" t="s">
        <v>3361</v>
      </c>
      <c r="G674" s="13" t="s">
        <v>3362</v>
      </c>
      <c r="H674" s="14"/>
      <c r="I674" s="15">
        <v>0.0</v>
      </c>
      <c r="J674" s="15">
        <v>0.0</v>
      </c>
      <c r="K674" s="12" t="str">
        <f>HYPERLINK("https://www.hootsuite.com","Hootsuite Inc.")</f>
        <v>Hootsuite Inc.</v>
      </c>
      <c r="L674" s="16">
        <v>2730.0</v>
      </c>
      <c r="M674" s="16">
        <v>951.0</v>
      </c>
      <c r="N674" s="16">
        <v>121.0</v>
      </c>
      <c r="O674" s="17"/>
      <c r="P674" s="18">
        <v>40104.80892361111</v>
      </c>
      <c r="Q674" s="1" t="s">
        <v>3363</v>
      </c>
      <c r="R674" s="1" t="s">
        <v>3364</v>
      </c>
      <c r="S674" s="13" t="s">
        <v>3365</v>
      </c>
      <c r="T674" s="14"/>
      <c r="U674" s="19" t="str">
        <f>HYPERLINK("https://pbs.twimg.com/profile_images/738965453372952576/wHs9qURU.jpg","View")</f>
        <v>View</v>
      </c>
      <c r="V674" s="14"/>
      <c r="W674" s="14"/>
      <c r="X674" s="14"/>
      <c r="Y674" s="14"/>
      <c r="Z674" s="14"/>
    </row>
    <row r="675">
      <c r="A675" s="11">
        <v>43847.24488425926</v>
      </c>
      <c r="B675" s="12" t="str">
        <f>HYPERLINK("https://twitter.com/trafficjam_app","@trafficjam_app")</f>
        <v>@trafficjam_app</v>
      </c>
      <c r="C675" s="1" t="s">
        <v>1251</v>
      </c>
      <c r="D675" s="1" t="s">
        <v>3366</v>
      </c>
      <c r="E675" s="12" t="str">
        <f>HYPERLINK("https://twitter.com/trafficjam_app/status/1218123959566290944","1218123959566290944")</f>
        <v>1218123959566290944</v>
      </c>
      <c r="F675" s="13" t="s">
        <v>1253</v>
      </c>
      <c r="G675" s="13" t="s">
        <v>3367</v>
      </c>
      <c r="H675" s="14"/>
      <c r="I675" s="15">
        <v>2.0</v>
      </c>
      <c r="J675" s="15">
        <v>0.0</v>
      </c>
      <c r="K675" s="12" t="str">
        <f>HYPERLINK("https://zapier.com/","Zapier.com")</f>
        <v>Zapier.com</v>
      </c>
      <c r="L675" s="16">
        <v>113.0</v>
      </c>
      <c r="M675" s="16">
        <v>50.0</v>
      </c>
      <c r="N675" s="16">
        <v>1.0</v>
      </c>
      <c r="O675" s="17"/>
      <c r="P675" s="18">
        <v>42994.542708333334</v>
      </c>
      <c r="Q675" s="1" t="s">
        <v>1255</v>
      </c>
      <c r="R675" s="1" t="s">
        <v>1256</v>
      </c>
      <c r="S675" s="13" t="s">
        <v>1257</v>
      </c>
      <c r="T675" s="14"/>
      <c r="U675" s="19" t="str">
        <f>HYPERLINK("https://pbs.twimg.com/profile_images/1020242156571766786/l1YKw5xD.jpg","View")</f>
        <v>View</v>
      </c>
      <c r="V675" s="14"/>
      <c r="W675" s="14"/>
      <c r="X675" s="14"/>
      <c r="Y675" s="14"/>
      <c r="Z675" s="14"/>
    </row>
    <row r="676">
      <c r="A676" s="11">
        <v>43847.238900462966</v>
      </c>
      <c r="B676" s="12" t="str">
        <f>HYPERLINK("https://twitter.com/NicolaWorkman","@NicolaWorkman")</f>
        <v>@NicolaWorkman</v>
      </c>
      <c r="C676" s="1" t="s">
        <v>3368</v>
      </c>
      <c r="D676" s="1" t="s">
        <v>3369</v>
      </c>
      <c r="E676" s="12" t="str">
        <f>HYPERLINK("https://twitter.com/NicolaWorkman/status/1218121793791283200","1218121793791283200")</f>
        <v>1218121793791283200</v>
      </c>
      <c r="F676" s="13" t="s">
        <v>3370</v>
      </c>
      <c r="G676" s="13" t="s">
        <v>3371</v>
      </c>
      <c r="H676" s="14"/>
      <c r="I676" s="15">
        <v>2.0</v>
      </c>
      <c r="J676" s="15">
        <v>4.0</v>
      </c>
      <c r="K676" s="12" t="str">
        <f>HYPERLINK("https://buffer.com","Buffer")</f>
        <v>Buffer</v>
      </c>
      <c r="L676" s="16">
        <v>102.0</v>
      </c>
      <c r="M676" s="16">
        <v>219.0</v>
      </c>
      <c r="N676" s="16">
        <v>6.0</v>
      </c>
      <c r="O676" s="17"/>
      <c r="P676" s="18">
        <v>40267.488587962966</v>
      </c>
      <c r="Q676" s="1" t="s">
        <v>3372</v>
      </c>
      <c r="R676" s="1" t="s">
        <v>3373</v>
      </c>
      <c r="S676" s="13" t="s">
        <v>3374</v>
      </c>
      <c r="T676" s="14"/>
      <c r="U676" s="19" t="str">
        <f>HYPERLINK("https://pbs.twimg.com/profile_images/974307518951370753/ufsHkb80.jpg","View")</f>
        <v>View</v>
      </c>
      <c r="V676" s="14"/>
      <c r="W676" s="14"/>
      <c r="X676" s="14"/>
      <c r="Y676" s="14"/>
      <c r="Z676" s="14"/>
    </row>
    <row r="677">
      <c r="A677" s="11">
        <v>43847.23306712963</v>
      </c>
      <c r="B677" s="12" t="str">
        <f>HYPERLINK("https://twitter.com/lilsoulscapist","@lilsoulscapist")</f>
        <v>@lilsoulscapist</v>
      </c>
      <c r="C677" s="1" t="s">
        <v>3375</v>
      </c>
      <c r="D677" s="1" t="s">
        <v>3376</v>
      </c>
      <c r="E677" s="12" t="str">
        <f>HYPERLINK("https://twitter.com/lilsoulscapist/status/1218119679832707074","1218119679832707074")</f>
        <v>1218119679832707074</v>
      </c>
      <c r="F677" s="13" t="s">
        <v>3377</v>
      </c>
      <c r="G677" s="14"/>
      <c r="H677" s="14"/>
      <c r="I677" s="15">
        <v>0.0</v>
      </c>
      <c r="J677" s="15">
        <v>0.0</v>
      </c>
      <c r="K677" s="12" t="str">
        <f>HYPERLINK("https://mobile.twitter.com","Twitter Web App")</f>
        <v>Twitter Web App</v>
      </c>
      <c r="L677" s="16">
        <v>5812.0</v>
      </c>
      <c r="M677" s="16">
        <v>2636.0</v>
      </c>
      <c r="N677" s="16">
        <v>164.0</v>
      </c>
      <c r="O677" s="17"/>
      <c r="P677" s="18">
        <v>40193.48314814815</v>
      </c>
      <c r="Q677" s="1" t="s">
        <v>3378</v>
      </c>
      <c r="R677" s="1" t="s">
        <v>3379</v>
      </c>
      <c r="S677" s="14"/>
      <c r="T677" s="14"/>
      <c r="U677" s="19" t="str">
        <f>HYPERLINK("https://pbs.twimg.com/profile_images/1212429775727235072/sSqubckl.jpg","View")</f>
        <v>View</v>
      </c>
      <c r="V677" s="14"/>
      <c r="W677" s="14"/>
      <c r="X677" s="14"/>
      <c r="Y677" s="14"/>
      <c r="Z677" s="14"/>
    </row>
    <row r="678">
      <c r="A678" s="11">
        <v>43847.229374999995</v>
      </c>
      <c r="B678" s="12" t="str">
        <f>HYPERLINK("https://twitter.com/niharikaverma95","@niharikaverma95")</f>
        <v>@niharikaverma95</v>
      </c>
      <c r="C678" s="1" t="s">
        <v>888</v>
      </c>
      <c r="D678" s="1" t="s">
        <v>3380</v>
      </c>
      <c r="E678" s="12" t="str">
        <f>HYPERLINK("https://twitter.com/niharikaverma95/status/1218118340713033729","1218118340713033729")</f>
        <v>1218118340713033729</v>
      </c>
      <c r="F678" s="13" t="s">
        <v>1307</v>
      </c>
      <c r="G678" s="14"/>
      <c r="H678" s="14"/>
      <c r="I678" s="15">
        <v>0.0</v>
      </c>
      <c r="J678" s="15">
        <v>1.0</v>
      </c>
      <c r="K678" s="12" t="str">
        <f>HYPERLINK("https://buffer.com","Buffer")</f>
        <v>Buffer</v>
      </c>
      <c r="L678" s="16">
        <v>847.0</v>
      </c>
      <c r="M678" s="16">
        <v>142.0</v>
      </c>
      <c r="N678" s="16">
        <v>61.0</v>
      </c>
      <c r="O678" s="17"/>
      <c r="P678" s="18">
        <v>42542.06670138889</v>
      </c>
      <c r="Q678" s="1" t="s">
        <v>891</v>
      </c>
      <c r="R678" s="1" t="s">
        <v>892</v>
      </c>
      <c r="S678" s="13" t="s">
        <v>893</v>
      </c>
      <c r="T678" s="14"/>
      <c r="U678" s="19" t="str">
        <f>HYPERLINK("https://pbs.twimg.com/profile_images/1218631112752160768/smL-X6Vx.jpg","View")</f>
        <v>View</v>
      </c>
      <c r="V678" s="14"/>
      <c r="W678" s="14"/>
      <c r="X678" s="14"/>
      <c r="Y678" s="14"/>
      <c r="Z678" s="14"/>
    </row>
    <row r="679">
      <c r="A679" s="11">
        <v>43847.22916666667</v>
      </c>
      <c r="B679" s="12" t="str">
        <f>HYPERLINK("https://twitter.com/onlymyhealth","@onlymyhealth")</f>
        <v>@onlymyhealth</v>
      </c>
      <c r="C679" s="1" t="s">
        <v>3381</v>
      </c>
      <c r="D679" s="1" t="s">
        <v>3382</v>
      </c>
      <c r="E679" s="12" t="str">
        <f>HYPERLINK("https://twitter.com/onlymyhealth/status/1218118264493969408","1218118264493969408")</f>
        <v>1218118264493969408</v>
      </c>
      <c r="F679" s="13" t="s">
        <v>3383</v>
      </c>
      <c r="G679" s="14"/>
      <c r="H679" s="14"/>
      <c r="I679" s="15">
        <v>0.0</v>
      </c>
      <c r="J679" s="15">
        <v>1.0</v>
      </c>
      <c r="K679" s="12" t="str">
        <f>HYPERLINK("https://about.twitter.com/products/tweetdeck","TweetDeck")</f>
        <v>TweetDeck</v>
      </c>
      <c r="L679" s="16">
        <v>3328.0</v>
      </c>
      <c r="M679" s="16">
        <v>88.0</v>
      </c>
      <c r="N679" s="16">
        <v>106.0</v>
      </c>
      <c r="O679" s="20" t="s">
        <v>38</v>
      </c>
      <c r="P679" s="18">
        <v>40259.3134375</v>
      </c>
      <c r="Q679" s="1" t="s">
        <v>1472</v>
      </c>
      <c r="R679" s="1" t="s">
        <v>3384</v>
      </c>
      <c r="S679" s="13" t="s">
        <v>3385</v>
      </c>
      <c r="T679" s="14"/>
      <c r="U679" s="19" t="str">
        <f>HYPERLINK("https://pbs.twimg.com/profile_images/1113375387621281792/knotw9IH.png","View")</f>
        <v>View</v>
      </c>
      <c r="V679" s="14"/>
      <c r="W679" s="14"/>
      <c r="X679" s="14"/>
      <c r="Y679" s="14"/>
      <c r="Z679" s="14"/>
    </row>
    <row r="680">
      <c r="A680" s="11">
        <v>43847.22006944445</v>
      </c>
      <c r="B680" s="12" t="str">
        <f>HYPERLINK("https://twitter.com/TCre8tive","@TCre8tive")</f>
        <v>@TCre8tive</v>
      </c>
      <c r="C680" s="1" t="s">
        <v>3386</v>
      </c>
      <c r="D680" s="1" t="s">
        <v>3387</v>
      </c>
      <c r="E680" s="12" t="str">
        <f>HYPERLINK("https://twitter.com/TCre8tive/status/1218114969314697217","1218114969314697217")</f>
        <v>1218114969314697217</v>
      </c>
      <c r="F680" s="14"/>
      <c r="G680" s="13" t="s">
        <v>3388</v>
      </c>
      <c r="H680" s="14"/>
      <c r="I680" s="15">
        <v>0.0</v>
      </c>
      <c r="J680" s="15">
        <v>3.0</v>
      </c>
      <c r="K680" s="12" t="str">
        <f>HYPERLINK("http://twitter.com/download/android","Twitter for Android")</f>
        <v>Twitter for Android</v>
      </c>
      <c r="L680" s="16">
        <v>140.0</v>
      </c>
      <c r="M680" s="16">
        <v>392.0</v>
      </c>
      <c r="N680" s="16">
        <v>4.0</v>
      </c>
      <c r="O680" s="17"/>
      <c r="P680" s="18">
        <v>42291.51988425926</v>
      </c>
      <c r="Q680" s="1" t="s">
        <v>3389</v>
      </c>
      <c r="R680" s="1" t="s">
        <v>3390</v>
      </c>
      <c r="S680" s="13" t="s">
        <v>3391</v>
      </c>
      <c r="T680" s="14"/>
      <c r="U680" s="19" t="str">
        <f>HYPERLINK("https://pbs.twimg.com/profile_images/944244105684619266/e-DGkVqa.jpg","View")</f>
        <v>View</v>
      </c>
      <c r="V680" s="14"/>
      <c r="W680" s="14"/>
      <c r="X680" s="14"/>
      <c r="Y680" s="14"/>
      <c r="Z680" s="14"/>
    </row>
    <row r="681">
      <c r="A681" s="11">
        <v>43847.2184375</v>
      </c>
      <c r="B681" s="12" t="str">
        <f>HYPERLINK("https://twitter.com/ChristinaHeron1","@ChristinaHeron1")</f>
        <v>@ChristinaHeron1</v>
      </c>
      <c r="C681" s="1" t="s">
        <v>3392</v>
      </c>
      <c r="D681" s="1" t="s">
        <v>3393</v>
      </c>
      <c r="E681" s="12" t="str">
        <f>HYPERLINK("https://twitter.com/ChristinaHeron1/status/1218114378123436032","1218114378123436032")</f>
        <v>1218114378123436032</v>
      </c>
      <c r="F681" s="13" t="s">
        <v>3394</v>
      </c>
      <c r="G681" s="14"/>
      <c r="H681" s="14"/>
      <c r="I681" s="15">
        <v>1.0</v>
      </c>
      <c r="J681" s="15">
        <v>2.0</v>
      </c>
      <c r="K681" s="12" t="str">
        <f>HYPERLINK("http://twitter.com","Twitter Web Client")</f>
        <v>Twitter Web Client</v>
      </c>
      <c r="L681" s="16">
        <v>1656.0</v>
      </c>
      <c r="M681" s="16">
        <v>3313.0</v>
      </c>
      <c r="N681" s="16">
        <v>287.0</v>
      </c>
      <c r="O681" s="17"/>
      <c r="P681" s="18">
        <v>41088.71225694445</v>
      </c>
      <c r="Q681" s="1" t="s">
        <v>3395</v>
      </c>
      <c r="R681" s="1" t="s">
        <v>3396</v>
      </c>
      <c r="S681" s="13" t="s">
        <v>3397</v>
      </c>
      <c r="T681" s="14"/>
      <c r="U681" s="19" t="str">
        <f>HYPERLINK("https://pbs.twimg.com/profile_images/853933089554395138/vDsUitt5.jpg","View")</f>
        <v>View</v>
      </c>
      <c r="V681" s="14"/>
      <c r="W681" s="14"/>
      <c r="X681" s="14"/>
      <c r="Y681" s="14"/>
      <c r="Z681" s="14"/>
    </row>
    <row r="682">
      <c r="A682" s="11">
        <v>43847.21707175926</v>
      </c>
      <c r="B682" s="12" t="str">
        <f>HYPERLINK("https://twitter.com/johndinsmore","@johndinsmore")</f>
        <v>@johndinsmore</v>
      </c>
      <c r="C682" s="1" t="s">
        <v>3398</v>
      </c>
      <c r="D682" s="1" t="s">
        <v>3399</v>
      </c>
      <c r="E682" s="12" t="str">
        <f>HYPERLINK("https://twitter.com/johndinsmore/status/1218113882914422787","1218113882914422787")</f>
        <v>1218113882914422787</v>
      </c>
      <c r="F682" s="13" t="s">
        <v>3400</v>
      </c>
      <c r="G682" s="14"/>
      <c r="H682" s="14"/>
      <c r="I682" s="15">
        <v>3.0</v>
      </c>
      <c r="J682" s="15">
        <v>12.0</v>
      </c>
      <c r="K682" s="12" t="str">
        <f>HYPERLINK("http://twitter.com/download/iphone","Twitter for iPhone")</f>
        <v>Twitter for iPhone</v>
      </c>
      <c r="L682" s="16">
        <v>923.0</v>
      </c>
      <c r="M682" s="16">
        <v>726.0</v>
      </c>
      <c r="N682" s="16">
        <v>52.0</v>
      </c>
      <c r="O682" s="17"/>
      <c r="P682" s="18">
        <v>40587.554375</v>
      </c>
      <c r="Q682" s="1" t="s">
        <v>3401</v>
      </c>
      <c r="R682" s="1" t="s">
        <v>3402</v>
      </c>
      <c r="S682" s="14"/>
      <c r="T682" s="14"/>
      <c r="U682" s="19" t="str">
        <f>HYPERLINK("https://pbs.twimg.com/profile_images/708333927325437952/C3oWn7Dj.jpg","View")</f>
        <v>View</v>
      </c>
      <c r="V682" s="14"/>
      <c r="W682" s="14"/>
      <c r="X682" s="14"/>
      <c r="Y682" s="14"/>
      <c r="Z682" s="14"/>
    </row>
    <row r="683">
      <c r="A683" s="11">
        <v>43847.21668981481</v>
      </c>
      <c r="B683" s="12" t="str">
        <f>HYPERLINK("https://twitter.com/globalsign","@globalsign")</f>
        <v>@globalsign</v>
      </c>
      <c r="C683" s="1" t="s">
        <v>3403</v>
      </c>
      <c r="D683" s="1" t="s">
        <v>3096</v>
      </c>
      <c r="E683" s="12" t="str">
        <f>HYPERLINK("https://twitter.com/globalsign/status/1218113742891880449","1218113742891880449")</f>
        <v>1218113742891880449</v>
      </c>
      <c r="F683" s="13" t="s">
        <v>3404</v>
      </c>
      <c r="G683" s="13" t="s">
        <v>3405</v>
      </c>
      <c r="H683" s="14"/>
      <c r="I683" s="15">
        <v>0.0</v>
      </c>
      <c r="J683" s="15">
        <v>0.0</v>
      </c>
      <c r="K683" s="12" t="str">
        <f>HYPERLINK("https://www.oktopost.com","Oktopost")</f>
        <v>Oktopost</v>
      </c>
      <c r="L683" s="16">
        <v>6421.0</v>
      </c>
      <c r="M683" s="16">
        <v>3765.0</v>
      </c>
      <c r="N683" s="16">
        <v>676.0</v>
      </c>
      <c r="O683" s="20" t="s">
        <v>38</v>
      </c>
      <c r="P683" s="18">
        <v>40248.71209490741</v>
      </c>
      <c r="Q683" s="1" t="s">
        <v>3406</v>
      </c>
      <c r="R683" s="1" t="s">
        <v>3407</v>
      </c>
      <c r="S683" s="14"/>
      <c r="T683" s="14"/>
      <c r="U683" s="19" t="str">
        <f>HYPERLINK("https://pbs.twimg.com/profile_images/710439384785547264/ldlqReSj.jpg","View")</f>
        <v>View</v>
      </c>
      <c r="V683" s="14"/>
      <c r="W683" s="14"/>
      <c r="X683" s="14"/>
      <c r="Y683" s="14"/>
      <c r="Z683" s="14"/>
    </row>
    <row r="684">
      <c r="A684" s="11">
        <v>43847.20916666667</v>
      </c>
      <c r="B684" s="12" t="str">
        <f>HYPERLINK("https://twitter.com/COME_outreach","@COME_outreach")</f>
        <v>@COME_outreach</v>
      </c>
      <c r="C684" s="1" t="s">
        <v>3408</v>
      </c>
      <c r="D684" s="1" t="s">
        <v>3409</v>
      </c>
      <c r="E684" s="12" t="str">
        <f>HYPERLINK("https://twitter.com/COME_outreach/status/1218111015814148101","1218111015814148101")</f>
        <v>1218111015814148101</v>
      </c>
      <c r="F684" s="14"/>
      <c r="G684" s="13" t="s">
        <v>3410</v>
      </c>
      <c r="H684" s="14"/>
      <c r="I684" s="15">
        <v>0.0</v>
      </c>
      <c r="J684" s="15">
        <v>0.0</v>
      </c>
      <c r="K684" s="12" t="str">
        <f>HYPERLINK("https://www.later.com","LaterMedia")</f>
        <v>LaterMedia</v>
      </c>
      <c r="L684" s="16">
        <v>122.0</v>
      </c>
      <c r="M684" s="16">
        <v>285.0</v>
      </c>
      <c r="N684" s="16">
        <v>23.0</v>
      </c>
      <c r="O684" s="17"/>
      <c r="P684" s="18">
        <v>42603.736608796295</v>
      </c>
      <c r="Q684" s="1" t="s">
        <v>3411</v>
      </c>
      <c r="R684" s="1" t="s">
        <v>3412</v>
      </c>
      <c r="S684" s="13" t="s">
        <v>3413</v>
      </c>
      <c r="T684" s="14"/>
      <c r="U684" s="19" t="str">
        <f>HYPERLINK("https://pbs.twimg.com/profile_images/1168633618807345152/1n9w7b3P.jpg","View")</f>
        <v>View</v>
      </c>
      <c r="V684" s="14"/>
      <c r="W684" s="14"/>
      <c r="X684" s="14"/>
      <c r="Y684" s="14"/>
      <c r="Z684" s="14"/>
    </row>
    <row r="685">
      <c r="A685" s="11">
        <v>43847.20899305555</v>
      </c>
      <c r="B685" s="12" t="str">
        <f>HYPERLINK("https://twitter.com/cbd_blue","@cbd_blue")</f>
        <v>@cbd_blue</v>
      </c>
      <c r="C685" s="1" t="s">
        <v>3414</v>
      </c>
      <c r="D685" s="1" t="s">
        <v>3415</v>
      </c>
      <c r="E685" s="12" t="str">
        <f>HYPERLINK("https://twitter.com/cbd_blue/status/1218110954313015296","1218110954313015296")</f>
        <v>1218110954313015296</v>
      </c>
      <c r="F685" s="14"/>
      <c r="G685" s="13" t="s">
        <v>3416</v>
      </c>
      <c r="H685" s="14"/>
      <c r="I685" s="15">
        <v>1.0</v>
      </c>
      <c r="J685" s="15">
        <v>1.0</v>
      </c>
      <c r="K685" s="12" t="str">
        <f>HYPERLINK("https://buffer.com","Buffer")</f>
        <v>Buffer</v>
      </c>
      <c r="L685" s="16">
        <v>18.0</v>
      </c>
      <c r="M685" s="16">
        <v>164.0</v>
      </c>
      <c r="N685" s="16">
        <v>0.0</v>
      </c>
      <c r="O685" s="17"/>
      <c r="P685" s="18">
        <v>43447.05383101852</v>
      </c>
      <c r="Q685" s="1" t="s">
        <v>882</v>
      </c>
      <c r="R685" s="1" t="s">
        <v>3417</v>
      </c>
      <c r="S685" s="13" t="s">
        <v>3418</v>
      </c>
      <c r="T685" s="14"/>
      <c r="U685" s="19" t="str">
        <f>HYPERLINK("https://pbs.twimg.com/profile_images/1073100709472669696/sw_2zL2_.jpg","View")</f>
        <v>View</v>
      </c>
      <c r="V685" s="14"/>
      <c r="W685" s="14"/>
      <c r="X685" s="14"/>
      <c r="Y685" s="14"/>
      <c r="Z685" s="14"/>
    </row>
    <row r="686">
      <c r="A686" s="11">
        <v>43847.20888888889</v>
      </c>
      <c r="B686" s="12" t="str">
        <f>HYPERLINK("https://twitter.com/HighfieldHealth","@HighfieldHealth")</f>
        <v>@HighfieldHealth</v>
      </c>
      <c r="C686" s="1" t="s">
        <v>3419</v>
      </c>
      <c r="D686" s="1" t="s">
        <v>3420</v>
      </c>
      <c r="E686" s="12" t="str">
        <f>HYPERLINK("https://twitter.com/HighfieldHealth/status/1218110914546880513","1218110914546880513")</f>
        <v>1218110914546880513</v>
      </c>
      <c r="F686" s="13" t="s">
        <v>3421</v>
      </c>
      <c r="G686" s="13" t="s">
        <v>3422</v>
      </c>
      <c r="H686" s="14"/>
      <c r="I686" s="15">
        <v>1.0</v>
      </c>
      <c r="J686" s="15">
        <v>1.0</v>
      </c>
      <c r="K686" s="12" t="str">
        <f t="shared" ref="K686:K687" si="69">HYPERLINK("https://www.hootsuite.com","Hootsuite Inc.")</f>
        <v>Hootsuite Inc.</v>
      </c>
      <c r="L686" s="16">
        <v>246.0</v>
      </c>
      <c r="M686" s="16">
        <v>214.0</v>
      </c>
      <c r="N686" s="16">
        <v>6.0</v>
      </c>
      <c r="O686" s="17"/>
      <c r="P686" s="18">
        <v>41774.37274305556</v>
      </c>
      <c r="Q686" s="1" t="s">
        <v>3401</v>
      </c>
      <c r="R686" s="1" t="s">
        <v>3423</v>
      </c>
      <c r="S686" s="13" t="s">
        <v>3424</v>
      </c>
      <c r="T686" s="14"/>
      <c r="U686" s="19" t="str">
        <f>HYPERLINK("https://pbs.twimg.com/profile_images/855424813418065921/_vNK0v5V.jpg","View")</f>
        <v>View</v>
      </c>
      <c r="V686" s="14"/>
      <c r="W686" s="14"/>
      <c r="X686" s="14"/>
      <c r="Y686" s="14"/>
      <c r="Z686" s="14"/>
    </row>
    <row r="687">
      <c r="A687" s="11">
        <v>43847.20862268518</v>
      </c>
      <c r="B687" s="12" t="str">
        <f>HYPERLINK("https://twitter.com/Rejuvage","@Rejuvage")</f>
        <v>@Rejuvage</v>
      </c>
      <c r="C687" s="1" t="s">
        <v>3425</v>
      </c>
      <c r="D687" s="1" t="s">
        <v>3426</v>
      </c>
      <c r="E687" s="12" t="str">
        <f>HYPERLINK("https://twitter.com/Rejuvage/status/1218110818627223553","1218110818627223553")</f>
        <v>1218110818627223553</v>
      </c>
      <c r="F687" s="13" t="s">
        <v>3427</v>
      </c>
      <c r="G687" s="13" t="s">
        <v>3428</v>
      </c>
      <c r="H687" s="14"/>
      <c r="I687" s="15">
        <v>1.0</v>
      </c>
      <c r="J687" s="15">
        <v>1.0</v>
      </c>
      <c r="K687" s="12" t="str">
        <f t="shared" si="69"/>
        <v>Hootsuite Inc.</v>
      </c>
      <c r="L687" s="16">
        <v>313.0</v>
      </c>
      <c r="M687" s="16">
        <v>134.0</v>
      </c>
      <c r="N687" s="16">
        <v>10.0</v>
      </c>
      <c r="O687" s="17"/>
      <c r="P687" s="18">
        <v>42670.315034722225</v>
      </c>
      <c r="Q687" s="14"/>
      <c r="R687" s="1" t="s">
        <v>3429</v>
      </c>
      <c r="S687" s="13" t="s">
        <v>3430</v>
      </c>
      <c r="T687" s="14"/>
      <c r="U687" s="19" t="str">
        <f>HYPERLINK("https://pbs.twimg.com/profile_images/794130440441528321/vrygzTjI.jpg","View")</f>
        <v>View</v>
      </c>
      <c r="V687" s="14"/>
      <c r="W687" s="14"/>
      <c r="X687" s="14"/>
      <c r="Y687" s="14"/>
      <c r="Z687" s="14"/>
    </row>
    <row r="688">
      <c r="A688" s="11">
        <v>43847.20841435185</v>
      </c>
      <c r="B688" s="12" t="str">
        <f>HYPERLINK("https://twitter.com/HeadWorry","@HeadWorry")</f>
        <v>@HeadWorry</v>
      </c>
      <c r="C688" s="1" t="s">
        <v>3431</v>
      </c>
      <c r="D688" s="1" t="s">
        <v>3432</v>
      </c>
      <c r="E688" s="12" t="str">
        <f>HYPERLINK("https://twitter.com/HeadWorry/status/1218110743083659264","1218110743083659264")</f>
        <v>1218110743083659264</v>
      </c>
      <c r="F688" s="13" t="s">
        <v>3433</v>
      </c>
      <c r="G688" s="13" t="s">
        <v>3434</v>
      </c>
      <c r="H688" s="14"/>
      <c r="I688" s="15">
        <v>0.0</v>
      </c>
      <c r="J688" s="15">
        <v>0.0</v>
      </c>
      <c r="K688" s="12" t="str">
        <f>HYPERLINK("https://social.zoho.com","Zoho Social")</f>
        <v>Zoho Social</v>
      </c>
      <c r="L688" s="16">
        <v>33.0</v>
      </c>
      <c r="M688" s="16">
        <v>176.0</v>
      </c>
      <c r="N688" s="16">
        <v>0.0</v>
      </c>
      <c r="O688" s="17"/>
      <c r="P688" s="18">
        <v>43660.53381944445</v>
      </c>
      <c r="Q688" s="1" t="s">
        <v>342</v>
      </c>
      <c r="R688" s="1" t="s">
        <v>3435</v>
      </c>
      <c r="S688" s="13" t="s">
        <v>3436</v>
      </c>
      <c r="T688" s="14"/>
      <c r="U688" s="19" t="str">
        <f>HYPERLINK("https://pbs.twimg.com/profile_images/1161663750950330379/ZVB_Rs9b.jpg","View")</f>
        <v>View</v>
      </c>
      <c r="V688" s="14"/>
      <c r="W688" s="14"/>
      <c r="X688" s="14"/>
      <c r="Y688" s="14"/>
      <c r="Z688" s="14"/>
    </row>
    <row r="689">
      <c r="A689" s="11">
        <v>43847.20818287037</v>
      </c>
      <c r="B689" s="12" t="str">
        <f>HYPERLINK("https://twitter.com/OaASmag","@OaASmag")</f>
        <v>@OaASmag</v>
      </c>
      <c r="C689" s="1" t="s">
        <v>3437</v>
      </c>
      <c r="D689" s="1" t="s">
        <v>3438</v>
      </c>
      <c r="E689" s="12" t="str">
        <f>HYPERLINK("https://twitter.com/OaASmag/status/1218110658601873408","1218110658601873408")</f>
        <v>1218110658601873408</v>
      </c>
      <c r="F689" s="13" t="s">
        <v>3439</v>
      </c>
      <c r="G689" s="13" t="s">
        <v>3440</v>
      </c>
      <c r="H689" s="14"/>
      <c r="I689" s="15">
        <v>0.0</v>
      </c>
      <c r="J689" s="15">
        <v>0.0</v>
      </c>
      <c r="K689" s="12" t="str">
        <f t="shared" ref="K689:K690" si="70">HYPERLINK("https://mobile.twitter.com","Twitter Web App")</f>
        <v>Twitter Web App</v>
      </c>
      <c r="L689" s="16">
        <v>11.0</v>
      </c>
      <c r="M689" s="16">
        <v>46.0</v>
      </c>
      <c r="N689" s="16">
        <v>0.0</v>
      </c>
      <c r="O689" s="17"/>
      <c r="P689" s="18">
        <v>43486.562997685185</v>
      </c>
      <c r="Q689" s="14"/>
      <c r="R689" s="1" t="s">
        <v>3441</v>
      </c>
      <c r="S689" s="13" t="s">
        <v>3442</v>
      </c>
      <c r="T689" s="14"/>
      <c r="U689" s="19" t="str">
        <f>HYPERLINK("https://pbs.twimg.com/profile_images/1087419109116178432/ORsYNS2f.jpg","View")</f>
        <v>View</v>
      </c>
      <c r="V689" s="14"/>
      <c r="W689" s="14"/>
      <c r="X689" s="14"/>
      <c r="Y689" s="14"/>
      <c r="Z689" s="14"/>
    </row>
    <row r="690">
      <c r="A690" s="11">
        <v>43847.20596064815</v>
      </c>
      <c r="B690" s="12" t="str">
        <f>HYPERLINK("https://twitter.com/DanRoberts51","@DanRoberts51")</f>
        <v>@DanRoberts51</v>
      </c>
      <c r="C690" s="1" t="s">
        <v>3443</v>
      </c>
      <c r="D690" s="1" t="s">
        <v>3444</v>
      </c>
      <c r="E690" s="12" t="str">
        <f>HYPERLINK("https://twitter.com/DanRoberts51/status/1218109854369435654","1218109854369435654")</f>
        <v>1218109854369435654</v>
      </c>
      <c r="F690" s="13" t="s">
        <v>3445</v>
      </c>
      <c r="G690" s="14"/>
      <c r="H690" s="14"/>
      <c r="I690" s="15">
        <v>0.0</v>
      </c>
      <c r="J690" s="15">
        <v>0.0</v>
      </c>
      <c r="K690" s="12" t="str">
        <f t="shared" si="70"/>
        <v>Twitter Web App</v>
      </c>
      <c r="L690" s="16">
        <v>77.0</v>
      </c>
      <c r="M690" s="16">
        <v>256.0</v>
      </c>
      <c r="N690" s="16">
        <v>0.0</v>
      </c>
      <c r="O690" s="17"/>
      <c r="P690" s="18">
        <v>43602.11827546296</v>
      </c>
      <c r="Q690" s="1" t="s">
        <v>342</v>
      </c>
      <c r="R690" s="1" t="s">
        <v>3446</v>
      </c>
      <c r="S690" s="14"/>
      <c r="T690" s="14"/>
      <c r="U690" s="19" t="str">
        <f>HYPERLINK("https://pbs.twimg.com/profile_images/1186199635586666496/JuLb9EjC.jpg","View")</f>
        <v>View</v>
      </c>
      <c r="V690" s="14"/>
      <c r="W690" s="14"/>
      <c r="X690" s="14"/>
      <c r="Y690" s="14"/>
      <c r="Z690" s="14"/>
    </row>
    <row r="691">
      <c r="A691" s="11">
        <v>43847.20569444445</v>
      </c>
      <c r="B691" s="12" t="str">
        <f>HYPERLINK("https://twitter.com/therawrainbow","@therawrainbow")</f>
        <v>@therawrainbow</v>
      </c>
      <c r="C691" s="1" t="s">
        <v>1365</v>
      </c>
      <c r="D691" s="1" t="s">
        <v>1366</v>
      </c>
      <c r="E691" s="12" t="str">
        <f>HYPERLINK("https://twitter.com/therawrainbow/status/1218109759355867136","1218109759355867136")</f>
        <v>1218109759355867136</v>
      </c>
      <c r="F691" s="13" t="s">
        <v>1367</v>
      </c>
      <c r="G691" s="13" t="s">
        <v>3447</v>
      </c>
      <c r="H691" s="14"/>
      <c r="I691" s="15">
        <v>1.0</v>
      </c>
      <c r="J691" s="15">
        <v>1.0</v>
      </c>
      <c r="K691" s="12" t="str">
        <f t="shared" ref="K691:K692" si="71">HYPERLINK("http://twitter.com/download/iphone","Twitter for iPhone")</f>
        <v>Twitter for iPhone</v>
      </c>
      <c r="L691" s="16">
        <v>150.0</v>
      </c>
      <c r="M691" s="16">
        <v>17.0</v>
      </c>
      <c r="N691" s="16">
        <v>112.0</v>
      </c>
      <c r="O691" s="17"/>
      <c r="P691" s="18">
        <v>42219.45300925926</v>
      </c>
      <c r="Q691" s="1" t="s">
        <v>268</v>
      </c>
      <c r="R691" s="1" t="s">
        <v>1369</v>
      </c>
      <c r="S691" s="13" t="s">
        <v>1367</v>
      </c>
      <c r="T691" s="14"/>
      <c r="U691" s="19" t="str">
        <f>HYPERLINK("https://pbs.twimg.com/profile_images/628219046991908864/zKJx4dmP.jpg","View")</f>
        <v>View</v>
      </c>
      <c r="V691" s="14"/>
      <c r="W691" s="14"/>
      <c r="X691" s="14"/>
      <c r="Y691" s="14"/>
      <c r="Z691" s="14"/>
    </row>
    <row r="692">
      <c r="A692" s="11">
        <v>43847.20543981482</v>
      </c>
      <c r="B692" s="12" t="str">
        <f>HYPERLINK("https://twitter.com/rikidavies1","@rikidavies1")</f>
        <v>@rikidavies1</v>
      </c>
      <c r="C692" s="1" t="s">
        <v>1372</v>
      </c>
      <c r="D692" s="1" t="s">
        <v>1366</v>
      </c>
      <c r="E692" s="12" t="str">
        <f>HYPERLINK("https://twitter.com/rikidavies1/status/1218109664996601856","1218109664996601856")</f>
        <v>1218109664996601856</v>
      </c>
      <c r="F692" s="13" t="s">
        <v>1373</v>
      </c>
      <c r="G692" s="13" t="s">
        <v>3448</v>
      </c>
      <c r="H692" s="14"/>
      <c r="I692" s="15">
        <v>0.0</v>
      </c>
      <c r="J692" s="15">
        <v>0.0</v>
      </c>
      <c r="K692" s="12" t="str">
        <f t="shared" si="71"/>
        <v>Twitter for iPhone</v>
      </c>
      <c r="L692" s="16">
        <v>325.0</v>
      </c>
      <c r="M692" s="16">
        <v>377.0</v>
      </c>
      <c r="N692" s="16">
        <v>100.0</v>
      </c>
      <c r="O692" s="17"/>
      <c r="P692" s="18">
        <v>41072.61628472222</v>
      </c>
      <c r="Q692" s="1" t="s">
        <v>342</v>
      </c>
      <c r="R692" s="1" t="s">
        <v>1375</v>
      </c>
      <c r="S692" s="13" t="s">
        <v>1376</v>
      </c>
      <c r="T692" s="14"/>
      <c r="U692" s="19" t="str">
        <f>HYPERLINK("https://pbs.twimg.com/profile_images/2302574368/b6tu6ogl3vs4m4f75y4o.png","View")</f>
        <v>View</v>
      </c>
      <c r="V692" s="14"/>
      <c r="W692" s="14"/>
      <c r="X692" s="14"/>
      <c r="Y692" s="14"/>
      <c r="Z692" s="14"/>
    </row>
    <row r="693">
      <c r="A693" s="11">
        <v>43847.20505787037</v>
      </c>
      <c r="B693" s="12" t="str">
        <f>HYPERLINK("https://twitter.com/IITHyderabad","@IITHyderabad")</f>
        <v>@IITHyderabad</v>
      </c>
      <c r="C693" s="1" t="s">
        <v>3449</v>
      </c>
      <c r="D693" s="1" t="s">
        <v>3450</v>
      </c>
      <c r="E693" s="12" t="str">
        <f>HYPERLINK("https://twitter.com/IITHyderabad/status/1218109527255478272","1218109527255478272")</f>
        <v>1218109527255478272</v>
      </c>
      <c r="F693" s="14"/>
      <c r="G693" s="13" t="s">
        <v>3451</v>
      </c>
      <c r="H693" s="14"/>
      <c r="I693" s="15">
        <v>4.0</v>
      </c>
      <c r="J693" s="15">
        <v>8.0</v>
      </c>
      <c r="K693" s="12" t="str">
        <f>HYPERLINK("https://mobile.twitter.com","Twitter Web App")</f>
        <v>Twitter Web App</v>
      </c>
      <c r="L693" s="16">
        <v>6677.0</v>
      </c>
      <c r="M693" s="16">
        <v>134.0</v>
      </c>
      <c r="N693" s="16">
        <v>15.0</v>
      </c>
      <c r="O693" s="17"/>
      <c r="P693" s="18">
        <v>41752.12866898148</v>
      </c>
      <c r="Q693" s="1" t="s">
        <v>1383</v>
      </c>
      <c r="R693" s="1" t="s">
        <v>3452</v>
      </c>
      <c r="S693" s="13" t="s">
        <v>3453</v>
      </c>
      <c r="T693" s="14"/>
      <c r="U693" s="19" t="str">
        <f>HYPERLINK("https://pbs.twimg.com/profile_images/833355550167412736/vmQsHdIj.jpg","View")</f>
        <v>View</v>
      </c>
      <c r="V693" s="14"/>
      <c r="W693" s="14"/>
      <c r="X693" s="14"/>
      <c r="Y693" s="14"/>
      <c r="Z693" s="14"/>
    </row>
    <row r="694">
      <c r="A694" s="11">
        <v>43847.199641203704</v>
      </c>
      <c r="B694" s="12" t="str">
        <f>HYPERLINK("https://twitter.com/Aware","@Aware")</f>
        <v>@Aware</v>
      </c>
      <c r="C694" s="1" t="s">
        <v>3454</v>
      </c>
      <c r="D694" s="1" t="s">
        <v>3455</v>
      </c>
      <c r="E694" s="12" t="str">
        <f>HYPERLINK("https://twitter.com/Aware/status/1218107564082241536","1218107564082241536")</f>
        <v>1218107564082241536</v>
      </c>
      <c r="F694" s="13" t="s">
        <v>3456</v>
      </c>
      <c r="G694" s="13" t="s">
        <v>3457</v>
      </c>
      <c r="H694" s="14"/>
      <c r="I694" s="15">
        <v>0.0</v>
      </c>
      <c r="J694" s="15">
        <v>0.0</v>
      </c>
      <c r="K694" s="12" t="str">
        <f>HYPERLINK("https://www.hootsuite.com","Hootsuite Inc.")</f>
        <v>Hootsuite Inc.</v>
      </c>
      <c r="L694" s="16">
        <v>22081.0</v>
      </c>
      <c r="M694" s="16">
        <v>482.0</v>
      </c>
      <c r="N694" s="16">
        <v>205.0</v>
      </c>
      <c r="O694" s="17"/>
      <c r="P694" s="18">
        <v>40183.32912037037</v>
      </c>
      <c r="Q694" s="1" t="s">
        <v>3458</v>
      </c>
      <c r="R694" s="1" t="s">
        <v>3459</v>
      </c>
      <c r="S694" s="13" t="s">
        <v>3460</v>
      </c>
      <c r="T694" s="14"/>
      <c r="U694" s="19" t="str">
        <f>HYPERLINK("https://pbs.twimg.com/profile_images/1145618567565578240/deHfWKJ6.png","View")</f>
        <v>View</v>
      </c>
      <c r="V694" s="14"/>
      <c r="W694" s="14"/>
      <c r="X694" s="14"/>
      <c r="Y694" s="14"/>
      <c r="Z694" s="14"/>
    </row>
    <row r="695">
      <c r="A695" s="11">
        <v>43847.19918981481</v>
      </c>
      <c r="B695" s="12" t="str">
        <f>HYPERLINK("https://twitter.com/pschemist","@pschemist")</f>
        <v>@pschemist</v>
      </c>
      <c r="C695" s="1" t="s">
        <v>3461</v>
      </c>
      <c r="D695" s="1" t="s">
        <v>3462</v>
      </c>
      <c r="E695" s="12" t="str">
        <f>HYPERLINK("https://twitter.com/pschemist/status/1218107402874126336","1218107402874126336")</f>
        <v>1218107402874126336</v>
      </c>
      <c r="F695" s="14"/>
      <c r="G695" s="13" t="s">
        <v>3463</v>
      </c>
      <c r="H695" s="14"/>
      <c r="I695" s="15">
        <v>1.0</v>
      </c>
      <c r="J695" s="15">
        <v>1.0</v>
      </c>
      <c r="K695" s="12" t="str">
        <f t="shared" ref="K695:K696" si="72">HYPERLINK("https://mobile.twitter.com","Twitter Web App")</f>
        <v>Twitter Web App</v>
      </c>
      <c r="L695" s="16">
        <v>1253.0</v>
      </c>
      <c r="M695" s="16">
        <v>1034.0</v>
      </c>
      <c r="N695" s="16">
        <v>14.0</v>
      </c>
      <c r="O695" s="17"/>
      <c r="P695" s="18">
        <v>41024.317291666666</v>
      </c>
      <c r="Q695" s="1" t="s">
        <v>3464</v>
      </c>
      <c r="R695" s="1" t="s">
        <v>3465</v>
      </c>
      <c r="S695" s="13" t="s">
        <v>3466</v>
      </c>
      <c r="T695" s="14"/>
      <c r="U695" s="19" t="str">
        <f>HYPERLINK("https://pbs.twimg.com/profile_images/1055458765007392769/YUNE4sjc.jpg","View")</f>
        <v>View</v>
      </c>
      <c r="V695" s="14"/>
      <c r="W695" s="14"/>
      <c r="X695" s="14"/>
      <c r="Y695" s="14"/>
      <c r="Z695" s="14"/>
    </row>
    <row r="696">
      <c r="A696" s="11">
        <v>43847.195810185185</v>
      </c>
      <c r="B696" s="12" t="str">
        <f>HYPERLINK("https://twitter.com/AsterGroupUK","@AsterGroupUK")</f>
        <v>@AsterGroupUK</v>
      </c>
      <c r="C696" s="1" t="s">
        <v>3467</v>
      </c>
      <c r="D696" s="1" t="s">
        <v>3468</v>
      </c>
      <c r="E696" s="12" t="str">
        <f>HYPERLINK("https://twitter.com/AsterGroupUK/status/1218106177478889477","1218106177478889477")</f>
        <v>1218106177478889477</v>
      </c>
      <c r="F696" s="1" t="s">
        <v>3469</v>
      </c>
      <c r="G696" s="14"/>
      <c r="H696" s="14"/>
      <c r="I696" s="15">
        <v>1.0</v>
      </c>
      <c r="J696" s="15">
        <v>5.0</v>
      </c>
      <c r="K696" s="12" t="str">
        <f t="shared" si="72"/>
        <v>Twitter Web App</v>
      </c>
      <c r="L696" s="16">
        <v>2589.0</v>
      </c>
      <c r="M696" s="16">
        <v>1456.0</v>
      </c>
      <c r="N696" s="16">
        <v>51.0</v>
      </c>
      <c r="O696" s="17"/>
      <c r="P696" s="18">
        <v>41990.426620370374</v>
      </c>
      <c r="Q696" s="14"/>
      <c r="R696" s="1" t="s">
        <v>3470</v>
      </c>
      <c r="S696" s="13" t="s">
        <v>3471</v>
      </c>
      <c r="T696" s="14"/>
      <c r="U696" s="19" t="str">
        <f>HYPERLINK("https://pbs.twimg.com/profile_images/798079987018502144/NMC12z4v.jpg","View")</f>
        <v>View</v>
      </c>
      <c r="V696" s="14"/>
      <c r="W696" s="14"/>
      <c r="X696" s="14"/>
      <c r="Y696" s="14"/>
      <c r="Z696" s="14"/>
    </row>
    <row r="697">
      <c r="A697" s="11">
        <v>43847.194560185184</v>
      </c>
      <c r="B697" s="12" t="str">
        <f>HYPERLINK("https://twitter.com/Expat_Directory","@Expat_Directory")</f>
        <v>@Expat_Directory</v>
      </c>
      <c r="C697" s="1" t="s">
        <v>3472</v>
      </c>
      <c r="D697" s="1" t="s">
        <v>3473</v>
      </c>
      <c r="E697" s="12" t="str">
        <f>HYPERLINK("https://twitter.com/Expat_Directory/status/1218105725366435840","1218105725366435840")</f>
        <v>1218105725366435840</v>
      </c>
      <c r="F697" s="13" t="s">
        <v>3474</v>
      </c>
      <c r="G697" s="13" t="s">
        <v>3475</v>
      </c>
      <c r="H697" s="14"/>
      <c r="I697" s="15">
        <v>0.0</v>
      </c>
      <c r="J697" s="15">
        <v>0.0</v>
      </c>
      <c r="K697" s="12" t="str">
        <f>HYPERLINK("https://missinglettr.com","Missinglettr")</f>
        <v>Missinglettr</v>
      </c>
      <c r="L697" s="16">
        <v>3697.0</v>
      </c>
      <c r="M697" s="16">
        <v>1741.0</v>
      </c>
      <c r="N697" s="16">
        <v>221.0</v>
      </c>
      <c r="O697" s="17"/>
      <c r="P697" s="18">
        <v>42247.12432870371</v>
      </c>
      <c r="Q697" s="1" t="s">
        <v>3476</v>
      </c>
      <c r="R697" s="1" t="s">
        <v>3477</v>
      </c>
      <c r="S697" s="13" t="s">
        <v>3478</v>
      </c>
      <c r="T697" s="14"/>
      <c r="U697" s="19" t="str">
        <f>HYPERLINK("https://pbs.twimg.com/profile_images/1176894482979180551/qiO3WZk9.jpg","View")</f>
        <v>View</v>
      </c>
      <c r="V697" s="14"/>
      <c r="W697" s="14"/>
      <c r="X697" s="14"/>
      <c r="Y697" s="14"/>
      <c r="Z697" s="14"/>
    </row>
    <row r="698">
      <c r="A698" s="11">
        <v>43847.19310185185</v>
      </c>
      <c r="B698" s="12" t="str">
        <f>HYPERLINK("https://twitter.com/MahiraK12128172","@MahiraK12128172")</f>
        <v>@MahiraK12128172</v>
      </c>
      <c r="C698" s="1" t="s">
        <v>1961</v>
      </c>
      <c r="D698" s="1" t="s">
        <v>3479</v>
      </c>
      <c r="E698" s="12" t="str">
        <f>HYPERLINK("https://twitter.com/MahiraK12128172/status/1218105195709829120","1218105195709829120")</f>
        <v>1218105195709829120</v>
      </c>
      <c r="F698" s="14"/>
      <c r="G698" s="13" t="s">
        <v>3480</v>
      </c>
      <c r="H698" s="14"/>
      <c r="I698" s="15">
        <v>0.0</v>
      </c>
      <c r="J698" s="15">
        <v>0.0</v>
      </c>
      <c r="K698" s="12" t="str">
        <f>HYPERLINK("http://twitter.com/download/android","Twitter for Android")</f>
        <v>Twitter for Android</v>
      </c>
      <c r="L698" s="16">
        <v>7.0</v>
      </c>
      <c r="M698" s="16">
        <v>6.0</v>
      </c>
      <c r="N698" s="16">
        <v>0.0</v>
      </c>
      <c r="O698" s="17"/>
      <c r="P698" s="18">
        <v>43828.45667824074</v>
      </c>
      <c r="Q698" s="14"/>
      <c r="R698" s="1" t="s">
        <v>1963</v>
      </c>
      <c r="S698" s="14"/>
      <c r="T698" s="14"/>
      <c r="U698" s="19" t="str">
        <f>HYPERLINK("https://pbs.twimg.com/profile_images/1215238874550632448/rjhz6sRR.jpg","View")</f>
        <v>View</v>
      </c>
      <c r="V698" s="14"/>
      <c r="W698" s="14"/>
      <c r="X698" s="14"/>
      <c r="Y698" s="14"/>
      <c r="Z698" s="14"/>
    </row>
    <row r="699">
      <c r="A699" s="11">
        <v>43847.18975694444</v>
      </c>
      <c r="B699" s="12" t="str">
        <f>HYPERLINK("https://twitter.com/BiofeedbackT","@BiofeedbackT")</f>
        <v>@BiofeedbackT</v>
      </c>
      <c r="C699" s="1" t="s">
        <v>3481</v>
      </c>
      <c r="D699" s="1" t="s">
        <v>3482</v>
      </c>
      <c r="E699" s="12" t="str">
        <f>HYPERLINK("https://twitter.com/BiofeedbackT/status/1218103981689446400","1218103981689446400")</f>
        <v>1218103981689446400</v>
      </c>
      <c r="F699" s="13" t="s">
        <v>3483</v>
      </c>
      <c r="G699" s="13" t="s">
        <v>3484</v>
      </c>
      <c r="H699" s="14"/>
      <c r="I699" s="15">
        <v>1.0</v>
      </c>
      <c r="J699" s="15">
        <v>2.0</v>
      </c>
      <c r="K699" s="12" t="str">
        <f>HYPERLINK("https://mobile.twitter.com","Twitter Web App")</f>
        <v>Twitter Web App</v>
      </c>
      <c r="L699" s="16">
        <v>125.0</v>
      </c>
      <c r="M699" s="16">
        <v>270.0</v>
      </c>
      <c r="N699" s="16">
        <v>1.0</v>
      </c>
      <c r="O699" s="17"/>
      <c r="P699" s="18">
        <v>43417.476631944446</v>
      </c>
      <c r="Q699" s="1" t="s">
        <v>263</v>
      </c>
      <c r="R699" s="1" t="s">
        <v>3485</v>
      </c>
      <c r="S699" s="13" t="s">
        <v>3486</v>
      </c>
      <c r="T699" s="14"/>
      <c r="U699" s="19" t="str">
        <f>HYPERLINK("https://pbs.twimg.com/profile_images/1188820504259502080/5n_cGvVk.jpg","View")</f>
        <v>View</v>
      </c>
      <c r="V699" s="14"/>
      <c r="W699" s="14"/>
      <c r="X699" s="14"/>
      <c r="Y699" s="14"/>
      <c r="Z699" s="14"/>
    </row>
    <row r="700">
      <c r="A700" s="11">
        <v>43847.18759259259</v>
      </c>
      <c r="B700" s="12" t="str">
        <f>HYPERLINK("https://twitter.com/everywomanUK","@everywomanUK")</f>
        <v>@everywomanUK</v>
      </c>
      <c r="C700" s="1" t="s">
        <v>3487</v>
      </c>
      <c r="D700" s="1" t="s">
        <v>3488</v>
      </c>
      <c r="E700" s="12" t="str">
        <f>HYPERLINK("https://twitter.com/everywomanUK/status/1218103196742299648","1218103196742299648")</f>
        <v>1218103196742299648</v>
      </c>
      <c r="F700" s="13" t="s">
        <v>3489</v>
      </c>
      <c r="G700" s="13" t="s">
        <v>3490</v>
      </c>
      <c r="H700" s="14"/>
      <c r="I700" s="15">
        <v>0.0</v>
      </c>
      <c r="J700" s="15">
        <v>4.0</v>
      </c>
      <c r="K700" s="12" t="str">
        <f>HYPERLINK("http://www.salesforce.com","Salesforce - Social Studio")</f>
        <v>Salesforce - Social Studio</v>
      </c>
      <c r="L700" s="16">
        <v>29147.0</v>
      </c>
      <c r="M700" s="16">
        <v>8396.0</v>
      </c>
      <c r="N700" s="16">
        <v>792.0</v>
      </c>
      <c r="O700" s="17"/>
      <c r="P700" s="18">
        <v>39860.627858796295</v>
      </c>
      <c r="Q700" s="1" t="s">
        <v>691</v>
      </c>
      <c r="R700" s="1" t="s">
        <v>3491</v>
      </c>
      <c r="S700" s="13" t="s">
        <v>3492</v>
      </c>
      <c r="T700" s="14"/>
      <c r="U700" s="19" t="str">
        <f>HYPERLINK("https://pbs.twimg.com/profile_images/890218878281932801/_EaZklxp.jpg","View")</f>
        <v>View</v>
      </c>
      <c r="V700" s="14"/>
      <c r="W700" s="14"/>
      <c r="X700" s="14"/>
      <c r="Y700" s="14"/>
      <c r="Z700" s="14"/>
    </row>
    <row r="701">
      <c r="A701" s="11">
        <v>43847.1875</v>
      </c>
      <c r="B701" s="12" t="str">
        <f>HYPERLINK("https://twitter.com/HRRevolutionltd","@HRRevolutionltd")</f>
        <v>@HRRevolutionltd</v>
      </c>
      <c r="C701" s="1" t="s">
        <v>3493</v>
      </c>
      <c r="D701" s="1" t="s">
        <v>3494</v>
      </c>
      <c r="E701" s="12" t="str">
        <f>HYPERLINK("https://twitter.com/HRRevolutionltd/status/1218103164760743937","1218103164760743937")</f>
        <v>1218103164760743937</v>
      </c>
      <c r="F701" s="13" t="s">
        <v>3495</v>
      </c>
      <c r="G701" s="13" t="s">
        <v>3496</v>
      </c>
      <c r="H701" s="14"/>
      <c r="I701" s="15">
        <v>0.0</v>
      </c>
      <c r="J701" s="15">
        <v>0.0</v>
      </c>
      <c r="K701" s="12" t="str">
        <f>HYPERLINK("https://about.twitter.com/products/tweetdeck","TweetDeck")</f>
        <v>TweetDeck</v>
      </c>
      <c r="L701" s="16">
        <v>4252.0</v>
      </c>
      <c r="M701" s="16">
        <v>2341.0</v>
      </c>
      <c r="N701" s="16">
        <v>386.0</v>
      </c>
      <c r="O701" s="17"/>
      <c r="P701" s="18">
        <v>40551.64834490741</v>
      </c>
      <c r="Q701" s="1" t="s">
        <v>3497</v>
      </c>
      <c r="R701" s="1" t="s">
        <v>3498</v>
      </c>
      <c r="S701" s="13" t="s">
        <v>3499</v>
      </c>
      <c r="T701" s="14"/>
      <c r="U701" s="19" t="str">
        <f>HYPERLINK("https://pbs.twimg.com/profile_images/1047139360372604930/BPcyzkA2.jpg","View")</f>
        <v>View</v>
      </c>
      <c r="V701" s="14"/>
      <c r="W701" s="14"/>
      <c r="X701" s="14"/>
      <c r="Y701" s="14"/>
      <c r="Z701" s="14"/>
    </row>
    <row r="702">
      <c r="A702" s="11">
        <v>43847.185532407406</v>
      </c>
      <c r="B702" s="12" t="str">
        <f>HYPERLINK("https://twitter.com/tdkinser","@tdkinser")</f>
        <v>@tdkinser</v>
      </c>
      <c r="C702" s="1" t="s">
        <v>3500</v>
      </c>
      <c r="D702" s="1" t="s">
        <v>1427</v>
      </c>
      <c r="E702" s="12" t="str">
        <f>HYPERLINK("https://twitter.com/tdkinser/status/1218102450638524421","1218102450638524421")</f>
        <v>1218102450638524421</v>
      </c>
      <c r="F702" s="13" t="s">
        <v>1428</v>
      </c>
      <c r="G702" s="13" t="s">
        <v>3501</v>
      </c>
      <c r="H702" s="14"/>
      <c r="I702" s="15">
        <v>0.0</v>
      </c>
      <c r="J702" s="15">
        <v>0.0</v>
      </c>
      <c r="K702" s="12" t="str">
        <f>HYPERLINK("https://www.socialjukebox.com","The Social Jukebox")</f>
        <v>The Social Jukebox</v>
      </c>
      <c r="L702" s="16">
        <v>71001.0</v>
      </c>
      <c r="M702" s="16">
        <v>36353.0</v>
      </c>
      <c r="N702" s="16">
        <v>2203.0</v>
      </c>
      <c r="O702" s="17"/>
      <c r="P702" s="18">
        <v>40937.78974537037</v>
      </c>
      <c r="Q702" s="1" t="s">
        <v>3502</v>
      </c>
      <c r="R702" s="1" t="s">
        <v>3503</v>
      </c>
      <c r="S702" s="14"/>
      <c r="T702" s="14"/>
      <c r="U702" s="19" t="str">
        <f>HYPERLINK("https://pbs.twimg.com/profile_images/979037925718441984/xCfAAE33.jpg","View")</f>
        <v>View</v>
      </c>
      <c r="V702" s="14"/>
      <c r="W702" s="14"/>
      <c r="X702" s="14"/>
      <c r="Y702" s="14"/>
      <c r="Z702" s="14"/>
    </row>
    <row r="703">
      <c r="A703" s="11">
        <v>43847.184212962966</v>
      </c>
      <c r="B703" s="12" t="str">
        <f>HYPERLINK("https://twitter.com/Healthcrtoday","@Healthcrtoday")</f>
        <v>@Healthcrtoday</v>
      </c>
      <c r="C703" s="1" t="s">
        <v>3504</v>
      </c>
      <c r="D703" s="1" t="s">
        <v>3505</v>
      </c>
      <c r="E703" s="12" t="str">
        <f>HYPERLINK("https://twitter.com/Healthcrtoday/status/1218101974773596160","1218101974773596160")</f>
        <v>1218101974773596160</v>
      </c>
      <c r="F703" s="13" t="s">
        <v>3506</v>
      </c>
      <c r="G703" s="13" t="s">
        <v>3507</v>
      </c>
      <c r="H703" s="14"/>
      <c r="I703" s="15">
        <v>0.0</v>
      </c>
      <c r="J703" s="15">
        <v>0.0</v>
      </c>
      <c r="K703" s="12" t="str">
        <f>HYPERLINK("https://mobile.twitter.com","Twitter Web App")</f>
        <v>Twitter Web App</v>
      </c>
      <c r="L703" s="16">
        <v>39.0</v>
      </c>
      <c r="M703" s="16">
        <v>59.0</v>
      </c>
      <c r="N703" s="16">
        <v>0.0</v>
      </c>
      <c r="O703" s="17"/>
      <c r="P703" s="18">
        <v>41221.300520833334</v>
      </c>
      <c r="Q703" s="1" t="s">
        <v>3508</v>
      </c>
      <c r="R703" s="1" t="s">
        <v>3509</v>
      </c>
      <c r="S703" s="13" t="s">
        <v>3510</v>
      </c>
      <c r="T703" s="14"/>
      <c r="U703" s="19" t="str">
        <f>HYPERLINK("https://pbs.twimg.com/profile_images/1214461913704194048/oyXHBTDw.jpg","View")</f>
        <v>View</v>
      </c>
      <c r="V703" s="14"/>
      <c r="W703" s="14"/>
      <c r="X703" s="14"/>
      <c r="Y703" s="14"/>
      <c r="Z703" s="14"/>
    </row>
    <row r="704">
      <c r="A704" s="11">
        <v>43847.17765046297</v>
      </c>
      <c r="B704" s="12" t="str">
        <f>HYPERLINK("https://twitter.com/AthletesPsych","@AthletesPsych")</f>
        <v>@AthletesPsych</v>
      </c>
      <c r="C704" s="1" t="s">
        <v>3511</v>
      </c>
      <c r="D704" s="1" t="s">
        <v>3512</v>
      </c>
      <c r="E704" s="12" t="str">
        <f>HYPERLINK("https://twitter.com/AthletesPsych/status/1218099597777817604","1218099597777817604")</f>
        <v>1218099597777817604</v>
      </c>
      <c r="F704" s="13" t="s">
        <v>3513</v>
      </c>
      <c r="G704" s="14"/>
      <c r="H704" s="14"/>
      <c r="I704" s="15">
        <v>0.0</v>
      </c>
      <c r="J704" s="15">
        <v>0.0</v>
      </c>
      <c r="K704" s="12" t="str">
        <f>HYPERLINK("http://twitter.com/#!/download/ipad","Twitter for iPad")</f>
        <v>Twitter for iPad</v>
      </c>
      <c r="L704" s="16">
        <v>310.0</v>
      </c>
      <c r="M704" s="16">
        <v>323.0</v>
      </c>
      <c r="N704" s="16">
        <v>1.0</v>
      </c>
      <c r="O704" s="17"/>
      <c r="P704" s="18">
        <v>43516.1184375</v>
      </c>
      <c r="Q704" s="1" t="s">
        <v>3514</v>
      </c>
      <c r="R704" s="1" t="s">
        <v>3515</v>
      </c>
      <c r="S704" s="13" t="s">
        <v>3516</v>
      </c>
      <c r="T704" s="14"/>
      <c r="U704" s="19" t="str">
        <f>HYPERLINK("https://pbs.twimg.com/profile_images/1171296101598715905/69Hc-l2f.jpg","View")</f>
        <v>View</v>
      </c>
      <c r="V704" s="14"/>
      <c r="W704" s="14"/>
      <c r="X704" s="14"/>
      <c r="Y704" s="14"/>
      <c r="Z704" s="14"/>
    </row>
    <row r="705">
      <c r="A705" s="11">
        <v>43847.17747685185</v>
      </c>
      <c r="B705" s="12" t="str">
        <f>HYPERLINK("https://twitter.com/daily_research","@daily_research")</f>
        <v>@daily_research</v>
      </c>
      <c r="C705" s="1" t="s">
        <v>1316</v>
      </c>
      <c r="D705" s="1" t="s">
        <v>3517</v>
      </c>
      <c r="E705" s="12" t="str">
        <f>HYPERLINK("https://twitter.com/daily_research/status/1218099534527680512","1218099534527680512")</f>
        <v>1218099534527680512</v>
      </c>
      <c r="F705" s="13" t="s">
        <v>3518</v>
      </c>
      <c r="G705" s="13" t="s">
        <v>3519</v>
      </c>
      <c r="H705" s="14"/>
      <c r="I705" s="15">
        <v>0.0</v>
      </c>
      <c r="J705" s="15">
        <v>0.0</v>
      </c>
      <c r="K705" s="12" t="str">
        <f>HYPERLINK("http://aethmos.com","SurveyCircle Team")</f>
        <v>SurveyCircle Team</v>
      </c>
      <c r="L705" s="16">
        <v>512.0</v>
      </c>
      <c r="M705" s="16">
        <v>1939.0</v>
      </c>
      <c r="N705" s="16">
        <v>8.0</v>
      </c>
      <c r="O705" s="17"/>
      <c r="P705" s="18">
        <v>42971.15692129629</v>
      </c>
      <c r="Q705" s="14"/>
      <c r="R705" s="1" t="s">
        <v>1320</v>
      </c>
      <c r="S705" s="13" t="s">
        <v>1321</v>
      </c>
      <c r="T705" s="14"/>
      <c r="U705" s="19" t="str">
        <f>HYPERLINK("https://pbs.twimg.com/profile_images/978250981854076928/--lCQGMP.jpg","View")</f>
        <v>View</v>
      </c>
      <c r="V705" s="14"/>
      <c r="W705" s="14"/>
      <c r="X705" s="14"/>
      <c r="Y705" s="14"/>
      <c r="Z705" s="14"/>
    </row>
    <row r="706">
      <c r="A706" s="11">
        <v>43847.17653935185</v>
      </c>
      <c r="B706" s="12" t="str">
        <f>HYPERLINK("https://twitter.com/DailyWaffle","@DailyWaffle")</f>
        <v>@DailyWaffle</v>
      </c>
      <c r="C706" s="1" t="s">
        <v>2274</v>
      </c>
      <c r="D706" s="1" t="s">
        <v>3520</v>
      </c>
      <c r="E706" s="12" t="str">
        <f>HYPERLINK("https://twitter.com/DailyWaffle/status/1218099193887281152","1218099193887281152")</f>
        <v>1218099193887281152</v>
      </c>
      <c r="F706" s="13" t="s">
        <v>3521</v>
      </c>
      <c r="G706" s="13" t="s">
        <v>3522</v>
      </c>
      <c r="H706" s="14"/>
      <c r="I706" s="15">
        <v>4.0</v>
      </c>
      <c r="J706" s="15">
        <v>2.0</v>
      </c>
      <c r="K706" s="12" t="str">
        <f>HYPERLINK("https://buffer.com","Buffer")</f>
        <v>Buffer</v>
      </c>
      <c r="L706" s="16">
        <v>2527.0</v>
      </c>
      <c r="M706" s="16">
        <v>2181.0</v>
      </c>
      <c r="N706" s="16">
        <v>134.0</v>
      </c>
      <c r="O706" s="17"/>
      <c r="P706" s="18">
        <v>40568.26107638889</v>
      </c>
      <c r="Q706" s="1" t="s">
        <v>2278</v>
      </c>
      <c r="R706" s="1" t="s">
        <v>2279</v>
      </c>
      <c r="S706" s="13" t="s">
        <v>2280</v>
      </c>
      <c r="T706" s="14"/>
      <c r="U706" s="19" t="str">
        <f>HYPERLINK("https://pbs.twimg.com/profile_images/378800000704624480/d79e97179fbe43cc0306bbafbf096b73.jpeg","View")</f>
        <v>View</v>
      </c>
      <c r="V706" s="14"/>
      <c r="W706" s="14"/>
      <c r="X706" s="14"/>
      <c r="Y706" s="14"/>
      <c r="Z706" s="14"/>
    </row>
    <row r="707">
      <c r="A707" s="11">
        <v>43847.175057870365</v>
      </c>
      <c r="B707" s="12" t="str">
        <f>HYPERLINK("https://twitter.com/ListHealthy","@ListHealthy")</f>
        <v>@ListHealthy</v>
      </c>
      <c r="C707" s="1" t="s">
        <v>3523</v>
      </c>
      <c r="D707" s="1" t="s">
        <v>3524</v>
      </c>
      <c r="E707" s="12" t="str">
        <f>HYPERLINK("https://twitter.com/ListHealthy/status/1218098655120502784","1218098655120502784")</f>
        <v>1218098655120502784</v>
      </c>
      <c r="F707" s="13" t="s">
        <v>3525</v>
      </c>
      <c r="G707" s="13" t="s">
        <v>3526</v>
      </c>
      <c r="H707" s="14"/>
      <c r="I707" s="15">
        <v>0.0</v>
      </c>
      <c r="J707" s="15">
        <v>0.0</v>
      </c>
      <c r="K707" s="12" t="str">
        <f>HYPERLINK("https://missinglettr.com","Missinglettr")</f>
        <v>Missinglettr</v>
      </c>
      <c r="L707" s="16">
        <v>5.0</v>
      </c>
      <c r="M707" s="16">
        <v>13.0</v>
      </c>
      <c r="N707" s="16">
        <v>0.0</v>
      </c>
      <c r="O707" s="17"/>
      <c r="P707" s="18">
        <v>43588.50326388889</v>
      </c>
      <c r="Q707" s="1" t="s">
        <v>1436</v>
      </c>
      <c r="R707" s="1" t="s">
        <v>3527</v>
      </c>
      <c r="S707" s="14"/>
      <c r="T707" s="14"/>
      <c r="U707" s="19" t="str">
        <f>HYPERLINK("https://pbs.twimg.com/profile_images/1124344189574107138/3LAduwrT.jpg","View")</f>
        <v>View</v>
      </c>
      <c r="V707" s="14"/>
      <c r="W707" s="14"/>
      <c r="X707" s="14"/>
      <c r="Y707" s="14"/>
      <c r="Z707" s="14"/>
    </row>
    <row r="708">
      <c r="A708" s="11">
        <v>43847.174166666664</v>
      </c>
      <c r="B708" s="12" t="str">
        <f>HYPERLINK("https://twitter.com/HearingLossIL","@HearingLossIL")</f>
        <v>@HearingLossIL</v>
      </c>
      <c r="C708" s="1" t="s">
        <v>3528</v>
      </c>
      <c r="D708" s="1" t="s">
        <v>3529</v>
      </c>
      <c r="E708" s="12" t="str">
        <f>HYPERLINK("https://twitter.com/HearingLossIL/status/1218098334788980737","1218098334788980737")</f>
        <v>1218098334788980737</v>
      </c>
      <c r="F708" s="13" t="s">
        <v>3530</v>
      </c>
      <c r="G708" s="13" t="s">
        <v>3531</v>
      </c>
      <c r="H708" s="14"/>
      <c r="I708" s="15">
        <v>0.0</v>
      </c>
      <c r="J708" s="15">
        <v>3.0</v>
      </c>
      <c r="K708" s="12" t="str">
        <f>HYPERLINK("https://mobile.twitter.com","Twitter Web App")</f>
        <v>Twitter Web App</v>
      </c>
      <c r="L708" s="16">
        <v>1427.0</v>
      </c>
      <c r="M708" s="16">
        <v>1540.0</v>
      </c>
      <c r="N708" s="16">
        <v>43.0</v>
      </c>
      <c r="O708" s="17"/>
      <c r="P708" s="18">
        <v>42191.384733796294</v>
      </c>
      <c r="Q708" s="14"/>
      <c r="R708" s="1" t="s">
        <v>3532</v>
      </c>
      <c r="S708" s="13" t="s">
        <v>3533</v>
      </c>
      <c r="T708" s="14"/>
      <c r="U708" s="19" t="str">
        <f>HYPERLINK("https://pbs.twimg.com/profile_images/661834603095830528/YRjqfNQr.jpg","View")</f>
        <v>View</v>
      </c>
      <c r="V708" s="14"/>
      <c r="W708" s="14"/>
      <c r="X708" s="14"/>
      <c r="Y708" s="14"/>
      <c r="Z708" s="14"/>
    </row>
    <row r="709">
      <c r="A709" s="11">
        <v>43847.172534722224</v>
      </c>
      <c r="B709" s="12" t="str">
        <f>HYPERLINK("https://twitter.com/dorothyspeaker","@dorothyspeaker")</f>
        <v>@dorothyspeaker</v>
      </c>
      <c r="C709" s="1" t="s">
        <v>3534</v>
      </c>
      <c r="D709" s="1" t="s">
        <v>3535</v>
      </c>
      <c r="E709" s="12" t="str">
        <f>HYPERLINK("https://twitter.com/dorothyspeaker/status/1218097740313497606","1218097740313497606")</f>
        <v>1218097740313497606</v>
      </c>
      <c r="F709" s="13" t="s">
        <v>3536</v>
      </c>
      <c r="G709" s="13" t="s">
        <v>3537</v>
      </c>
      <c r="H709" s="14"/>
      <c r="I709" s="15">
        <v>0.0</v>
      </c>
      <c r="J709" s="15">
        <v>1.0</v>
      </c>
      <c r="K709" s="12" t="str">
        <f t="shared" ref="K709:K710" si="73">HYPERLINK("http://twitter.com/download/iphone","Twitter for iPhone")</f>
        <v>Twitter for iPhone</v>
      </c>
      <c r="L709" s="16">
        <v>71.0</v>
      </c>
      <c r="M709" s="16">
        <v>125.0</v>
      </c>
      <c r="N709" s="16">
        <v>1.0</v>
      </c>
      <c r="O709" s="17"/>
      <c r="P709" s="18">
        <v>42021.706921296296</v>
      </c>
      <c r="Q709" s="1" t="s">
        <v>263</v>
      </c>
      <c r="R709" s="1" t="s">
        <v>3538</v>
      </c>
      <c r="S709" s="13" t="s">
        <v>3539</v>
      </c>
      <c r="T709" s="14"/>
      <c r="U709" s="19" t="str">
        <f>HYPERLINK("https://pbs.twimg.com/profile_images/957545035645497344/qBx2KQtP.jpg","View")</f>
        <v>View</v>
      </c>
      <c r="V709" s="14"/>
      <c r="W709" s="14"/>
      <c r="X709" s="14"/>
      <c r="Y709" s="14"/>
      <c r="Z709" s="14"/>
    </row>
    <row r="710">
      <c r="A710" s="11">
        <v>43847.172430555554</v>
      </c>
      <c r="B710" s="12" t="str">
        <f>HYPERLINK("https://twitter.com/DorsetMind","@DorsetMind")</f>
        <v>@DorsetMind</v>
      </c>
      <c r="C710" s="1" t="s">
        <v>3540</v>
      </c>
      <c r="D710" s="1" t="s">
        <v>3541</v>
      </c>
      <c r="E710" s="12" t="str">
        <f>HYPERLINK("https://twitter.com/DorsetMind/status/1218097704737431552","1218097704737431552")</f>
        <v>1218097704737431552</v>
      </c>
      <c r="F710" s="1" t="s">
        <v>3542</v>
      </c>
      <c r="G710" s="14"/>
      <c r="H710" s="14"/>
      <c r="I710" s="15">
        <v>1.0</v>
      </c>
      <c r="J710" s="15">
        <v>6.0</v>
      </c>
      <c r="K710" s="12" t="str">
        <f t="shared" si="73"/>
        <v>Twitter for iPhone</v>
      </c>
      <c r="L710" s="16">
        <v>5939.0</v>
      </c>
      <c r="M710" s="16">
        <v>3791.0</v>
      </c>
      <c r="N710" s="16">
        <v>109.0</v>
      </c>
      <c r="O710" s="17"/>
      <c r="P710" s="18">
        <v>41451.26269675926</v>
      </c>
      <c r="Q710" s="1" t="s">
        <v>3543</v>
      </c>
      <c r="R710" s="1" t="s">
        <v>3544</v>
      </c>
      <c r="S710" s="13" t="s">
        <v>3545</v>
      </c>
      <c r="T710" s="14"/>
      <c r="U710" s="19" t="str">
        <f>HYPERLINK("https://pbs.twimg.com/profile_images/1159458456283361280/L-5CDBG1.jpg","View")</f>
        <v>View</v>
      </c>
      <c r="V710" s="14"/>
      <c r="W710" s="14"/>
      <c r="X710" s="14"/>
      <c r="Y710" s="14"/>
      <c r="Z710" s="14"/>
    </row>
    <row r="711">
      <c r="A711" s="11">
        <v>43847.16793981481</v>
      </c>
      <c r="B711" s="12" t="str">
        <f>HYPERLINK("https://twitter.com/hypnosisstudio","@hypnosisstudio")</f>
        <v>@hypnosisstudio</v>
      </c>
      <c r="C711" s="1" t="s">
        <v>3546</v>
      </c>
      <c r="D711" s="1" t="s">
        <v>3547</v>
      </c>
      <c r="E711" s="12" t="str">
        <f>HYPERLINK("https://twitter.com/hypnosisstudio/status/1218096077271904256","1218096077271904256")</f>
        <v>1218096077271904256</v>
      </c>
      <c r="F711" s="13" t="s">
        <v>3548</v>
      </c>
      <c r="G711" s="13" t="s">
        <v>3549</v>
      </c>
      <c r="H711" s="14"/>
      <c r="I711" s="15">
        <v>0.0</v>
      </c>
      <c r="J711" s="15">
        <v>1.0</v>
      </c>
      <c r="K711" s="12" t="str">
        <f>HYPERLINK("https://missinglettr.com","Missinglettr")</f>
        <v>Missinglettr</v>
      </c>
      <c r="L711" s="16">
        <v>472.0</v>
      </c>
      <c r="M711" s="16">
        <v>126.0</v>
      </c>
      <c r="N711" s="16">
        <v>6.0</v>
      </c>
      <c r="O711" s="17"/>
      <c r="P711" s="18">
        <v>41670.66454861111</v>
      </c>
      <c r="Q711" s="1" t="s">
        <v>3550</v>
      </c>
      <c r="R711" s="1" t="s">
        <v>3551</v>
      </c>
      <c r="S711" s="13" t="s">
        <v>3552</v>
      </c>
      <c r="T711" s="14"/>
      <c r="U711" s="19" t="str">
        <f>HYPERLINK("https://pbs.twimg.com/profile_images/843875202467532801/LHiEvfBJ.jpg","View")</f>
        <v>View</v>
      </c>
      <c r="V711" s="14"/>
      <c r="W711" s="14"/>
      <c r="X711" s="14"/>
      <c r="Y711" s="14"/>
      <c r="Z711" s="14"/>
    </row>
    <row r="712">
      <c r="A712" s="11">
        <v>43847.16755787037</v>
      </c>
      <c r="B712" s="12" t="str">
        <f>HYPERLINK("https://twitter.com/Uni_Croydon","@Uni_Croydon")</f>
        <v>@Uni_Croydon</v>
      </c>
      <c r="C712" s="1" t="s">
        <v>3553</v>
      </c>
      <c r="D712" s="1" t="s">
        <v>3554</v>
      </c>
      <c r="E712" s="12" t="str">
        <f>HYPERLINK("https://twitter.com/Uni_Croydon/status/1218095937563844609","1218095937563844609")</f>
        <v>1218095937563844609</v>
      </c>
      <c r="F712" s="14"/>
      <c r="G712" s="14"/>
      <c r="H712" s="14"/>
      <c r="I712" s="15">
        <v>0.0</v>
      </c>
      <c r="J712" s="15">
        <v>2.0</v>
      </c>
      <c r="K712" s="12" t="str">
        <f t="shared" ref="K712:K713" si="74">HYPERLINK("https://www.hootsuite.com","Hootsuite Inc.")</f>
        <v>Hootsuite Inc.</v>
      </c>
      <c r="L712" s="16">
        <v>207.0</v>
      </c>
      <c r="M712" s="16">
        <v>128.0</v>
      </c>
      <c r="N712" s="16">
        <v>6.0</v>
      </c>
      <c r="O712" s="17"/>
      <c r="P712" s="18">
        <v>41428.48604166666</v>
      </c>
      <c r="Q712" s="1" t="s">
        <v>3555</v>
      </c>
      <c r="R712" s="1" t="s">
        <v>3556</v>
      </c>
      <c r="S712" s="13" t="s">
        <v>3557</v>
      </c>
      <c r="T712" s="14"/>
      <c r="U712" s="19" t="str">
        <f>HYPERLINK("https://pbs.twimg.com/profile_images/595592532446294016/MR5qiRqL.jpg","View")</f>
        <v>View</v>
      </c>
      <c r="V712" s="14"/>
      <c r="W712" s="14"/>
      <c r="X712" s="14"/>
      <c r="Y712" s="14"/>
      <c r="Z712" s="14"/>
    </row>
    <row r="713">
      <c r="A713" s="11">
        <v>43847.16736111111</v>
      </c>
      <c r="B713" s="12" t="str">
        <f>HYPERLINK("https://twitter.com/CroydonCollege","@CroydonCollege")</f>
        <v>@CroydonCollege</v>
      </c>
      <c r="C713" s="1" t="s">
        <v>3558</v>
      </c>
      <c r="D713" s="1" t="s">
        <v>3554</v>
      </c>
      <c r="E713" s="12" t="str">
        <f>HYPERLINK("https://twitter.com/CroydonCollege/status/1218095866592055296","1218095866592055296")</f>
        <v>1218095866592055296</v>
      </c>
      <c r="F713" s="14"/>
      <c r="G713" s="14"/>
      <c r="H713" s="14"/>
      <c r="I713" s="15">
        <v>2.0</v>
      </c>
      <c r="J713" s="15">
        <v>7.0</v>
      </c>
      <c r="K713" s="12" t="str">
        <f t="shared" si="74"/>
        <v>Hootsuite Inc.</v>
      </c>
      <c r="L713" s="16">
        <v>6286.0</v>
      </c>
      <c r="M713" s="16">
        <v>597.0</v>
      </c>
      <c r="N713" s="16">
        <v>183.0</v>
      </c>
      <c r="O713" s="17"/>
      <c r="P713" s="18">
        <v>40025.196377314816</v>
      </c>
      <c r="Q713" s="1" t="s">
        <v>3559</v>
      </c>
      <c r="R713" s="1" t="s">
        <v>3560</v>
      </c>
      <c r="S713" s="13" t="s">
        <v>3561</v>
      </c>
      <c r="T713" s="14"/>
      <c r="U713" s="19" t="str">
        <f>HYPERLINK("https://pbs.twimg.com/profile_images/1044243274213576706/iEu7RzIt.jpg","View")</f>
        <v>View</v>
      </c>
      <c r="V713" s="14"/>
      <c r="W713" s="14"/>
      <c r="X713" s="14"/>
      <c r="Y713" s="14"/>
      <c r="Z713" s="14"/>
    </row>
    <row r="714">
      <c r="A714" s="11">
        <v>43847.166608796295</v>
      </c>
      <c r="B714" s="12" t="str">
        <f>HYPERLINK("https://twitter.com/jtkearney","@jtkearney")</f>
        <v>@jtkearney</v>
      </c>
      <c r="C714" s="1" t="s">
        <v>3562</v>
      </c>
      <c r="D714" s="1" t="s">
        <v>3563</v>
      </c>
      <c r="E714" s="12" t="str">
        <f>HYPERLINK("https://twitter.com/jtkearney/status/1218095595048644608","1218095595048644608")</f>
        <v>1218095595048644608</v>
      </c>
      <c r="F714" s="14"/>
      <c r="G714" s="13" t="s">
        <v>3564</v>
      </c>
      <c r="H714" s="14"/>
      <c r="I714" s="15">
        <v>1.0</v>
      </c>
      <c r="J714" s="15">
        <v>20.0</v>
      </c>
      <c r="K714" s="12" t="str">
        <f>HYPERLINK("http://twitter.com/download/iphone","Twitter for iPhone")</f>
        <v>Twitter for iPhone</v>
      </c>
      <c r="L714" s="16">
        <v>1491.0</v>
      </c>
      <c r="M714" s="16">
        <v>2751.0</v>
      </c>
      <c r="N714" s="16">
        <v>26.0</v>
      </c>
      <c r="O714" s="17"/>
      <c r="P714" s="18">
        <v>39972.58050925926</v>
      </c>
      <c r="Q714" s="1" t="s">
        <v>3565</v>
      </c>
      <c r="R714" s="1" t="s">
        <v>3566</v>
      </c>
      <c r="S714" s="13" t="s">
        <v>3567</v>
      </c>
      <c r="T714" s="14"/>
      <c r="U714" s="19" t="str">
        <f>HYPERLINK("https://pbs.twimg.com/profile_images/471400099822571520/9RbrreZg.jpeg","View")</f>
        <v>View</v>
      </c>
      <c r="V714" s="14"/>
      <c r="W714" s="14"/>
      <c r="X714" s="14"/>
      <c r="Y714" s="14"/>
      <c r="Z714" s="14"/>
    </row>
    <row r="715">
      <c r="A715" s="11">
        <v>43847.16630787037</v>
      </c>
      <c r="B715" s="12" t="str">
        <f>HYPERLINK("https://twitter.com/writer_paula","@writer_paula")</f>
        <v>@writer_paula</v>
      </c>
      <c r="C715" s="1" t="s">
        <v>3568</v>
      </c>
      <c r="D715" s="1" t="s">
        <v>3569</v>
      </c>
      <c r="E715" s="12" t="str">
        <f>HYPERLINK("https://twitter.com/writer_paula/status/1218095483954126848","1218095483954126848")</f>
        <v>1218095483954126848</v>
      </c>
      <c r="F715" s="13" t="s">
        <v>3570</v>
      </c>
      <c r="G715" s="14"/>
      <c r="H715" s="14"/>
      <c r="I715" s="15">
        <v>1.0</v>
      </c>
      <c r="J715" s="15">
        <v>2.0</v>
      </c>
      <c r="K715" s="12" t="str">
        <f>HYPERLINK("http://twitter.com","Twitter Web Client")</f>
        <v>Twitter Web Client</v>
      </c>
      <c r="L715" s="16">
        <v>8950.0</v>
      </c>
      <c r="M715" s="16">
        <v>8809.0</v>
      </c>
      <c r="N715" s="16">
        <v>81.0</v>
      </c>
      <c r="O715" s="17"/>
      <c r="P715" s="18">
        <v>42180.35587962963</v>
      </c>
      <c r="Q715" s="1" t="s">
        <v>268</v>
      </c>
      <c r="R715" s="1" t="s">
        <v>3571</v>
      </c>
      <c r="S715" s="14"/>
      <c r="T715" s="14"/>
      <c r="U715" s="19" t="str">
        <f>HYPERLINK("https://pbs.twimg.com/profile_images/1204036551790997506/PdVKRCLw.jpg","View")</f>
        <v>View</v>
      </c>
      <c r="V715" s="14"/>
      <c r="W715" s="14"/>
      <c r="X715" s="14"/>
      <c r="Y715" s="14"/>
      <c r="Z715" s="14"/>
    </row>
    <row r="716">
      <c r="A716" s="11">
        <v>43847.16332175926</v>
      </c>
      <c r="B716" s="12" t="str">
        <f>HYPERLINK("https://twitter.com/TFHypnosis","@TFHypnosis")</f>
        <v>@TFHypnosis</v>
      </c>
      <c r="C716" s="1" t="s">
        <v>3572</v>
      </c>
      <c r="D716" s="1" t="s">
        <v>3573</v>
      </c>
      <c r="E716" s="12" t="str">
        <f>HYPERLINK("https://twitter.com/TFHypnosis/status/1218094404226994177","1218094404226994177")</f>
        <v>1218094404226994177</v>
      </c>
      <c r="F716" s="13" t="s">
        <v>3574</v>
      </c>
      <c r="G716" s="14"/>
      <c r="H716" s="14"/>
      <c r="I716" s="15">
        <v>0.0</v>
      </c>
      <c r="J716" s="15">
        <v>0.0</v>
      </c>
      <c r="K716" s="12" t="str">
        <f>HYPERLINK("https://www.socialjukebox.com","The Social Jukebox")</f>
        <v>The Social Jukebox</v>
      </c>
      <c r="L716" s="16">
        <v>1207.0</v>
      </c>
      <c r="M716" s="16">
        <v>894.0</v>
      </c>
      <c r="N716" s="16">
        <v>115.0</v>
      </c>
      <c r="O716" s="17"/>
      <c r="P716" s="18">
        <v>41760.45920138889</v>
      </c>
      <c r="Q716" s="1" t="s">
        <v>3575</v>
      </c>
      <c r="R716" s="1" t="s">
        <v>3576</v>
      </c>
      <c r="S716" s="13" t="s">
        <v>3577</v>
      </c>
      <c r="T716" s="14"/>
      <c r="U716" s="19" t="str">
        <f>HYPERLINK("https://pbs.twimg.com/profile_images/464421901696122880/BAh9DZKz.png","View")</f>
        <v>View</v>
      </c>
      <c r="V716" s="14"/>
      <c r="W716" s="14"/>
      <c r="X716" s="14"/>
      <c r="Y716" s="14"/>
      <c r="Z716" s="14"/>
    </row>
    <row r="717">
      <c r="A717" s="11">
        <v>43847.16327546297</v>
      </c>
      <c r="B717" s="12" t="str">
        <f>HYPERLINK("https://twitter.com/CmsPub","@CmsPub")</f>
        <v>@CmsPub</v>
      </c>
      <c r="C717" s="1" t="s">
        <v>3578</v>
      </c>
      <c r="D717" s="1" t="s">
        <v>3579</v>
      </c>
      <c r="E717" s="12" t="str">
        <f>HYPERLINK("https://twitter.com/CmsPub/status/1218094385491038208","1218094385491038208")</f>
        <v>1218094385491038208</v>
      </c>
      <c r="F717" s="13" t="s">
        <v>3580</v>
      </c>
      <c r="G717" s="13" t="s">
        <v>3581</v>
      </c>
      <c r="H717" s="14"/>
      <c r="I717" s="15">
        <v>1.0</v>
      </c>
      <c r="J717" s="15">
        <v>1.0</v>
      </c>
      <c r="K717" s="12" t="str">
        <f>HYPERLINK("https://www.hootsuite.com","Hootsuite Inc.")</f>
        <v>Hootsuite Inc.</v>
      </c>
      <c r="L717" s="16">
        <v>689.0</v>
      </c>
      <c r="M717" s="16">
        <v>1007.0</v>
      </c>
      <c r="N717" s="16">
        <v>19.0</v>
      </c>
      <c r="O717" s="17"/>
      <c r="P717" s="18">
        <v>42549.170381944445</v>
      </c>
      <c r="Q717" s="1" t="s">
        <v>1194</v>
      </c>
      <c r="R717" s="1" t="s">
        <v>3582</v>
      </c>
      <c r="S717" s="14"/>
      <c r="T717" s="14"/>
      <c r="U717" s="19" t="str">
        <f>HYPERLINK("https://pbs.twimg.com/profile_images/1111586291332861952/33rBZoTW.png","View")</f>
        <v>View</v>
      </c>
      <c r="V717" s="14"/>
      <c r="W717" s="14"/>
      <c r="X717" s="14"/>
      <c r="Y717" s="14"/>
      <c r="Z717" s="14"/>
    </row>
    <row r="718">
      <c r="A718" s="11">
        <v>43847.16322916667</v>
      </c>
      <c r="B718" s="12" t="str">
        <f>HYPERLINK("https://twitter.com/mojowtalk","@mojowtalk")</f>
        <v>@mojowtalk</v>
      </c>
      <c r="C718" s="1" t="s">
        <v>3583</v>
      </c>
      <c r="D718" s="1" t="s">
        <v>3584</v>
      </c>
      <c r="E718" s="12" t="str">
        <f>HYPERLINK("https://twitter.com/mojowtalk/status/1218094367887499265","1218094367887499265")</f>
        <v>1218094367887499265</v>
      </c>
      <c r="F718" s="13" t="s">
        <v>3585</v>
      </c>
      <c r="G718" s="13" t="s">
        <v>3586</v>
      </c>
      <c r="H718" s="14"/>
      <c r="I718" s="15">
        <v>0.0</v>
      </c>
      <c r="J718" s="15">
        <v>0.0</v>
      </c>
      <c r="K718" s="12" t="str">
        <f>HYPERLINK("https://buffer.com","Buffer")</f>
        <v>Buffer</v>
      </c>
      <c r="L718" s="16">
        <v>77.0</v>
      </c>
      <c r="M718" s="16">
        <v>102.0</v>
      </c>
      <c r="N718" s="16">
        <v>4.0</v>
      </c>
      <c r="O718" s="17"/>
      <c r="P718" s="18">
        <v>41380.406064814815</v>
      </c>
      <c r="Q718" s="1" t="s">
        <v>3587</v>
      </c>
      <c r="R718" s="1" t="s">
        <v>3588</v>
      </c>
      <c r="S718" s="13" t="s">
        <v>3589</v>
      </c>
      <c r="T718" s="14"/>
      <c r="U718" s="19" t="str">
        <f>HYPERLINK("https://pbs.twimg.com/profile_images/3530874212/4f06cfb912569949361363303a9e352b.jpeg","View")</f>
        <v>View</v>
      </c>
      <c r="V718" s="14"/>
      <c r="W718" s="14"/>
      <c r="X718" s="14"/>
      <c r="Y718" s="14"/>
      <c r="Z718" s="14"/>
    </row>
    <row r="719">
      <c r="A719" s="11">
        <v>43847.16266203704</v>
      </c>
      <c r="B719" s="12" t="str">
        <f>HYPERLINK("https://twitter.com/qwikad","@qwikad")</f>
        <v>@qwikad</v>
      </c>
      <c r="C719" s="1" t="s">
        <v>597</v>
      </c>
      <c r="D719" s="1" t="s">
        <v>3590</v>
      </c>
      <c r="E719" s="12" t="str">
        <f>HYPERLINK("https://twitter.com/qwikad/status/1218094165633982465","1218094165633982465")</f>
        <v>1218094165633982465</v>
      </c>
      <c r="F719" s="13" t="s">
        <v>3591</v>
      </c>
      <c r="G719" s="14"/>
      <c r="H719" s="14"/>
      <c r="I719" s="15">
        <v>0.0</v>
      </c>
      <c r="J719" s="15">
        <v>0.0</v>
      </c>
      <c r="K719" s="12" t="str">
        <f>HYPERLINK("http://twitter.com","Twitter Web Client")</f>
        <v>Twitter Web Client</v>
      </c>
      <c r="L719" s="16">
        <v>92771.0</v>
      </c>
      <c r="M719" s="16">
        <v>88718.0</v>
      </c>
      <c r="N719" s="16">
        <v>2798.0</v>
      </c>
      <c r="O719" s="17"/>
      <c r="P719" s="18">
        <v>40937.940358796295</v>
      </c>
      <c r="Q719" s="1" t="s">
        <v>56</v>
      </c>
      <c r="R719" s="1" t="s">
        <v>600</v>
      </c>
      <c r="S719" s="13" t="s">
        <v>601</v>
      </c>
      <c r="T719" s="14"/>
      <c r="U719" s="19" t="str">
        <f>HYPERLINK("https://pbs.twimg.com/profile_images/1191723528246235137/larfZktn.jpg","View")</f>
        <v>View</v>
      </c>
      <c r="V719" s="14"/>
      <c r="W719" s="14"/>
      <c r="X719" s="14"/>
      <c r="Y719" s="14"/>
      <c r="Z719" s="14"/>
    </row>
    <row r="720">
      <c r="A720" s="11">
        <v>43847.16081018519</v>
      </c>
      <c r="B720" s="12" t="str">
        <f>HYPERLINK("https://twitter.com/AdrianaMorris90","@AdrianaMorris90")</f>
        <v>@AdrianaMorris90</v>
      </c>
      <c r="C720" s="1" t="s">
        <v>3592</v>
      </c>
      <c r="D720" s="1" t="s">
        <v>3593</v>
      </c>
      <c r="E720" s="12" t="str">
        <f>HYPERLINK("https://twitter.com/AdrianaMorris90/status/1218093491915345922","1218093491915345922")</f>
        <v>1218093491915345922</v>
      </c>
      <c r="F720" s="13" t="s">
        <v>3594</v>
      </c>
      <c r="G720" s="13" t="s">
        <v>3595</v>
      </c>
      <c r="H720" s="14"/>
      <c r="I720" s="15">
        <v>0.0</v>
      </c>
      <c r="J720" s="15">
        <v>1.0</v>
      </c>
      <c r="K720" s="12" t="str">
        <f>HYPERLINK("https://mobile.twitter.com","Twitter Web App")</f>
        <v>Twitter Web App</v>
      </c>
      <c r="L720" s="16">
        <v>171.0</v>
      </c>
      <c r="M720" s="16">
        <v>789.0</v>
      </c>
      <c r="N720" s="16">
        <v>1.0</v>
      </c>
      <c r="O720" s="17"/>
      <c r="P720" s="18">
        <v>43080.218310185184</v>
      </c>
      <c r="Q720" s="1" t="s">
        <v>975</v>
      </c>
      <c r="R720" s="1" t="s">
        <v>3596</v>
      </c>
      <c r="S720" s="13" t="s">
        <v>3594</v>
      </c>
      <c r="T720" s="14"/>
      <c r="U720" s="19" t="str">
        <f>HYPERLINK("https://pbs.twimg.com/profile_images/1196367893690114050/R_OD4RoZ.jpg","View")</f>
        <v>View</v>
      </c>
      <c r="V720" s="14"/>
      <c r="W720" s="14"/>
      <c r="X720" s="14"/>
      <c r="Y720" s="14"/>
      <c r="Z720" s="14"/>
    </row>
    <row r="721">
      <c r="A721" s="11">
        <v>43847.159791666665</v>
      </c>
      <c r="B721" s="12" t="str">
        <f>HYPERLINK("https://twitter.com/TrainingMindful","@TrainingMindful")</f>
        <v>@TrainingMindful</v>
      </c>
      <c r="C721" s="1" t="s">
        <v>94</v>
      </c>
      <c r="D721" s="1" t="s">
        <v>3597</v>
      </c>
      <c r="E721" s="12" t="str">
        <f>HYPERLINK("https://twitter.com/TrainingMindful/status/1218093123575959552","1218093123575959552")</f>
        <v>1218093123575959552</v>
      </c>
      <c r="F721" s="13" t="s">
        <v>3598</v>
      </c>
      <c r="G721" s="14"/>
      <c r="H721" s="14"/>
      <c r="I721" s="15">
        <v>2.0</v>
      </c>
      <c r="J721" s="15">
        <v>2.0</v>
      </c>
      <c r="K721" s="12" t="str">
        <f>HYPERLINK("https://www.socialoomph.com","SocialOomph")</f>
        <v>SocialOomph</v>
      </c>
      <c r="L721" s="16">
        <v>185303.0</v>
      </c>
      <c r="M721" s="16">
        <v>43980.0</v>
      </c>
      <c r="N721" s="16">
        <v>2800.0</v>
      </c>
      <c r="O721" s="17"/>
      <c r="P721" s="18">
        <v>41286.039305555554</v>
      </c>
      <c r="Q721" s="1" t="s">
        <v>97</v>
      </c>
      <c r="R721" s="1" t="s">
        <v>98</v>
      </c>
      <c r="S721" s="13" t="s">
        <v>99</v>
      </c>
      <c r="T721" s="14"/>
      <c r="U721" s="19" t="str">
        <f>HYPERLINK("https://pbs.twimg.com/profile_images/566526924059459584/gdMxDA9x.jpeg","View")</f>
        <v>View</v>
      </c>
      <c r="V721" s="14"/>
      <c r="W721" s="14"/>
      <c r="X721" s="14"/>
      <c r="Y721" s="14"/>
      <c r="Z721" s="14"/>
    </row>
    <row r="722">
      <c r="A722" s="11">
        <v>43847.158483796295</v>
      </c>
      <c r="B722" s="12" t="str">
        <f>HYPERLINK("https://twitter.com/ExpatChild","@ExpatChild")</f>
        <v>@ExpatChild</v>
      </c>
      <c r="C722" s="1" t="s">
        <v>3599</v>
      </c>
      <c r="D722" s="1" t="s">
        <v>3600</v>
      </c>
      <c r="E722" s="12" t="str">
        <f>HYPERLINK("https://twitter.com/ExpatChild/status/1218092649908985856","1218092649908985856")</f>
        <v>1218092649908985856</v>
      </c>
      <c r="F722" s="13" t="s">
        <v>3601</v>
      </c>
      <c r="G722" s="13" t="s">
        <v>3602</v>
      </c>
      <c r="H722" s="14"/>
      <c r="I722" s="15">
        <v>0.0</v>
      </c>
      <c r="J722" s="15">
        <v>0.0</v>
      </c>
      <c r="K722" s="12" t="str">
        <f>HYPERLINK("https://missinglettr.com","Missinglettr")</f>
        <v>Missinglettr</v>
      </c>
      <c r="L722" s="16">
        <v>12022.0</v>
      </c>
      <c r="M722" s="16">
        <v>6344.0</v>
      </c>
      <c r="N722" s="16">
        <v>566.0</v>
      </c>
      <c r="O722" s="17"/>
      <c r="P722" s="18">
        <v>41131.73924768518</v>
      </c>
      <c r="Q722" s="1" t="s">
        <v>3603</v>
      </c>
      <c r="R722" s="1" t="s">
        <v>3604</v>
      </c>
      <c r="S722" s="13" t="s">
        <v>3605</v>
      </c>
      <c r="T722" s="14"/>
      <c r="U722" s="19" t="str">
        <f>HYPERLINK("https://pbs.twimg.com/profile_images/1201591462254850057/hy4JMTWB.jpg","View")</f>
        <v>View</v>
      </c>
      <c r="V722" s="14"/>
      <c r="W722" s="14"/>
      <c r="X722" s="14"/>
      <c r="Y722" s="14"/>
      <c r="Z722" s="14"/>
    </row>
    <row r="723">
      <c r="A723" s="11">
        <v>43847.158414351856</v>
      </c>
      <c r="B723" s="12" t="str">
        <f>HYPERLINK("https://twitter.com/JdelaneyJoAnn","@JdelaneyJoAnn")</f>
        <v>@JdelaneyJoAnn</v>
      </c>
      <c r="C723" s="1" t="s">
        <v>3606</v>
      </c>
      <c r="D723" s="1" t="s">
        <v>3607</v>
      </c>
      <c r="E723" s="12" t="str">
        <f>HYPERLINK("https://twitter.com/JdelaneyJoAnn/status/1218092625997242368","1218092625997242368")</f>
        <v>1218092625997242368</v>
      </c>
      <c r="F723" s="13" t="s">
        <v>3608</v>
      </c>
      <c r="G723" s="14"/>
      <c r="H723" s="14"/>
      <c r="I723" s="15">
        <v>0.0</v>
      </c>
      <c r="J723" s="15">
        <v>0.0</v>
      </c>
      <c r="K723" s="12" t="str">
        <f>HYPERLINK("https://ifttt.com","IFTTT")</f>
        <v>IFTTT</v>
      </c>
      <c r="L723" s="16">
        <v>4939.0</v>
      </c>
      <c r="M723" s="16">
        <v>4365.0</v>
      </c>
      <c r="N723" s="16">
        <v>177.0</v>
      </c>
      <c r="O723" s="17"/>
      <c r="P723" s="18">
        <v>41464.66447916666</v>
      </c>
      <c r="Q723" s="1" t="s">
        <v>3609</v>
      </c>
      <c r="R723" s="1" t="s">
        <v>3610</v>
      </c>
      <c r="S723" s="13" t="s">
        <v>3611</v>
      </c>
      <c r="T723" s="14"/>
      <c r="U723" s="19" t="str">
        <f>HYPERLINK("https://pbs.twimg.com/profile_images/1030896741971910661/9H5hzaNH.jpg","View")</f>
        <v>View</v>
      </c>
      <c r="V723" s="14"/>
      <c r="W723" s="14"/>
      <c r="X723" s="14"/>
      <c r="Y723" s="14"/>
      <c r="Z723" s="14"/>
    </row>
    <row r="724">
      <c r="A724" s="11">
        <v>43847.15828703703</v>
      </c>
      <c r="B724" s="12" t="str">
        <f>HYPERLINK("https://twitter.com/expatability","@expatability")</f>
        <v>@expatability</v>
      </c>
      <c r="C724" s="1" t="s">
        <v>3612</v>
      </c>
      <c r="D724" s="1" t="s">
        <v>3600</v>
      </c>
      <c r="E724" s="12" t="str">
        <f>HYPERLINK("https://twitter.com/expatability/status/1218092580631732225","1218092580631732225")</f>
        <v>1218092580631732225</v>
      </c>
      <c r="F724" s="13" t="s">
        <v>3613</v>
      </c>
      <c r="G724" s="13" t="s">
        <v>3614</v>
      </c>
      <c r="H724" s="14"/>
      <c r="I724" s="15">
        <v>0.0</v>
      </c>
      <c r="J724" s="15">
        <v>0.0</v>
      </c>
      <c r="K724" s="12" t="str">
        <f>HYPERLINK("https://missinglettr.com","Missinglettr")</f>
        <v>Missinglettr</v>
      </c>
      <c r="L724" s="16">
        <v>725.0</v>
      </c>
      <c r="M724" s="16">
        <v>659.0</v>
      </c>
      <c r="N724" s="16">
        <v>4.0</v>
      </c>
      <c r="O724" s="17"/>
      <c r="P724" s="18">
        <v>43039.63292824074</v>
      </c>
      <c r="Q724" s="1" t="s">
        <v>864</v>
      </c>
      <c r="R724" s="1" t="s">
        <v>3615</v>
      </c>
      <c r="S724" s="13" t="s">
        <v>3616</v>
      </c>
      <c r="T724" s="14"/>
      <c r="U724" s="19" t="str">
        <f>HYPERLINK("https://pbs.twimg.com/profile_images/991416484751650817/Kzof6dU3.jpg","View")</f>
        <v>View</v>
      </c>
      <c r="V724" s="14"/>
      <c r="W724" s="14"/>
      <c r="X724" s="14"/>
      <c r="Y724" s="14"/>
      <c r="Z724" s="14"/>
    </row>
    <row r="725">
      <c r="A725" s="11">
        <v>43847.146527777775</v>
      </c>
      <c r="B725" s="12" t="str">
        <f>HYPERLINK("https://twitter.com/medical_xpress","@medical_xpress")</f>
        <v>@medical_xpress</v>
      </c>
      <c r="C725" s="1" t="s">
        <v>3617</v>
      </c>
      <c r="D725" s="1" t="s">
        <v>3618</v>
      </c>
      <c r="E725" s="12" t="str">
        <f>HYPERLINK("https://twitter.com/medical_xpress/status/1218088317264244736","1218088317264244736")</f>
        <v>1218088317264244736</v>
      </c>
      <c r="F725" s="13" t="s">
        <v>3619</v>
      </c>
      <c r="G725" s="14"/>
      <c r="H725" s="14"/>
      <c r="I725" s="15">
        <v>8.0</v>
      </c>
      <c r="J725" s="15">
        <v>11.0</v>
      </c>
      <c r="K725" s="12" t="str">
        <f>HYPERLINK("https://sciencex.com/","Science X Status Updates")</f>
        <v>Science X Status Updates</v>
      </c>
      <c r="L725" s="16">
        <v>94023.0</v>
      </c>
      <c r="M725" s="16">
        <v>21.0</v>
      </c>
      <c r="N725" s="16">
        <v>1676.0</v>
      </c>
      <c r="O725" s="17"/>
      <c r="P725" s="18">
        <v>40658.15300925926</v>
      </c>
      <c r="Q725" s="14"/>
      <c r="R725" s="1" t="s">
        <v>3620</v>
      </c>
      <c r="S725" s="13" t="s">
        <v>3621</v>
      </c>
      <c r="T725" s="14"/>
      <c r="U725" s="19" t="str">
        <f>HYPERLINK("https://pbs.twimg.com/profile_images/1324543229/logo.jpg","View")</f>
        <v>View</v>
      </c>
      <c r="V725" s="14"/>
      <c r="W725" s="14"/>
      <c r="X725" s="14"/>
      <c r="Y725" s="14"/>
      <c r="Z725" s="14"/>
    </row>
    <row r="726">
      <c r="A726" s="11">
        <v>43847.130370370374</v>
      </c>
      <c r="B726" s="12" t="str">
        <f>HYPERLINK("https://twitter.com/SelfCareSelfish","@SelfCareSelfish")</f>
        <v>@SelfCareSelfish</v>
      </c>
      <c r="C726" s="1" t="s">
        <v>3622</v>
      </c>
      <c r="D726" s="1" t="s">
        <v>3623</v>
      </c>
      <c r="E726" s="12" t="str">
        <f>HYPERLINK("https://twitter.com/SelfCareSelfish/status/1218082461994885120","1218082461994885120")</f>
        <v>1218082461994885120</v>
      </c>
      <c r="F726" s="1" t="s">
        <v>3624</v>
      </c>
      <c r="G726" s="14"/>
      <c r="H726" s="14"/>
      <c r="I726" s="15">
        <v>1.0</v>
      </c>
      <c r="J726" s="15">
        <v>6.0</v>
      </c>
      <c r="K726" s="12" t="str">
        <f>HYPERLINK("http://twitter.com/download/iphone","Twitter for iPhone")</f>
        <v>Twitter for iPhone</v>
      </c>
      <c r="L726" s="16">
        <v>300.0</v>
      </c>
      <c r="M726" s="16">
        <v>487.0</v>
      </c>
      <c r="N726" s="16">
        <v>2.0</v>
      </c>
      <c r="O726" s="17"/>
      <c r="P726" s="18">
        <v>42649.2169212963</v>
      </c>
      <c r="Q726" s="1" t="s">
        <v>263</v>
      </c>
      <c r="R726" s="1" t="s">
        <v>3625</v>
      </c>
      <c r="S726" s="13" t="s">
        <v>3626</v>
      </c>
      <c r="T726" s="14"/>
      <c r="U726" s="19" t="str">
        <f>HYPERLINK("https://pbs.twimg.com/profile_images/1071771647550607361/8f2Qp2e9.jpg","View")</f>
        <v>View</v>
      </c>
      <c r="V726" s="14"/>
      <c r="W726" s="14"/>
      <c r="X726" s="14"/>
      <c r="Y726" s="14"/>
      <c r="Z726" s="14"/>
    </row>
    <row r="727">
      <c r="A727" s="11">
        <v>43847.128958333335</v>
      </c>
      <c r="B727" s="12" t="str">
        <f>HYPERLINK("https://twitter.com/TheScienceNOW","@TheScienceNOW")</f>
        <v>@TheScienceNOW</v>
      </c>
      <c r="C727" s="1" t="s">
        <v>3627</v>
      </c>
      <c r="D727" s="1" t="s">
        <v>3628</v>
      </c>
      <c r="E727" s="12" t="str">
        <f>HYPERLINK("https://twitter.com/TheScienceNOW/status/1218081950071754752","1218081950071754752")</f>
        <v>1218081950071754752</v>
      </c>
      <c r="F727" s="13" t="s">
        <v>3629</v>
      </c>
      <c r="G727" s="13" t="s">
        <v>3630</v>
      </c>
      <c r="H727" s="14"/>
      <c r="I727" s="15">
        <v>0.0</v>
      </c>
      <c r="J727" s="15">
        <v>0.0</v>
      </c>
      <c r="K727" s="12" t="str">
        <f>HYPERLINK("https://missinglettr.com","Missinglettr")</f>
        <v>Missinglettr</v>
      </c>
      <c r="L727" s="16">
        <v>49.0</v>
      </c>
      <c r="M727" s="16">
        <v>48.0</v>
      </c>
      <c r="N727" s="16">
        <v>0.0</v>
      </c>
      <c r="O727" s="17"/>
      <c r="P727" s="18">
        <v>43383.84172453704</v>
      </c>
      <c r="Q727" s="1" t="s">
        <v>2776</v>
      </c>
      <c r="R727" s="1" t="s">
        <v>3631</v>
      </c>
      <c r="S727" s="13" t="s">
        <v>3632</v>
      </c>
      <c r="T727" s="14"/>
      <c r="U727" s="19" t="str">
        <f>HYPERLINK("https://pbs.twimg.com/profile_images/1050177940632293377/SRglJ91l.jpg","View")</f>
        <v>View</v>
      </c>
      <c r="V727" s="14"/>
      <c r="W727" s="14"/>
      <c r="X727" s="14"/>
      <c r="Y727" s="14"/>
      <c r="Z727" s="14"/>
    </row>
    <row r="728">
      <c r="A728" s="11">
        <v>43847.12576388889</v>
      </c>
      <c r="B728" s="12" t="str">
        <f>HYPERLINK("https://twitter.com/MAXUKTraining","@MAXUKTraining")</f>
        <v>@MAXUKTraining</v>
      </c>
      <c r="C728" s="1" t="s">
        <v>3633</v>
      </c>
      <c r="D728" s="1" t="s">
        <v>3634</v>
      </c>
      <c r="E728" s="12" t="str">
        <f>HYPERLINK("https://twitter.com/MAXUKTraining/status/1218080792418582529","1218080792418582529")</f>
        <v>1218080792418582529</v>
      </c>
      <c r="F728" s="14"/>
      <c r="G728" s="13" t="s">
        <v>3635</v>
      </c>
      <c r="H728" s="14"/>
      <c r="I728" s="15">
        <v>0.0</v>
      </c>
      <c r="J728" s="15">
        <v>0.0</v>
      </c>
      <c r="K728" s="12" t="str">
        <f>HYPERLINK("https://www.hootsuite.com","Hootsuite Inc.")</f>
        <v>Hootsuite Inc.</v>
      </c>
      <c r="L728" s="16">
        <v>112.0</v>
      </c>
      <c r="M728" s="16">
        <v>648.0</v>
      </c>
      <c r="N728" s="16">
        <v>1.0</v>
      </c>
      <c r="O728" s="17"/>
      <c r="P728" s="18">
        <v>43430.479733796295</v>
      </c>
      <c r="Q728" s="1" t="s">
        <v>263</v>
      </c>
      <c r="R728" s="1" t="s">
        <v>3636</v>
      </c>
      <c r="S728" s="13" t="s">
        <v>3637</v>
      </c>
      <c r="T728" s="14"/>
      <c r="U728" s="19" t="str">
        <f>HYPERLINK("https://pbs.twimg.com/profile_images/1067365667026939904/CxhG5Sah.jpg","View")</f>
        <v>View</v>
      </c>
      <c r="V728" s="14"/>
      <c r="W728" s="14"/>
      <c r="X728" s="14"/>
      <c r="Y728" s="14"/>
      <c r="Z728" s="14"/>
    </row>
    <row r="729">
      <c r="A729" s="11">
        <v>43847.12515046296</v>
      </c>
      <c r="B729" s="12" t="str">
        <f>HYPERLINK("https://twitter.com/ClaudiaTan_m2m","@ClaudiaTan_m2m")</f>
        <v>@ClaudiaTan_m2m</v>
      </c>
      <c r="C729" s="1" t="s">
        <v>3638</v>
      </c>
      <c r="D729" s="1" t="s">
        <v>3639</v>
      </c>
      <c r="E729" s="12" t="str">
        <f>HYPERLINK("https://twitter.com/ClaudiaTan_m2m/status/1218080571236192256","1218080571236192256")</f>
        <v>1218080571236192256</v>
      </c>
      <c r="F729" s="13" t="s">
        <v>3640</v>
      </c>
      <c r="G729" s="13" t="s">
        <v>3641</v>
      </c>
      <c r="H729" s="14"/>
      <c r="I729" s="15">
        <v>0.0</v>
      </c>
      <c r="J729" s="15">
        <v>0.0</v>
      </c>
      <c r="K729" s="12" t="str">
        <f>HYPERLINK("http://emphatic.co","Emphatic")</f>
        <v>Emphatic</v>
      </c>
      <c r="L729" s="16">
        <v>10.0</v>
      </c>
      <c r="M729" s="16">
        <v>7.0</v>
      </c>
      <c r="N729" s="16">
        <v>0.0</v>
      </c>
      <c r="O729" s="17"/>
      <c r="P729" s="18">
        <v>42216.96125</v>
      </c>
      <c r="Q729" s="1" t="s">
        <v>3642</v>
      </c>
      <c r="R729" s="1" t="s">
        <v>3643</v>
      </c>
      <c r="S729" s="14"/>
      <c r="T729" s="14"/>
      <c r="U729" s="19" t="str">
        <f>HYPERLINK("https://pbs.twimg.com/profile_images/1190531037492842496/BbSu5Ai0.jpg","View")</f>
        <v>View</v>
      </c>
      <c r="V729" s="14"/>
      <c r="W729" s="14"/>
      <c r="X729" s="14"/>
      <c r="Y729" s="14"/>
      <c r="Z729" s="14"/>
    </row>
    <row r="730">
      <c r="A730" s="11">
        <v>43847.12510416667</v>
      </c>
      <c r="B730" s="12" t="str">
        <f>HYPERLINK("https://twitter.com/waysforstress","@waysforstress")</f>
        <v>@waysforstress</v>
      </c>
      <c r="C730" s="1" t="s">
        <v>3644</v>
      </c>
      <c r="D730" s="1" t="s">
        <v>3645</v>
      </c>
      <c r="E730" s="12" t="str">
        <f>HYPERLINK("https://twitter.com/waysforstress/status/1218080554979151872","1218080554979151872")</f>
        <v>1218080554979151872</v>
      </c>
      <c r="F730" s="13" t="s">
        <v>3646</v>
      </c>
      <c r="G730" s="14"/>
      <c r="H730" s="14"/>
      <c r="I730" s="15">
        <v>2.0</v>
      </c>
      <c r="J730" s="15">
        <v>3.0</v>
      </c>
      <c r="K730" s="12" t="str">
        <f>HYPERLINK("https://trystressmanagement.com","Tweet Machine 2.0")</f>
        <v>Tweet Machine 2.0</v>
      </c>
      <c r="L730" s="16">
        <v>2956.0</v>
      </c>
      <c r="M730" s="16">
        <v>5001.0</v>
      </c>
      <c r="N730" s="16">
        <v>24.0</v>
      </c>
      <c r="O730" s="17"/>
      <c r="P730" s="18">
        <v>42672.99115740741</v>
      </c>
      <c r="Q730" s="14"/>
      <c r="R730" s="1" t="s">
        <v>3647</v>
      </c>
      <c r="S730" s="13" t="s">
        <v>3648</v>
      </c>
      <c r="T730" s="14"/>
      <c r="U730" s="19" t="str">
        <f>HYPERLINK("https://pbs.twimg.com/profile_images/914712281300242432/BbTtPiIn.jpg","View")</f>
        <v>View</v>
      </c>
      <c r="V730" s="14"/>
      <c r="W730" s="14"/>
      <c r="X730" s="14"/>
      <c r="Y730" s="14"/>
      <c r="Z730" s="14"/>
    </row>
    <row r="731">
      <c r="A731" s="11">
        <v>43847.122881944444</v>
      </c>
      <c r="B731" s="12" t="str">
        <f>HYPERLINK("https://twitter.com/TeresaSwann2","@TeresaSwann2")</f>
        <v>@TeresaSwann2</v>
      </c>
      <c r="C731" s="1" t="s">
        <v>3649</v>
      </c>
      <c r="D731" s="1" t="s">
        <v>3650</v>
      </c>
      <c r="E731" s="12" t="str">
        <f>HYPERLINK("https://twitter.com/TeresaSwann2/status/1218079750272507905","1218079750272507905")</f>
        <v>1218079750272507905</v>
      </c>
      <c r="F731" s="13" t="s">
        <v>3651</v>
      </c>
      <c r="G731" s="14"/>
      <c r="H731" s="14"/>
      <c r="I731" s="15">
        <v>0.0</v>
      </c>
      <c r="J731" s="15">
        <v>0.0</v>
      </c>
      <c r="K731" s="12" t="str">
        <f>HYPERLINK("http://instagram.com","Instagram")</f>
        <v>Instagram</v>
      </c>
      <c r="L731" s="16">
        <v>1899.0</v>
      </c>
      <c r="M731" s="16">
        <v>2184.0</v>
      </c>
      <c r="N731" s="16">
        <v>14.0</v>
      </c>
      <c r="O731" s="17"/>
      <c r="P731" s="18">
        <v>41375.2559375</v>
      </c>
      <c r="Q731" s="1" t="s">
        <v>3652</v>
      </c>
      <c r="R731" s="1" t="s">
        <v>3653</v>
      </c>
      <c r="S731" s="13" t="s">
        <v>3654</v>
      </c>
      <c r="T731" s="14"/>
      <c r="U731" s="19" t="str">
        <f>HYPERLINK("https://pbs.twimg.com/profile_images/1166465048954507265/nsINsVh8.jpg","View")</f>
        <v>View</v>
      </c>
      <c r="V731" s="14"/>
      <c r="W731" s="14"/>
      <c r="X731" s="14"/>
      <c r="Y731" s="14"/>
      <c r="Z731" s="14"/>
    </row>
    <row r="732">
      <c r="A732" s="11">
        <v>43847.11769675926</v>
      </c>
      <c r="B732" s="12" t="str">
        <f>HYPERLINK("https://twitter.com/alisondcarr","@alisondcarr")</f>
        <v>@alisondcarr</v>
      </c>
      <c r="C732" s="1" t="s">
        <v>3655</v>
      </c>
      <c r="D732" s="1" t="s">
        <v>3656</v>
      </c>
      <c r="E732" s="12" t="str">
        <f>HYPERLINK("https://twitter.com/alisondcarr/status/1218077868808376320","1218077868808376320")</f>
        <v>1218077868808376320</v>
      </c>
      <c r="F732" s="14"/>
      <c r="G732" s="14"/>
      <c r="H732" s="14"/>
      <c r="I732" s="15">
        <v>0.0</v>
      </c>
      <c r="J732" s="15">
        <v>0.0</v>
      </c>
      <c r="K732" s="12" t="str">
        <f>HYPERLINK("http://twitter.com/download/iphone","Twitter for iPhone")</f>
        <v>Twitter for iPhone</v>
      </c>
      <c r="L732" s="16">
        <v>317.0</v>
      </c>
      <c r="M732" s="16">
        <v>195.0</v>
      </c>
      <c r="N732" s="16">
        <v>5.0</v>
      </c>
      <c r="O732" s="17"/>
      <c r="P732" s="18">
        <v>39965.13003472222</v>
      </c>
      <c r="Q732" s="1" t="s">
        <v>342</v>
      </c>
      <c r="R732" s="1" t="s">
        <v>3657</v>
      </c>
      <c r="S732" s="13" t="s">
        <v>3658</v>
      </c>
      <c r="T732" s="14"/>
      <c r="U732" s="19" t="str">
        <f>HYPERLINK("https://pbs.twimg.com/profile_images/1204661688840130560/d9aawgpj.jpg","View")</f>
        <v>View</v>
      </c>
      <c r="V732" s="14"/>
      <c r="W732" s="14"/>
      <c r="X732" s="14"/>
      <c r="Y732" s="14"/>
      <c r="Z732" s="14"/>
    </row>
    <row r="733">
      <c r="A733" s="11">
        <v>43847.109826388885</v>
      </c>
      <c r="B733" s="12" t="str">
        <f>HYPERLINK("https://twitter.com/buckets_of_tea","@buckets_of_tea")</f>
        <v>@buckets_of_tea</v>
      </c>
      <c r="C733" s="1" t="s">
        <v>3659</v>
      </c>
      <c r="D733" s="1" t="s">
        <v>3660</v>
      </c>
      <c r="E733" s="12" t="str">
        <f>HYPERLINK("https://twitter.com/buckets_of_tea/status/1218075016375480320","1218075016375480320")</f>
        <v>1218075016375480320</v>
      </c>
      <c r="F733" s="13" t="s">
        <v>3661</v>
      </c>
      <c r="G733" s="13" t="s">
        <v>3662</v>
      </c>
      <c r="H733" s="14"/>
      <c r="I733" s="15">
        <v>0.0</v>
      </c>
      <c r="J733" s="15">
        <v>0.0</v>
      </c>
      <c r="K733" s="12" t="str">
        <f>HYPERLINK("https://www.socialoomph.com","SocialOomph")</f>
        <v>SocialOomph</v>
      </c>
      <c r="L733" s="16">
        <v>5136.0</v>
      </c>
      <c r="M733" s="16">
        <v>2140.0</v>
      </c>
      <c r="N733" s="16">
        <v>513.0</v>
      </c>
      <c r="O733" s="17"/>
      <c r="P733" s="18">
        <v>41389.51627314815</v>
      </c>
      <c r="Q733" s="1" t="s">
        <v>3264</v>
      </c>
      <c r="R733" s="1" t="s">
        <v>3663</v>
      </c>
      <c r="S733" s="13" t="s">
        <v>3664</v>
      </c>
      <c r="T733" s="14"/>
      <c r="U733" s="19" t="str">
        <f>HYPERLINK("https://pbs.twimg.com/profile_images/1213521384149786624/cYLzrnhd.jpg","View")</f>
        <v>View</v>
      </c>
      <c r="V733" s="14"/>
      <c r="W733" s="14"/>
      <c r="X733" s="14"/>
      <c r="Y733" s="14"/>
      <c r="Z733" s="14"/>
    </row>
    <row r="734">
      <c r="A734" s="11">
        <v>43847.10739583333</v>
      </c>
      <c r="B734" s="12" t="str">
        <f>HYPERLINK("https://twitter.com/LQffa","@LQffa")</f>
        <v>@LQffa</v>
      </c>
      <c r="C734" s="1" t="s">
        <v>3665</v>
      </c>
      <c r="D734" s="1" t="s">
        <v>3666</v>
      </c>
      <c r="E734" s="12" t="str">
        <f>HYPERLINK("https://twitter.com/LQffa/status/1218074136079147008","1218074136079147008")</f>
        <v>1218074136079147008</v>
      </c>
      <c r="F734" s="14"/>
      <c r="G734" s="14"/>
      <c r="H734" s="14"/>
      <c r="I734" s="15">
        <v>0.0</v>
      </c>
      <c r="J734" s="15">
        <v>3.0</v>
      </c>
      <c r="K734" s="12" t="str">
        <f>HYPERLINK("http://twitter.com/download/iphone","Twitter for iPhone")</f>
        <v>Twitter for iPhone</v>
      </c>
      <c r="L734" s="16">
        <v>146.0</v>
      </c>
      <c r="M734" s="16">
        <v>248.0</v>
      </c>
      <c r="N734" s="16">
        <v>0.0</v>
      </c>
      <c r="O734" s="17"/>
      <c r="P734" s="18">
        <v>43439.5175</v>
      </c>
      <c r="Q734" s="1" t="s">
        <v>56</v>
      </c>
      <c r="R734" s="1" t="s">
        <v>3667</v>
      </c>
      <c r="S734" s="14"/>
      <c r="T734" s="14"/>
      <c r="U734" s="19" t="str">
        <f>HYPERLINK("https://pbs.twimg.com/profile_images/1070369283090333696/r8cGDqNP.jpg","View")</f>
        <v>View</v>
      </c>
      <c r="V734" s="14"/>
      <c r="W734" s="14"/>
      <c r="X734" s="14"/>
      <c r="Y734" s="14"/>
      <c r="Z734" s="14"/>
    </row>
    <row r="735">
      <c r="A735" s="11">
        <v>43847.104351851856</v>
      </c>
      <c r="B735" s="12" t="str">
        <f>HYPERLINK("https://twitter.com/TheHealthWellb1","@TheHealthWellb1")</f>
        <v>@TheHealthWellb1</v>
      </c>
      <c r="C735" s="1" t="s">
        <v>3668</v>
      </c>
      <c r="D735" s="1" t="s">
        <v>3669</v>
      </c>
      <c r="E735" s="12" t="str">
        <f>HYPERLINK("https://twitter.com/TheHealthWellb1/status/1218073031337299968","1218073031337299968")</f>
        <v>1218073031337299968</v>
      </c>
      <c r="F735" s="13" t="s">
        <v>3670</v>
      </c>
      <c r="G735" s="13" t="s">
        <v>3671</v>
      </c>
      <c r="H735" s="14"/>
      <c r="I735" s="15">
        <v>0.0</v>
      </c>
      <c r="J735" s="15">
        <v>1.0</v>
      </c>
      <c r="K735" s="12" t="str">
        <f t="shared" ref="K735:K736" si="75">HYPERLINK("https://www.hootsuite.com","Hootsuite Inc.")</f>
        <v>Hootsuite Inc.</v>
      </c>
      <c r="L735" s="16">
        <v>227.0</v>
      </c>
      <c r="M735" s="16">
        <v>111.0</v>
      </c>
      <c r="N735" s="16">
        <v>0.0</v>
      </c>
      <c r="O735" s="17"/>
      <c r="P735" s="18">
        <v>43564.19699074074</v>
      </c>
      <c r="Q735" s="1" t="s">
        <v>51</v>
      </c>
      <c r="R735" s="1" t="s">
        <v>3672</v>
      </c>
      <c r="S735" s="13" t="s">
        <v>3673</v>
      </c>
      <c r="T735" s="14"/>
      <c r="U735" s="19" t="str">
        <f>HYPERLINK("https://pbs.twimg.com/profile_images/1115537602902409216/KeG3sCdc.png","View")</f>
        <v>View</v>
      </c>
      <c r="V735" s="14"/>
      <c r="W735" s="14"/>
      <c r="X735" s="14"/>
      <c r="Y735" s="14"/>
      <c r="Z735" s="14"/>
    </row>
    <row r="736">
      <c r="A736" s="11">
        <v>43847.10425925926</v>
      </c>
      <c r="B736" s="12" t="str">
        <f>HYPERLINK("https://twitter.com/wildheart_media","@wildheart_media")</f>
        <v>@wildheart_media</v>
      </c>
      <c r="C736" s="1" t="s">
        <v>3674</v>
      </c>
      <c r="D736" s="1" t="s">
        <v>3675</v>
      </c>
      <c r="E736" s="12" t="str">
        <f>HYPERLINK("https://twitter.com/wildheart_media/status/1218072999770935296","1218072999770935296")</f>
        <v>1218072999770935296</v>
      </c>
      <c r="F736" s="13" t="s">
        <v>3676</v>
      </c>
      <c r="G736" s="13" t="s">
        <v>3677</v>
      </c>
      <c r="H736" s="14"/>
      <c r="I736" s="15">
        <v>2.0</v>
      </c>
      <c r="J736" s="15">
        <v>1.0</v>
      </c>
      <c r="K736" s="12" t="str">
        <f t="shared" si="75"/>
        <v>Hootsuite Inc.</v>
      </c>
      <c r="L736" s="16">
        <v>2258.0</v>
      </c>
      <c r="M736" s="16">
        <v>1969.0</v>
      </c>
      <c r="N736" s="16">
        <v>308.0</v>
      </c>
      <c r="O736" s="17"/>
      <c r="P736" s="18">
        <v>42075.07193287037</v>
      </c>
      <c r="Q736" s="1" t="s">
        <v>3678</v>
      </c>
      <c r="R736" s="1" t="s">
        <v>3679</v>
      </c>
      <c r="S736" s="13" t="s">
        <v>3680</v>
      </c>
      <c r="T736" s="14"/>
      <c r="U736" s="19" t="str">
        <f>HYPERLINK("https://pbs.twimg.com/profile_images/751390069672542208/2zbGh583.jpg","View")</f>
        <v>View</v>
      </c>
      <c r="V736" s="14"/>
      <c r="W736" s="14"/>
      <c r="X736" s="14"/>
      <c r="Y736" s="14"/>
      <c r="Z736" s="14"/>
    </row>
    <row r="737">
      <c r="A737" s="11">
        <v>43847.100590277776</v>
      </c>
      <c r="B737" s="12" t="str">
        <f>HYPERLINK("https://twitter.com/BoulderNuadThai","@BoulderNuadThai")</f>
        <v>@BoulderNuadThai</v>
      </c>
      <c r="C737" s="1" t="s">
        <v>1482</v>
      </c>
      <c r="D737" s="1" t="s">
        <v>3681</v>
      </c>
      <c r="E737" s="12" t="str">
        <f>HYPERLINK("https://twitter.com/BoulderNuadThai/status/1218071671044599808","1218071671044599808")</f>
        <v>1218071671044599808</v>
      </c>
      <c r="F737" s="14"/>
      <c r="G737" s="14"/>
      <c r="H737" s="14"/>
      <c r="I737" s="15">
        <v>1.0</v>
      </c>
      <c r="J737" s="15">
        <v>3.0</v>
      </c>
      <c r="K737" s="12" t="str">
        <f>HYPERLINK("https://mobile.twitter.com","Twitter Web App")</f>
        <v>Twitter Web App</v>
      </c>
      <c r="L737" s="16">
        <v>96.0</v>
      </c>
      <c r="M737" s="16">
        <v>413.0</v>
      </c>
      <c r="N737" s="16">
        <v>2.0</v>
      </c>
      <c r="O737" s="17"/>
      <c r="P737" s="18">
        <v>41746.65761574074</v>
      </c>
      <c r="Q737" s="1" t="s">
        <v>1485</v>
      </c>
      <c r="R737" s="1" t="s">
        <v>1486</v>
      </c>
      <c r="S737" s="13" t="s">
        <v>1487</v>
      </c>
      <c r="T737" s="14"/>
      <c r="U737" s="19" t="str">
        <f>HYPERLINK("https://pbs.twimg.com/profile_images/456887490003996672/p75vwFyz.jpeg","View")</f>
        <v>View</v>
      </c>
      <c r="V737" s="14"/>
      <c r="W737" s="14"/>
      <c r="X737" s="14"/>
      <c r="Y737" s="14"/>
      <c r="Z737" s="14"/>
    </row>
    <row r="738">
      <c r="A738" s="11">
        <v>43847.09378472222</v>
      </c>
      <c r="B738" s="12" t="str">
        <f>HYPERLINK("https://twitter.com/DrMichaelMol","@DrMichaelMol")</f>
        <v>@DrMichaelMol</v>
      </c>
      <c r="C738" s="1" t="s">
        <v>3682</v>
      </c>
      <c r="D738" s="1" t="s">
        <v>3683</v>
      </c>
      <c r="E738" s="12" t="str">
        <f>HYPERLINK("https://twitter.com/DrMichaelMol/status/1218069203099488257","1218069203099488257")</f>
        <v>1218069203099488257</v>
      </c>
      <c r="F738" s="14"/>
      <c r="G738" s="14"/>
      <c r="H738" s="14"/>
      <c r="I738" s="15">
        <v>0.0</v>
      </c>
      <c r="J738" s="15">
        <v>5.0</v>
      </c>
      <c r="K738" s="12" t="str">
        <f>HYPERLINK("https://buffer.com","Buffer")</f>
        <v>Buffer</v>
      </c>
      <c r="L738" s="16">
        <v>25276.0</v>
      </c>
      <c r="M738" s="16">
        <v>183.0</v>
      </c>
      <c r="N738" s="16">
        <v>174.0</v>
      </c>
      <c r="O738" s="17"/>
      <c r="P738" s="18">
        <v>40058.460625</v>
      </c>
      <c r="Q738" s="1" t="s">
        <v>1075</v>
      </c>
      <c r="R738" s="1" t="s">
        <v>3684</v>
      </c>
      <c r="S738" s="13" t="s">
        <v>3685</v>
      </c>
      <c r="T738" s="14"/>
      <c r="U738" s="19" t="str">
        <f>HYPERLINK("https://pbs.twimg.com/profile_images/715490855478562816/HNxFIbc2.jpg","View")</f>
        <v>View</v>
      </c>
      <c r="V738" s="14"/>
      <c r="W738" s="14"/>
      <c r="X738" s="14"/>
      <c r="Y738" s="14"/>
      <c r="Z738" s="14"/>
    </row>
    <row r="739">
      <c r="A739" s="11">
        <v>43847.092511574076</v>
      </c>
      <c r="B739" s="12" t="str">
        <f>HYPERLINK("https://twitter.com/GoWiseOnline","@GoWiseOnline")</f>
        <v>@GoWiseOnline</v>
      </c>
      <c r="C739" s="1" t="s">
        <v>3686</v>
      </c>
      <c r="D739" s="1" t="s">
        <v>3687</v>
      </c>
      <c r="E739" s="12" t="str">
        <f>HYPERLINK("https://twitter.com/GoWiseOnline/status/1218068744506953728","1218068744506953728")</f>
        <v>1218068744506953728</v>
      </c>
      <c r="F739" s="13" t="s">
        <v>3688</v>
      </c>
      <c r="G739" s="13" t="s">
        <v>3689</v>
      </c>
      <c r="H739" s="14"/>
      <c r="I739" s="15">
        <v>1.0</v>
      </c>
      <c r="J739" s="15">
        <v>3.0</v>
      </c>
      <c r="K739" s="12" t="str">
        <f t="shared" ref="K739:K740" si="76">HYPERLINK("http://twitter.com/download/iphone","Twitter for iPhone")</f>
        <v>Twitter for iPhone</v>
      </c>
      <c r="L739" s="16">
        <v>121.0</v>
      </c>
      <c r="M739" s="16">
        <v>331.0</v>
      </c>
      <c r="N739" s="16">
        <v>4.0</v>
      </c>
      <c r="O739" s="17"/>
      <c r="P739" s="18">
        <v>42785.71240740741</v>
      </c>
      <c r="Q739" s="1" t="s">
        <v>3690</v>
      </c>
      <c r="R739" s="1" t="s">
        <v>3691</v>
      </c>
      <c r="S739" s="13" t="s">
        <v>3692</v>
      </c>
      <c r="T739" s="14"/>
      <c r="U739" s="19" t="str">
        <f>HYPERLINK("https://pbs.twimg.com/profile_images/833444653814919168/NZwM72kt.jpg","View")</f>
        <v>View</v>
      </c>
      <c r="V739" s="14"/>
      <c r="W739" s="14"/>
      <c r="X739" s="14"/>
      <c r="Y739" s="14"/>
      <c r="Z739" s="14"/>
    </row>
    <row r="740">
      <c r="A740" s="11">
        <v>43847.085381944446</v>
      </c>
      <c r="B740" s="12" t="str">
        <f>HYPERLINK("https://twitter.com/the2020hustle","@the2020hustle")</f>
        <v>@the2020hustle</v>
      </c>
      <c r="C740" s="1" t="s">
        <v>3693</v>
      </c>
      <c r="D740" s="1" t="s">
        <v>3694</v>
      </c>
      <c r="E740" s="12" t="str">
        <f>HYPERLINK("https://twitter.com/the2020hustle/status/1218066157934006274","1218066157934006274")</f>
        <v>1218066157934006274</v>
      </c>
      <c r="F740" s="14"/>
      <c r="G740" s="14"/>
      <c r="H740" s="14"/>
      <c r="I740" s="15">
        <v>0.0</v>
      </c>
      <c r="J740" s="15">
        <v>0.0</v>
      </c>
      <c r="K740" s="12" t="str">
        <f t="shared" si="76"/>
        <v>Twitter for iPhone</v>
      </c>
      <c r="L740" s="16">
        <v>0.0</v>
      </c>
      <c r="M740" s="16">
        <v>4.0</v>
      </c>
      <c r="N740" s="16">
        <v>0.0</v>
      </c>
      <c r="O740" s="17"/>
      <c r="P740" s="18">
        <v>43826.141539351855</v>
      </c>
      <c r="Q740" s="14"/>
      <c r="R740" s="1" t="s">
        <v>3695</v>
      </c>
      <c r="S740" s="13" t="s">
        <v>3696</v>
      </c>
      <c r="T740" s="14"/>
      <c r="U740" s="19" t="str">
        <f>HYPERLINK("https://pbs.twimg.com/profile_images/1210476447283863555/XKpyNHLu.jpg","View")</f>
        <v>View</v>
      </c>
      <c r="V740" s="14"/>
      <c r="W740" s="14"/>
      <c r="X740" s="14"/>
      <c r="Y740" s="14"/>
      <c r="Z740" s="14"/>
    </row>
    <row r="741">
      <c r="A741" s="11">
        <v>43847.08489583334</v>
      </c>
      <c r="B741" s="12" t="str">
        <f>HYPERLINK("https://twitter.com/sostostress","@sostostress")</f>
        <v>@sostostress</v>
      </c>
      <c r="C741" s="1" t="s">
        <v>1042</v>
      </c>
      <c r="D741" s="1" t="s">
        <v>1477</v>
      </c>
      <c r="E741" s="12" t="str">
        <f>HYPERLINK("https://twitter.com/sostostress/status/1218065982452895746","1218065982452895746")</f>
        <v>1218065982452895746</v>
      </c>
      <c r="F741" s="13" t="s">
        <v>3697</v>
      </c>
      <c r="G741" s="14"/>
      <c r="H741" s="14"/>
      <c r="I741" s="15">
        <v>1.0</v>
      </c>
      <c r="J741" s="15">
        <v>0.0</v>
      </c>
      <c r="K741" s="12" t="str">
        <f>HYPERLINK("http://www.podbean.com","Podbean Podcast")</f>
        <v>Podbean Podcast</v>
      </c>
      <c r="L741" s="16">
        <v>333.0</v>
      </c>
      <c r="M741" s="16">
        <v>171.0</v>
      </c>
      <c r="N741" s="16">
        <v>46.0</v>
      </c>
      <c r="O741" s="17"/>
      <c r="P741" s="18">
        <v>40529.642071759255</v>
      </c>
      <c r="Q741" s="1" t="s">
        <v>143</v>
      </c>
      <c r="R741" s="1" t="s">
        <v>1046</v>
      </c>
      <c r="S741" s="13" t="s">
        <v>1047</v>
      </c>
      <c r="T741" s="14"/>
      <c r="U741" s="19" t="str">
        <f>HYPERLINK("https://pbs.twimg.com/profile_images/1192953737/image006_pp_-_2__2_.jpg","View")</f>
        <v>View</v>
      </c>
      <c r="V741" s="14"/>
      <c r="W741" s="14"/>
      <c r="X741" s="14"/>
      <c r="Y741" s="14"/>
      <c r="Z741" s="14"/>
    </row>
    <row r="742">
      <c r="A742" s="11">
        <v>43847.083819444444</v>
      </c>
      <c r="B742" s="12" t="str">
        <f>HYPERLINK("https://twitter.com/LifeIin","@LifeIin")</f>
        <v>@LifeIin</v>
      </c>
      <c r="C742" s="1" t="s">
        <v>3698</v>
      </c>
      <c r="D742" s="1" t="s">
        <v>3699</v>
      </c>
      <c r="E742" s="12" t="str">
        <f>HYPERLINK("https://twitter.com/LifeIin/status/1218065590562115584","1218065590562115584")</f>
        <v>1218065590562115584</v>
      </c>
      <c r="F742" s="13" t="s">
        <v>3700</v>
      </c>
      <c r="G742" s="13" t="s">
        <v>3701</v>
      </c>
      <c r="H742" s="14"/>
      <c r="I742" s="15">
        <v>2.0</v>
      </c>
      <c r="J742" s="15">
        <v>1.0</v>
      </c>
      <c r="K742" s="12" t="str">
        <f>HYPERLINK("https://mobile.twitter.com","Twitter Web App")</f>
        <v>Twitter Web App</v>
      </c>
      <c r="L742" s="16">
        <v>103.0</v>
      </c>
      <c r="M742" s="16">
        <v>1097.0</v>
      </c>
      <c r="N742" s="16">
        <v>1.0</v>
      </c>
      <c r="O742" s="17"/>
      <c r="P742" s="18">
        <v>43095.234930555554</v>
      </c>
      <c r="Q742" s="1" t="s">
        <v>72</v>
      </c>
      <c r="R742" s="14"/>
      <c r="S742" s="14"/>
      <c r="T742" s="14"/>
      <c r="U742" s="19" t="str">
        <f>HYPERLINK("https://pbs.twimg.com/profile_images/955758778929971201/nY4XNJJu.jpg","View")</f>
        <v>View</v>
      </c>
      <c r="V742" s="14"/>
      <c r="W742" s="14"/>
      <c r="X742" s="14"/>
      <c r="Y742" s="14"/>
      <c r="Z742" s="14"/>
    </row>
    <row r="743">
      <c r="A743" s="11">
        <v>43847.08369212963</v>
      </c>
      <c r="B743" s="12" t="str">
        <f>HYPERLINK("https://twitter.com/seasanctuaryMH","@seasanctuaryMH")</f>
        <v>@seasanctuaryMH</v>
      </c>
      <c r="C743" s="1" t="s">
        <v>3702</v>
      </c>
      <c r="D743" s="1" t="s">
        <v>3703</v>
      </c>
      <c r="E743" s="12" t="str">
        <f>HYPERLINK("https://twitter.com/seasanctuaryMH/status/1218065548250112000","1218065548250112000")</f>
        <v>1218065548250112000</v>
      </c>
      <c r="F743" s="13" t="s">
        <v>3704</v>
      </c>
      <c r="G743" s="14"/>
      <c r="H743" s="14"/>
      <c r="I743" s="15">
        <v>0.0</v>
      </c>
      <c r="J743" s="15">
        <v>0.0</v>
      </c>
      <c r="K743" s="12" t="str">
        <f>HYPERLINK("https://www.hootsuite.com","Hootsuite Inc.")</f>
        <v>Hootsuite Inc.</v>
      </c>
      <c r="L743" s="16">
        <v>629.0</v>
      </c>
      <c r="M743" s="16">
        <v>1048.0</v>
      </c>
      <c r="N743" s="16">
        <v>28.0</v>
      </c>
      <c r="O743" s="17"/>
      <c r="P743" s="18">
        <v>40599.07736111111</v>
      </c>
      <c r="Q743" s="1" t="s">
        <v>3705</v>
      </c>
      <c r="R743" s="1" t="s">
        <v>3706</v>
      </c>
      <c r="S743" s="13" t="s">
        <v>3707</v>
      </c>
      <c r="T743" s="14"/>
      <c r="U743" s="19" t="str">
        <f>HYPERLINK("https://pbs.twimg.com/profile_images/961136390707843073/jW-RwE7d.jpg","View")</f>
        <v>View</v>
      </c>
      <c r="V743" s="14"/>
      <c r="W743" s="14"/>
      <c r="X743" s="14"/>
      <c r="Y743" s="14"/>
      <c r="Z743" s="14"/>
    </row>
    <row r="744">
      <c r="A744" s="11">
        <v>43847.0733912037</v>
      </c>
      <c r="B744" s="12" t="str">
        <f>HYPERLINK("https://twitter.com/Olivia52406286","@Olivia52406286")</f>
        <v>@Olivia52406286</v>
      </c>
      <c r="C744" s="1" t="s">
        <v>3708</v>
      </c>
      <c r="D744" s="1" t="s">
        <v>3709</v>
      </c>
      <c r="E744" s="12" t="str">
        <f>HYPERLINK("https://twitter.com/Olivia52406286/status/1218061814547677184","1218061814547677184")</f>
        <v>1218061814547677184</v>
      </c>
      <c r="F744" s="13" t="s">
        <v>3710</v>
      </c>
      <c r="G744" s="13" t="s">
        <v>3711</v>
      </c>
      <c r="H744" s="14"/>
      <c r="I744" s="15">
        <v>0.0</v>
      </c>
      <c r="J744" s="15">
        <v>0.0</v>
      </c>
      <c r="K744" s="12" t="str">
        <f t="shared" ref="K744:K746" si="77">HYPERLINK("https://mobile.twitter.com","Twitter Web App")</f>
        <v>Twitter Web App</v>
      </c>
      <c r="L744" s="16">
        <v>126.0</v>
      </c>
      <c r="M744" s="16">
        <v>1079.0</v>
      </c>
      <c r="N744" s="16">
        <v>1.0</v>
      </c>
      <c r="O744" s="17"/>
      <c r="P744" s="18">
        <v>43451.011712962965</v>
      </c>
      <c r="Q744" s="1" t="s">
        <v>3712</v>
      </c>
      <c r="R744" s="1" t="s">
        <v>3713</v>
      </c>
      <c r="S744" s="13" t="s">
        <v>3714</v>
      </c>
      <c r="T744" s="14"/>
      <c r="U744" s="19" t="str">
        <f>HYPERLINK("https://pbs.twimg.com/profile_images/1074534709441556480/BELmEMzS.jpg","View")</f>
        <v>View</v>
      </c>
      <c r="V744" s="14"/>
      <c r="W744" s="14"/>
      <c r="X744" s="14"/>
      <c r="Y744" s="14"/>
      <c r="Z744" s="14"/>
    </row>
    <row r="745">
      <c r="A745" s="11">
        <v>43847.067974537036</v>
      </c>
      <c r="B745" s="12" t="str">
        <f>HYPERLINK("https://twitter.com/matt_india","@matt_india")</f>
        <v>@matt_india</v>
      </c>
      <c r="C745" s="1" t="s">
        <v>3715</v>
      </c>
      <c r="D745" s="1" t="s">
        <v>3716</v>
      </c>
      <c r="E745" s="12" t="str">
        <f>HYPERLINK("https://twitter.com/matt_india/status/1218059849310695425","1218059849310695425")</f>
        <v>1218059849310695425</v>
      </c>
      <c r="F745" s="13" t="s">
        <v>3717</v>
      </c>
      <c r="G745" s="13" t="s">
        <v>3718</v>
      </c>
      <c r="H745" s="14"/>
      <c r="I745" s="15">
        <v>0.0</v>
      </c>
      <c r="J745" s="15">
        <v>1.0</v>
      </c>
      <c r="K745" s="12" t="str">
        <f t="shared" si="77"/>
        <v>Twitter Web App</v>
      </c>
      <c r="L745" s="16">
        <v>64.0</v>
      </c>
      <c r="M745" s="16">
        <v>56.0</v>
      </c>
      <c r="N745" s="16">
        <v>6.0</v>
      </c>
      <c r="O745" s="17"/>
      <c r="P745" s="18">
        <v>40813.35666666667</v>
      </c>
      <c r="Q745" s="1" t="s">
        <v>3719</v>
      </c>
      <c r="R745" s="1" t="s">
        <v>3720</v>
      </c>
      <c r="S745" s="13" t="s">
        <v>3721</v>
      </c>
      <c r="T745" s="14"/>
      <c r="U745" s="19" t="str">
        <f>HYPERLINK("https://pbs.twimg.com/profile_images/1156202256993140736/VizX1b5g.png","View")</f>
        <v>View</v>
      </c>
      <c r="V745" s="14"/>
      <c r="W745" s="14"/>
      <c r="X745" s="14"/>
      <c r="Y745" s="14"/>
      <c r="Z745" s="14"/>
    </row>
    <row r="746">
      <c r="A746" s="11">
        <v>43847.06597222222</v>
      </c>
      <c r="B746" s="12" t="str">
        <f>HYPERLINK("https://twitter.com/_cosatu","@_cosatu")</f>
        <v>@_cosatu</v>
      </c>
      <c r="C746" s="1" t="s">
        <v>3722</v>
      </c>
      <c r="D746" s="1" t="s">
        <v>3723</v>
      </c>
      <c r="E746" s="12" t="str">
        <f>HYPERLINK("https://twitter.com/_cosatu/status/1218059123130011648","1218059123130011648")</f>
        <v>1218059123130011648</v>
      </c>
      <c r="F746" s="14"/>
      <c r="G746" s="13" t="s">
        <v>3724</v>
      </c>
      <c r="H746" s="14"/>
      <c r="I746" s="15">
        <v>0.0</v>
      </c>
      <c r="J746" s="15">
        <v>0.0</v>
      </c>
      <c r="K746" s="12" t="str">
        <f t="shared" si="77"/>
        <v>Twitter Web App</v>
      </c>
      <c r="L746" s="16">
        <v>140712.0</v>
      </c>
      <c r="M746" s="16">
        <v>71891.0</v>
      </c>
      <c r="N746" s="16">
        <v>587.0</v>
      </c>
      <c r="O746" s="17"/>
      <c r="P746" s="18">
        <v>41078.212847222225</v>
      </c>
      <c r="Q746" s="1" t="s">
        <v>3111</v>
      </c>
      <c r="R746" s="1" t="s">
        <v>3725</v>
      </c>
      <c r="S746" s="13" t="s">
        <v>3726</v>
      </c>
      <c r="T746" s="14"/>
      <c r="U746" s="19" t="str">
        <f>HYPERLINK("https://pbs.twimg.com/profile_images/2391027062/tq9ds7keut14izlwbiq5.jpeg","View")</f>
        <v>View</v>
      </c>
      <c r="V746" s="14"/>
      <c r="W746" s="14"/>
      <c r="X746" s="14"/>
      <c r="Y746" s="14"/>
      <c r="Z746" s="14"/>
    </row>
    <row r="747">
      <c r="A747" s="11">
        <v>43847.05782407407</v>
      </c>
      <c r="B747" s="12" t="str">
        <f>HYPERLINK("https://twitter.com/reniabina","@reniabina")</f>
        <v>@reniabina</v>
      </c>
      <c r="C747" s="1" t="s">
        <v>3727</v>
      </c>
      <c r="D747" s="1" t="s">
        <v>3728</v>
      </c>
      <c r="E747" s="12" t="str">
        <f>HYPERLINK("https://twitter.com/reniabina/status/1218056173146071042","1218056173146071042")</f>
        <v>1218056173146071042</v>
      </c>
      <c r="F747" s="14"/>
      <c r="G747" s="14"/>
      <c r="H747" s="14"/>
      <c r="I747" s="15">
        <v>3.0</v>
      </c>
      <c r="J747" s="15">
        <v>9.0</v>
      </c>
      <c r="K747" s="12" t="str">
        <f>HYPERLINK("http://twitter.com/download/iphone","Twitter for iPhone")</f>
        <v>Twitter for iPhone</v>
      </c>
      <c r="L747" s="16">
        <v>966.0</v>
      </c>
      <c r="M747" s="16">
        <v>447.0</v>
      </c>
      <c r="N747" s="16">
        <v>3.0</v>
      </c>
      <c r="O747" s="17"/>
      <c r="P747" s="18">
        <v>40291.532997685186</v>
      </c>
      <c r="Q747" s="1" t="s">
        <v>3729</v>
      </c>
      <c r="R747" s="1" t="s">
        <v>3730</v>
      </c>
      <c r="S747" s="13" t="s">
        <v>3731</v>
      </c>
      <c r="T747" s="14"/>
      <c r="U747" s="19" t="str">
        <f>HYPERLINK("https://pbs.twimg.com/profile_images/1214926964601085952/Xzq5dabQ.jpg","View")</f>
        <v>View</v>
      </c>
      <c r="V747" s="14"/>
      <c r="W747" s="14"/>
      <c r="X747" s="14"/>
      <c r="Y747" s="14"/>
      <c r="Z747" s="14"/>
    </row>
    <row r="748">
      <c r="A748" s="11">
        <v>43847.056550925925</v>
      </c>
      <c r="B748" s="12" t="str">
        <f>HYPERLINK("https://twitter.com/Studywithjoanne","@Studywithjoanne")</f>
        <v>@Studywithjoanne</v>
      </c>
      <c r="C748" s="1" t="s">
        <v>3732</v>
      </c>
      <c r="D748" s="1" t="s">
        <v>3733</v>
      </c>
      <c r="E748" s="12" t="str">
        <f>HYPERLINK("https://twitter.com/Studywithjoanne/status/1218055710556057601","1218055710556057601")</f>
        <v>1218055710556057601</v>
      </c>
      <c r="F748" s="13" t="s">
        <v>3734</v>
      </c>
      <c r="G748" s="13" t="s">
        <v>3735</v>
      </c>
      <c r="H748" s="14"/>
      <c r="I748" s="15">
        <v>0.0</v>
      </c>
      <c r="J748" s="15">
        <v>2.0</v>
      </c>
      <c r="K748" s="12" t="str">
        <f>HYPERLINK("https://mobile.twitter.com","Twitter Web App")</f>
        <v>Twitter Web App</v>
      </c>
      <c r="L748" s="16">
        <v>86.0</v>
      </c>
      <c r="M748" s="16">
        <v>100.0</v>
      </c>
      <c r="N748" s="16">
        <v>0.0</v>
      </c>
      <c r="O748" s="17"/>
      <c r="P748" s="18">
        <v>43365.56454861111</v>
      </c>
      <c r="Q748" s="1" t="s">
        <v>727</v>
      </c>
      <c r="R748" s="1" t="s">
        <v>3736</v>
      </c>
      <c r="S748" s="13" t="s">
        <v>3737</v>
      </c>
      <c r="T748" s="14"/>
      <c r="U748" s="19" t="str">
        <f>HYPERLINK("https://pbs.twimg.com/profile_images/1043553978045292544/kZrhFvvR.jpg","View")</f>
        <v>View</v>
      </c>
      <c r="V748" s="14"/>
      <c r="W748" s="14"/>
      <c r="X748" s="14"/>
      <c r="Y748" s="14"/>
      <c r="Z748" s="14"/>
    </row>
    <row r="749">
      <c r="A749" s="11">
        <v>43847.05478009259</v>
      </c>
      <c r="B749" s="12" t="str">
        <f>HYPERLINK("https://twitter.com/NetaNMR","@NetaNMR")</f>
        <v>@NetaNMR</v>
      </c>
      <c r="C749" s="1" t="s">
        <v>3738</v>
      </c>
      <c r="D749" s="1" t="s">
        <v>3739</v>
      </c>
      <c r="E749" s="12" t="str">
        <f>HYPERLINK("https://twitter.com/NetaNMR/status/1218055068097949696","1218055068097949696")</f>
        <v>1218055068097949696</v>
      </c>
      <c r="F749" s="13" t="s">
        <v>3740</v>
      </c>
      <c r="G749" s="14"/>
      <c r="H749" s="14"/>
      <c r="I749" s="15">
        <v>1.0</v>
      </c>
      <c r="J749" s="15">
        <v>6.0</v>
      </c>
      <c r="K749" s="12" t="str">
        <f>HYPERLINK("http://twitter.com","Twitter Web Client")</f>
        <v>Twitter Web Client</v>
      </c>
      <c r="L749" s="16">
        <v>503.0</v>
      </c>
      <c r="M749" s="16">
        <v>326.0</v>
      </c>
      <c r="N749" s="16">
        <v>8.0</v>
      </c>
      <c r="O749" s="17"/>
      <c r="P749" s="18">
        <v>40310.57216435185</v>
      </c>
      <c r="Q749" s="1" t="s">
        <v>3741</v>
      </c>
      <c r="R749" s="1" t="s">
        <v>3742</v>
      </c>
      <c r="S749" s="13" t="s">
        <v>3743</v>
      </c>
      <c r="T749" s="14"/>
      <c r="U749" s="19" t="str">
        <f>HYPERLINK("https://pbs.twimg.com/profile_images/1010806500384632832/XaNOZjL6.jpg","View")</f>
        <v>View</v>
      </c>
      <c r="V749" s="14"/>
      <c r="W749" s="14"/>
      <c r="X749" s="14"/>
      <c r="Y749" s="14"/>
      <c r="Z749" s="14"/>
    </row>
    <row r="750">
      <c r="A750" s="11">
        <v>43847.05030092593</v>
      </c>
      <c r="B750" s="12" t="str">
        <f>HYPERLINK("https://twitter.com/micklondon","@micklondon")</f>
        <v>@micklondon</v>
      </c>
      <c r="C750" s="1" t="s">
        <v>3744</v>
      </c>
      <c r="D750" s="1" t="s">
        <v>3745</v>
      </c>
      <c r="E750" s="12" t="str">
        <f>HYPERLINK("https://twitter.com/micklondon/status/1218053447733383168","1218053447733383168")</f>
        <v>1218053447733383168</v>
      </c>
      <c r="F750" s="13" t="s">
        <v>3746</v>
      </c>
      <c r="G750" s="14"/>
      <c r="H750" s="14"/>
      <c r="I750" s="15">
        <v>0.0</v>
      </c>
      <c r="J750" s="15">
        <v>0.0</v>
      </c>
      <c r="K750" s="12" t="str">
        <f t="shared" ref="K750:K751" si="78">HYPERLINK("http://twitter.com/download/android","Twitter for Android")</f>
        <v>Twitter for Android</v>
      </c>
      <c r="L750" s="16">
        <v>129.0</v>
      </c>
      <c r="M750" s="16">
        <v>272.0</v>
      </c>
      <c r="N750" s="16">
        <v>21.0</v>
      </c>
      <c r="O750" s="17"/>
      <c r="P750" s="18">
        <v>39571.19603009259</v>
      </c>
      <c r="Q750" s="1" t="s">
        <v>3747</v>
      </c>
      <c r="R750" s="1" t="s">
        <v>3748</v>
      </c>
      <c r="S750" s="14"/>
      <c r="T750" s="14"/>
      <c r="U750" s="19" t="str">
        <f>HYPERLINK("https://pbs.twimg.com/profile_images/1038730989713993728/eeBe5HsH.jpg","View")</f>
        <v>View</v>
      </c>
      <c r="V750" s="14"/>
      <c r="W750" s="14"/>
      <c r="X750" s="14"/>
      <c r="Y750" s="14"/>
      <c r="Z750" s="14"/>
    </row>
    <row r="751">
      <c r="A751" s="11">
        <v>43847.04686342593</v>
      </c>
      <c r="B751" s="12" t="str">
        <f>HYPERLINK("https://twitter.com/hotel_inspectUK","@hotel_inspectUK")</f>
        <v>@hotel_inspectUK</v>
      </c>
      <c r="C751" s="1" t="s">
        <v>3749</v>
      </c>
      <c r="D751" s="1" t="s">
        <v>3750</v>
      </c>
      <c r="E751" s="12" t="str">
        <f>HYPERLINK("https://twitter.com/hotel_inspectUK/status/1218052202222292993","1218052202222292993")</f>
        <v>1218052202222292993</v>
      </c>
      <c r="F751" s="14"/>
      <c r="G751" s="13" t="s">
        <v>3751</v>
      </c>
      <c r="H751" s="14"/>
      <c r="I751" s="15">
        <v>0.0</v>
      </c>
      <c r="J751" s="15">
        <v>1.0</v>
      </c>
      <c r="K751" s="12" t="str">
        <f t="shared" si="78"/>
        <v>Twitter for Android</v>
      </c>
      <c r="L751" s="16">
        <v>69.0</v>
      </c>
      <c r="M751" s="16">
        <v>270.0</v>
      </c>
      <c r="N751" s="16">
        <v>0.0</v>
      </c>
      <c r="O751" s="17"/>
      <c r="P751" s="18">
        <v>43726.39287037037</v>
      </c>
      <c r="Q751" s="1" t="s">
        <v>268</v>
      </c>
      <c r="R751" s="1" t="s">
        <v>3752</v>
      </c>
      <c r="S751" s="13" t="s">
        <v>3753</v>
      </c>
      <c r="T751" s="14"/>
      <c r="U751" s="19" t="str">
        <f>HYPERLINK("https://pbs.twimg.com/profile_images/1202005895623913473/xUrtymdl.jpg","View")</f>
        <v>View</v>
      </c>
      <c r="V751" s="14"/>
      <c r="W751" s="14"/>
      <c r="X751" s="14"/>
      <c r="Y751" s="14"/>
      <c r="Z751" s="14"/>
    </row>
    <row r="752">
      <c r="A752" s="11">
        <v>43847.04172453703</v>
      </c>
      <c r="B752" s="12" t="str">
        <f>HYPERLINK("https://twitter.com/LenmedHealth","@LenmedHealth")</f>
        <v>@LenmedHealth</v>
      </c>
      <c r="C752" s="1" t="s">
        <v>3754</v>
      </c>
      <c r="D752" s="1" t="s">
        <v>3755</v>
      </c>
      <c r="E752" s="12" t="str">
        <f>HYPERLINK("https://twitter.com/LenmedHealth/status/1218050339527692288","1218050339527692288")</f>
        <v>1218050339527692288</v>
      </c>
      <c r="F752" s="1" t="s">
        <v>3756</v>
      </c>
      <c r="G752" s="13" t="s">
        <v>3757</v>
      </c>
      <c r="H752" s="14"/>
      <c r="I752" s="15">
        <v>0.0</v>
      </c>
      <c r="J752" s="15">
        <v>0.0</v>
      </c>
      <c r="K752" s="12" t="str">
        <f>HYPERLINK("https://buffer.com","Buffer")</f>
        <v>Buffer</v>
      </c>
      <c r="L752" s="16">
        <v>311.0</v>
      </c>
      <c r="M752" s="16">
        <v>45.0</v>
      </c>
      <c r="N752" s="16">
        <v>1.0</v>
      </c>
      <c r="O752" s="17"/>
      <c r="P752" s="18">
        <v>41437.22425925926</v>
      </c>
      <c r="Q752" s="14"/>
      <c r="R752" s="1" t="s">
        <v>3758</v>
      </c>
      <c r="S752" s="13" t="s">
        <v>3759</v>
      </c>
      <c r="T752" s="14"/>
      <c r="U752" s="19" t="str">
        <f>HYPERLINK("https://pbs.twimg.com/profile_images/978599410128117761/eYcx6TWK.jpg","View")</f>
        <v>View</v>
      </c>
      <c r="V752" s="14"/>
      <c r="W752" s="14"/>
      <c r="X752" s="14"/>
      <c r="Y752" s="14"/>
      <c r="Z752" s="14"/>
    </row>
    <row r="753">
      <c r="A753" s="11">
        <v>43847.04172453703</v>
      </c>
      <c r="B753" s="12" t="str">
        <f>HYPERLINK("https://twitter.com/NRRNeural","@NRRNeural")</f>
        <v>@NRRNeural</v>
      </c>
      <c r="C753" s="1" t="s">
        <v>3760</v>
      </c>
      <c r="D753" s="1" t="s">
        <v>3761</v>
      </c>
      <c r="E753" s="12" t="str">
        <f>HYPERLINK("https://twitter.com/NRRNeural/status/1218050338432811008","1218050338432811008")</f>
        <v>1218050338432811008</v>
      </c>
      <c r="F753" s="13" t="s">
        <v>3762</v>
      </c>
      <c r="G753" s="13" t="s">
        <v>3763</v>
      </c>
      <c r="H753" s="14"/>
      <c r="I753" s="15">
        <v>0.0</v>
      </c>
      <c r="J753" s="15">
        <v>0.0</v>
      </c>
      <c r="K753" s="12" t="str">
        <f>HYPERLINK("https://mobile.twitter.com","Twitter Web App")</f>
        <v>Twitter Web App</v>
      </c>
      <c r="L753" s="16">
        <v>17.0</v>
      </c>
      <c r="M753" s="16">
        <v>12.0</v>
      </c>
      <c r="N753" s="16">
        <v>0.0</v>
      </c>
      <c r="O753" s="17"/>
      <c r="P753" s="18">
        <v>42905.86979166667</v>
      </c>
      <c r="Q753" s="1" t="s">
        <v>3764</v>
      </c>
      <c r="R753" s="1" t="s">
        <v>3765</v>
      </c>
      <c r="S753" s="13" t="s">
        <v>3766</v>
      </c>
      <c r="T753" s="14"/>
      <c r="U753" s="19" t="str">
        <f>HYPERLINK("https://pbs.twimg.com/profile_images/882786664887627777/BchyYEGa.jpg","View")</f>
        <v>View</v>
      </c>
      <c r="V753" s="14"/>
      <c r="W753" s="14"/>
      <c r="X753" s="14"/>
      <c r="Y753" s="14"/>
      <c r="Z753" s="14"/>
    </row>
    <row r="754">
      <c r="A754" s="11">
        <v>43847.04167824074</v>
      </c>
      <c r="B754" s="12" t="str">
        <f>HYPERLINK("https://twitter.com/ehhc_kzn","@ehhc_kzn")</f>
        <v>@ehhc_kzn</v>
      </c>
      <c r="C754" s="1" t="s">
        <v>3767</v>
      </c>
      <c r="D754" s="1" t="s">
        <v>3755</v>
      </c>
      <c r="E754" s="12" t="str">
        <f>HYPERLINK("https://twitter.com/ehhc_kzn/status/1218050321940918272","1218050321940918272")</f>
        <v>1218050321940918272</v>
      </c>
      <c r="F754" s="1" t="s">
        <v>3756</v>
      </c>
      <c r="G754" s="13" t="s">
        <v>3768</v>
      </c>
      <c r="H754" s="14"/>
      <c r="I754" s="15">
        <v>0.0</v>
      </c>
      <c r="J754" s="15">
        <v>0.0</v>
      </c>
      <c r="K754" s="12" t="str">
        <f>HYPERLINK("https://buffer.com","Buffer")</f>
        <v>Buffer</v>
      </c>
      <c r="L754" s="16">
        <v>32.0</v>
      </c>
      <c r="M754" s="16">
        <v>23.0</v>
      </c>
      <c r="N754" s="16">
        <v>0.0</v>
      </c>
      <c r="O754" s="17"/>
      <c r="P754" s="18">
        <v>41491.5903587963</v>
      </c>
      <c r="Q754" s="1" t="s">
        <v>3769</v>
      </c>
      <c r="R754" s="1" t="s">
        <v>3770</v>
      </c>
      <c r="S754" s="13" t="s">
        <v>3771</v>
      </c>
      <c r="T754" s="14"/>
      <c r="U754" s="19" t="str">
        <f>HYPERLINK("https://pbs.twimg.com/profile_images/892060707922915330/dRK9SXuW.jpg","View")</f>
        <v>View</v>
      </c>
      <c r="V754" s="14"/>
      <c r="W754" s="14"/>
      <c r="X754" s="14"/>
      <c r="Y754" s="14"/>
      <c r="Z754" s="14"/>
    </row>
    <row r="755">
      <c r="A755" s="11">
        <v>43847.04164351852</v>
      </c>
      <c r="B755" s="12" t="str">
        <f>HYPERLINK("https://twitter.com/Mentalhealth991","@Mentalhealth991")</f>
        <v>@Mentalhealth991</v>
      </c>
      <c r="C755" s="1" t="s">
        <v>1599</v>
      </c>
      <c r="D755" s="1" t="s">
        <v>3772</v>
      </c>
      <c r="E755" s="12" t="str">
        <f>HYPERLINK("https://twitter.com/Mentalhealth991/status/1218050307810160640","1218050307810160640")</f>
        <v>1218050307810160640</v>
      </c>
      <c r="F755" s="13" t="s">
        <v>1601</v>
      </c>
      <c r="G755" s="13" t="s">
        <v>3773</v>
      </c>
      <c r="H755" s="14"/>
      <c r="I755" s="15">
        <v>0.0</v>
      </c>
      <c r="J755" s="15">
        <v>0.0</v>
      </c>
      <c r="K755" s="12" t="str">
        <f>HYPERLINK("https://mobile.twitter.com","Twitter Web App")</f>
        <v>Twitter Web App</v>
      </c>
      <c r="L755" s="16">
        <v>31.0</v>
      </c>
      <c r="M755" s="16">
        <v>339.0</v>
      </c>
      <c r="N755" s="16">
        <v>0.0</v>
      </c>
      <c r="O755" s="17"/>
      <c r="P755" s="18">
        <v>43736.20180555555</v>
      </c>
      <c r="Q755" s="1" t="s">
        <v>1603</v>
      </c>
      <c r="R755" s="1" t="s">
        <v>1604</v>
      </c>
      <c r="S755" s="13" t="s">
        <v>1605</v>
      </c>
      <c r="T755" s="14"/>
      <c r="U755" s="19" t="str">
        <f>HYPERLINK("https://pbs.twimg.com/profile_images/1179756875140591616/2KPuHGKm.jpg","View")</f>
        <v>View</v>
      </c>
      <c r="V755" s="14"/>
      <c r="W755" s="14"/>
      <c r="X755" s="14"/>
      <c r="Y755" s="14"/>
      <c r="Z755" s="14"/>
    </row>
    <row r="756">
      <c r="A756" s="11">
        <v>43847.032430555555</v>
      </c>
      <c r="B756" s="12" t="str">
        <f>HYPERLINK("https://twitter.com/HealthCoachMtl","@HealthCoachMtl")</f>
        <v>@HealthCoachMtl</v>
      </c>
      <c r="C756" s="1" t="s">
        <v>3774</v>
      </c>
      <c r="D756" s="1" t="s">
        <v>3775</v>
      </c>
      <c r="E756" s="12" t="str">
        <f>HYPERLINK("https://twitter.com/HealthCoachMtl/status/1218046970457198592","1218046970457198592")</f>
        <v>1218046970457198592</v>
      </c>
      <c r="F756" s="13" t="s">
        <v>3776</v>
      </c>
      <c r="G756" s="13" t="s">
        <v>3777</v>
      </c>
      <c r="H756" s="14"/>
      <c r="I756" s="15">
        <v>0.0</v>
      </c>
      <c r="J756" s="15">
        <v>1.0</v>
      </c>
      <c r="K756" s="12" t="str">
        <f>HYPERLINK("http://twitter.com/download/android","Twitter for Android")</f>
        <v>Twitter for Android</v>
      </c>
      <c r="L756" s="16">
        <v>51.0</v>
      </c>
      <c r="M756" s="16">
        <v>160.0</v>
      </c>
      <c r="N756" s="16">
        <v>0.0</v>
      </c>
      <c r="O756" s="17"/>
      <c r="P756" s="18">
        <v>43262.97289351852</v>
      </c>
      <c r="Q756" s="1" t="s">
        <v>3778</v>
      </c>
      <c r="R756" s="1" t="s">
        <v>3779</v>
      </c>
      <c r="S756" s="13" t="s">
        <v>3780</v>
      </c>
      <c r="T756" s="14"/>
      <c r="U756" s="19" t="str">
        <f>HYPERLINK("https://pbs.twimg.com/profile_images/1178545505678348288/737U9mjw.jpg","View")</f>
        <v>View</v>
      </c>
      <c r="V756" s="14"/>
      <c r="W756" s="14"/>
      <c r="X756" s="14"/>
      <c r="Y756" s="14"/>
      <c r="Z756" s="14"/>
    </row>
    <row r="757">
      <c r="A757" s="11">
        <v>43847.0265625</v>
      </c>
      <c r="B757" s="12" t="str">
        <f>HYPERLINK("https://twitter.com/PlanetHealthTV","@PlanetHealthTV")</f>
        <v>@PlanetHealthTV</v>
      </c>
      <c r="C757" s="1" t="s">
        <v>3781</v>
      </c>
      <c r="D757" s="1" t="s">
        <v>3782</v>
      </c>
      <c r="E757" s="12" t="str">
        <f>HYPERLINK("https://twitter.com/PlanetHealthTV/status/1218044843789676546","1218044843789676546")</f>
        <v>1218044843789676546</v>
      </c>
      <c r="F757" s="14"/>
      <c r="G757" s="14"/>
      <c r="H757" s="14"/>
      <c r="I757" s="15">
        <v>0.0</v>
      </c>
      <c r="J757" s="15">
        <v>0.0</v>
      </c>
      <c r="K757" s="12" t="str">
        <f>HYPERLINK("https://mobile.twitter.com","Twitter Web App")</f>
        <v>Twitter Web App</v>
      </c>
      <c r="L757" s="16">
        <v>88.0</v>
      </c>
      <c r="M757" s="16">
        <v>408.0</v>
      </c>
      <c r="N757" s="16">
        <v>1.0</v>
      </c>
      <c r="O757" s="17"/>
      <c r="P757" s="18">
        <v>42821.33644675926</v>
      </c>
      <c r="Q757" s="1" t="s">
        <v>691</v>
      </c>
      <c r="R757" s="1" t="s">
        <v>3783</v>
      </c>
      <c r="S757" s="13" t="s">
        <v>3784</v>
      </c>
      <c r="T757" s="14"/>
      <c r="U757" s="19" t="str">
        <f>HYPERLINK("https://pbs.twimg.com/profile_images/846335726497120257/RLpCbk2L.jpg","View")</f>
        <v>View</v>
      </c>
      <c r="V757" s="14"/>
      <c r="W757" s="14"/>
      <c r="X757" s="14"/>
      <c r="Y757" s="14"/>
      <c r="Z757" s="14"/>
    </row>
    <row r="758">
      <c r="A758" s="11">
        <v>43847.02077546297</v>
      </c>
      <c r="B758" s="12" t="str">
        <f>HYPERLINK("https://twitter.com/isrgrajan","@isrgrajan")</f>
        <v>@isrgrajan</v>
      </c>
      <c r="C758" s="1" t="s">
        <v>146</v>
      </c>
      <c r="D758" s="1" t="s">
        <v>3785</v>
      </c>
      <c r="E758" s="12" t="str">
        <f>HYPERLINK("https://twitter.com/isrgrajan/status/1218042745513746432","1218042745513746432")</f>
        <v>1218042745513746432</v>
      </c>
      <c r="F758" s="13" t="s">
        <v>3786</v>
      </c>
      <c r="G758" s="13" t="s">
        <v>3787</v>
      </c>
      <c r="H758" s="14"/>
      <c r="I758" s="15">
        <v>0.0</v>
      </c>
      <c r="J758" s="15">
        <v>0.0</v>
      </c>
      <c r="K758" s="12" t="str">
        <f>HYPERLINK("http://www.isrg.in/","Isrg")</f>
        <v>Isrg</v>
      </c>
      <c r="L758" s="16">
        <v>3300.0</v>
      </c>
      <c r="M758" s="16">
        <v>80.0</v>
      </c>
      <c r="N758" s="16">
        <v>45.0</v>
      </c>
      <c r="O758" s="17"/>
      <c r="P758" s="18">
        <v>40108.413819444446</v>
      </c>
      <c r="Q758" s="1" t="s">
        <v>150</v>
      </c>
      <c r="R758" s="1" t="s">
        <v>151</v>
      </c>
      <c r="S758" s="13" t="s">
        <v>152</v>
      </c>
      <c r="T758" s="14"/>
      <c r="U758" s="19" t="str">
        <f>HYPERLINK("https://pbs.twimg.com/profile_images/1190988064765743106/FJrzpCN1.jpg","View")</f>
        <v>View</v>
      </c>
      <c r="V758" s="14"/>
      <c r="W758" s="14"/>
      <c r="X758" s="14"/>
      <c r="Y758" s="14"/>
      <c r="Z758" s="14"/>
    </row>
    <row r="759">
      <c r="A759" s="11">
        <v>43847.01368055555</v>
      </c>
      <c r="B759" s="12" t="str">
        <f>HYPERLINK("https://twitter.com/_Udon19","@_Udon19")</f>
        <v>@_Udon19</v>
      </c>
      <c r="C759" s="1" t="s">
        <v>3788</v>
      </c>
      <c r="D759" s="1" t="s">
        <v>193</v>
      </c>
      <c r="E759" s="12" t="str">
        <f>HYPERLINK("https://twitter.com/_Udon19/status/1218040175554523136","1218040175554523136")</f>
        <v>1218040175554523136</v>
      </c>
      <c r="F759" s="13" t="s">
        <v>3789</v>
      </c>
      <c r="G759" s="14"/>
      <c r="H759" s="14"/>
      <c r="I759" s="15">
        <v>0.0</v>
      </c>
      <c r="J759" s="15">
        <v>0.0</v>
      </c>
      <c r="K759" s="12" t="str">
        <f t="shared" ref="K759:K760" si="79">HYPERLINK("http://twitter.com","Twitter Web Client")</f>
        <v>Twitter Web Client</v>
      </c>
      <c r="L759" s="16">
        <v>51.0</v>
      </c>
      <c r="M759" s="16">
        <v>1273.0</v>
      </c>
      <c r="N759" s="16">
        <v>4.0</v>
      </c>
      <c r="O759" s="17"/>
      <c r="P759" s="18">
        <v>41951.366435185184</v>
      </c>
      <c r="Q759" s="14"/>
      <c r="R759" s="14"/>
      <c r="S759" s="14"/>
      <c r="T759" s="14"/>
      <c r="U759" s="19" t="str">
        <f>HYPERLINK("https://pbs.twimg.com/profile_images/1192309158285991936/TtApMulW.jpg","View")</f>
        <v>View</v>
      </c>
      <c r="V759" s="14"/>
      <c r="W759" s="14"/>
      <c r="X759" s="14"/>
      <c r="Y759" s="14"/>
      <c r="Z759" s="14"/>
    </row>
    <row r="760">
      <c r="A760" s="11">
        <v>43847.01335648148</v>
      </c>
      <c r="B760" s="12" t="str">
        <f>HYPERLINK("https://twitter.com/rahnosh222","@rahnosh222")</f>
        <v>@rahnosh222</v>
      </c>
      <c r="C760" s="1" t="s">
        <v>3790</v>
      </c>
      <c r="D760" s="1" t="s">
        <v>3791</v>
      </c>
      <c r="E760" s="12" t="str">
        <f>HYPERLINK("https://twitter.com/rahnosh222/status/1218040055878635520","1218040055878635520")</f>
        <v>1218040055878635520</v>
      </c>
      <c r="F760" s="13" t="s">
        <v>3792</v>
      </c>
      <c r="G760" s="14"/>
      <c r="H760" s="14"/>
      <c r="I760" s="15">
        <v>0.0</v>
      </c>
      <c r="J760" s="15">
        <v>0.0</v>
      </c>
      <c r="K760" s="12" t="str">
        <f t="shared" si="79"/>
        <v>Twitter Web Client</v>
      </c>
      <c r="L760" s="16">
        <v>86.0</v>
      </c>
      <c r="M760" s="16">
        <v>766.0</v>
      </c>
      <c r="N760" s="16">
        <v>0.0</v>
      </c>
      <c r="O760" s="17"/>
      <c r="P760" s="18">
        <v>41426.227997685186</v>
      </c>
      <c r="Q760" s="1" t="s">
        <v>3793</v>
      </c>
      <c r="R760" s="1" t="s">
        <v>3794</v>
      </c>
      <c r="S760" s="13" t="s">
        <v>3795</v>
      </c>
      <c r="T760" s="14"/>
      <c r="U760" s="19" t="str">
        <f>HYPERLINK("https://pbs.twimg.com/profile_images/1210065614167007232/ZKyAtlVs.jpg","View")</f>
        <v>View</v>
      </c>
      <c r="V760" s="14"/>
      <c r="W760" s="14"/>
      <c r="X760" s="14"/>
      <c r="Y760" s="14"/>
      <c r="Z760" s="14"/>
    </row>
    <row r="761">
      <c r="A761" s="11">
        <v>43847.00225694444</v>
      </c>
      <c r="B761" s="12" t="str">
        <f>HYPERLINK("https://twitter.com/kathrynguylay","@kathrynguylay")</f>
        <v>@kathrynguylay</v>
      </c>
      <c r="C761" s="1" t="s">
        <v>1569</v>
      </c>
      <c r="D761" s="1" t="s">
        <v>3796</v>
      </c>
      <c r="E761" s="12" t="str">
        <f>HYPERLINK("https://twitter.com/kathrynguylay/status/1218036033629061120","1218036033629061120")</f>
        <v>1218036033629061120</v>
      </c>
      <c r="F761" s="13" t="s">
        <v>3797</v>
      </c>
      <c r="G761" s="13" t="s">
        <v>3798</v>
      </c>
      <c r="H761" s="14"/>
      <c r="I761" s="15">
        <v>0.0</v>
      </c>
      <c r="J761" s="15">
        <v>0.0</v>
      </c>
      <c r="K761" s="12" t="str">
        <f>HYPERLINK("https://www.socialjukebox.com","The Social Jukebox")</f>
        <v>The Social Jukebox</v>
      </c>
      <c r="L761" s="16">
        <v>9650.0</v>
      </c>
      <c r="M761" s="16">
        <v>9025.0</v>
      </c>
      <c r="N761" s="16">
        <v>202.0</v>
      </c>
      <c r="O761" s="17"/>
      <c r="P761" s="18">
        <v>42027.73943287037</v>
      </c>
      <c r="Q761" s="1" t="s">
        <v>1573</v>
      </c>
      <c r="R761" s="1" t="s">
        <v>1574</v>
      </c>
      <c r="S761" s="13" t="s">
        <v>1575</v>
      </c>
      <c r="T761" s="14"/>
      <c r="U761" s="19" t="str">
        <f>HYPERLINK("https://pbs.twimg.com/profile_images/1202621038959267840/sUkTc3IJ.jpg","View")</f>
        <v>View</v>
      </c>
      <c r="V761" s="14"/>
      <c r="W761" s="14"/>
      <c r="X761" s="14"/>
      <c r="Y761" s="14"/>
      <c r="Z761" s="14"/>
    </row>
    <row r="762">
      <c r="A762" s="11">
        <v>43847.00113425926</v>
      </c>
      <c r="B762" s="12" t="str">
        <f>HYPERLINK("https://twitter.com/Nicky_Cullen","@Nicky_Cullen")</f>
        <v>@Nicky_Cullen</v>
      </c>
      <c r="C762" s="1" t="s">
        <v>3799</v>
      </c>
      <c r="D762" s="1" t="s">
        <v>3800</v>
      </c>
      <c r="E762" s="12" t="str">
        <f>HYPERLINK("https://twitter.com/Nicky_Cullen/status/1218035629646237696","1218035629646237696")</f>
        <v>1218035629646237696</v>
      </c>
      <c r="F762" s="13" t="s">
        <v>3801</v>
      </c>
      <c r="G762" s="14"/>
      <c r="H762" s="14"/>
      <c r="I762" s="15">
        <v>0.0</v>
      </c>
      <c r="J762" s="15">
        <v>1.0</v>
      </c>
      <c r="K762" s="12" t="str">
        <f>HYPERLINK("https://mobile.twitter.com","Twitter Web App")</f>
        <v>Twitter Web App</v>
      </c>
      <c r="L762" s="16">
        <v>2158.0</v>
      </c>
      <c r="M762" s="16">
        <v>44.0</v>
      </c>
      <c r="N762" s="16">
        <v>47.0</v>
      </c>
      <c r="O762" s="17"/>
      <c r="P762" s="18">
        <v>41248.603171296294</v>
      </c>
      <c r="Q762" s="1" t="s">
        <v>3802</v>
      </c>
      <c r="R762" s="1" t="s">
        <v>3803</v>
      </c>
      <c r="S762" s="13" t="s">
        <v>3804</v>
      </c>
      <c r="T762" s="14"/>
      <c r="U762" s="19" t="str">
        <f>HYPERLINK("https://pbs.twimg.com/profile_images/1084851233117093890/QTC_cFfG.jpg","View")</f>
        <v>View</v>
      </c>
      <c r="V762" s="14"/>
      <c r="W762" s="14"/>
      <c r="X762" s="14"/>
      <c r="Y762" s="14"/>
      <c r="Z762" s="14"/>
    </row>
    <row r="763">
      <c r="A763" s="11">
        <v>43846.9930787037</v>
      </c>
      <c r="B763" s="12" t="str">
        <f>HYPERLINK("https://twitter.com/techjunkiejh","@techjunkiejh")</f>
        <v>@techjunkiejh</v>
      </c>
      <c r="C763" s="1" t="s">
        <v>3805</v>
      </c>
      <c r="D763" s="1" t="s">
        <v>3806</v>
      </c>
      <c r="E763" s="12" t="str">
        <f>HYPERLINK("https://twitter.com/techjunkiejh/status/1218032708825337859","1218032708825337859")</f>
        <v>1218032708825337859</v>
      </c>
      <c r="F763" s="13" t="s">
        <v>3807</v>
      </c>
      <c r="G763" s="13" t="s">
        <v>3808</v>
      </c>
      <c r="H763" s="14"/>
      <c r="I763" s="15">
        <v>0.0</v>
      </c>
      <c r="J763" s="15">
        <v>0.0</v>
      </c>
      <c r="K763" s="12" t="str">
        <f>HYPERLINK("https://buffer.com","Buffer")</f>
        <v>Buffer</v>
      </c>
      <c r="L763" s="16">
        <v>28686.0</v>
      </c>
      <c r="M763" s="16">
        <v>24637.0</v>
      </c>
      <c r="N763" s="16">
        <v>6510.0</v>
      </c>
      <c r="O763" s="17"/>
      <c r="P763" s="18">
        <v>42061.83219907407</v>
      </c>
      <c r="Q763" s="14"/>
      <c r="R763" s="1" t="s">
        <v>3809</v>
      </c>
      <c r="S763" s="13" t="s">
        <v>3810</v>
      </c>
      <c r="T763" s="14"/>
      <c r="U763" s="19" t="str">
        <f>HYPERLINK("https://pbs.twimg.com/profile_images/587160065536299009/9MBFPj6a.png","View")</f>
        <v>View</v>
      </c>
      <c r="V763" s="14"/>
      <c r="W763" s="14"/>
      <c r="X763" s="14"/>
      <c r="Y763" s="14"/>
      <c r="Z763" s="14"/>
    </row>
    <row r="764">
      <c r="A764" s="11">
        <v>43846.99092592593</v>
      </c>
      <c r="B764" s="12" t="str">
        <f>HYPERLINK("https://twitter.com/TeamAwesomism","@TeamAwesomism")</f>
        <v>@TeamAwesomism</v>
      </c>
      <c r="C764" s="1" t="s">
        <v>1631</v>
      </c>
      <c r="D764" s="1" t="s">
        <v>3811</v>
      </c>
      <c r="E764" s="12" t="str">
        <f>HYPERLINK("https://twitter.com/TeamAwesomism/status/1218031928005230593","1218031928005230593")</f>
        <v>1218031928005230593</v>
      </c>
      <c r="F764" s="13" t="s">
        <v>3640</v>
      </c>
      <c r="G764" s="14"/>
      <c r="H764" s="14"/>
      <c r="I764" s="15">
        <v>1.0</v>
      </c>
      <c r="J764" s="15">
        <v>1.0</v>
      </c>
      <c r="K764" s="12" t="str">
        <f t="shared" ref="K764:K765" si="80">HYPERLINK("http://twitter.com/download/iphone","Twitter for iPhone")</f>
        <v>Twitter for iPhone</v>
      </c>
      <c r="L764" s="16">
        <v>324.0</v>
      </c>
      <c r="M764" s="16">
        <v>294.0</v>
      </c>
      <c r="N764" s="16">
        <v>4.0</v>
      </c>
      <c r="O764" s="17"/>
      <c r="P764" s="18">
        <v>42961.91828703704</v>
      </c>
      <c r="Q764" s="14"/>
      <c r="R764" s="1" t="s">
        <v>1634</v>
      </c>
      <c r="S764" s="13" t="s">
        <v>1635</v>
      </c>
      <c r="T764" s="14"/>
      <c r="U764" s="19" t="str">
        <f>HYPERLINK("https://pbs.twimg.com/profile_images/1215483338431062021/cJBXw9Bk.jpg","View")</f>
        <v>View</v>
      </c>
      <c r="V764" s="14"/>
      <c r="W764" s="14"/>
      <c r="X764" s="14"/>
      <c r="Y764" s="14"/>
      <c r="Z764" s="14"/>
    </row>
    <row r="765">
      <c r="A765" s="11">
        <v>43846.984375</v>
      </c>
      <c r="B765" s="12" t="str">
        <f>HYPERLINK("https://twitter.com/SoniaOwilliams","@SoniaOwilliams")</f>
        <v>@SoniaOwilliams</v>
      </c>
      <c r="C765" s="1" t="s">
        <v>3812</v>
      </c>
      <c r="D765" s="1" t="s">
        <v>3813</v>
      </c>
      <c r="E765" s="12" t="str">
        <f>HYPERLINK("https://twitter.com/SoniaOwilliams/status/1218029555572592640","1218029555572592640")</f>
        <v>1218029555572592640</v>
      </c>
      <c r="F765" s="13" t="s">
        <v>3814</v>
      </c>
      <c r="G765" s="14"/>
      <c r="H765" s="14"/>
      <c r="I765" s="15">
        <v>1.0</v>
      </c>
      <c r="J765" s="15">
        <v>0.0</v>
      </c>
      <c r="K765" s="12" t="str">
        <f t="shared" si="80"/>
        <v>Twitter for iPhone</v>
      </c>
      <c r="L765" s="16">
        <v>8409.0</v>
      </c>
      <c r="M765" s="16">
        <v>7681.0</v>
      </c>
      <c r="N765" s="16">
        <v>30.0</v>
      </c>
      <c r="O765" s="17"/>
      <c r="P765" s="18">
        <v>41216.68644675926</v>
      </c>
      <c r="Q765" s="1" t="s">
        <v>3815</v>
      </c>
      <c r="R765" s="1" t="s">
        <v>3816</v>
      </c>
      <c r="S765" s="13" t="s">
        <v>3817</v>
      </c>
      <c r="T765" s="14"/>
      <c r="U765" s="19" t="str">
        <f>HYPERLINK("https://pbs.twimg.com/profile_images/939521566026579968/aCiBVkOy.jpg","View")</f>
        <v>View</v>
      </c>
      <c r="V765" s="14"/>
      <c r="W765" s="14"/>
      <c r="X765" s="14"/>
      <c r="Y765" s="14"/>
      <c r="Z765" s="14"/>
    </row>
    <row r="766">
      <c r="A766" s="11">
        <v>43846.97922453703</v>
      </c>
      <c r="B766" s="12" t="str">
        <f>HYPERLINK("https://twitter.com/SesdermaIND","@SesdermaIND")</f>
        <v>@SesdermaIND</v>
      </c>
      <c r="C766" s="1" t="s">
        <v>3818</v>
      </c>
      <c r="D766" s="1" t="s">
        <v>3819</v>
      </c>
      <c r="E766" s="12" t="str">
        <f>HYPERLINK("https://twitter.com/SesdermaIND/status/1218027690516721665","1218027690516721665")</f>
        <v>1218027690516721665</v>
      </c>
      <c r="F766" s="14"/>
      <c r="G766" s="13" t="s">
        <v>3820</v>
      </c>
      <c r="H766" s="14"/>
      <c r="I766" s="15">
        <v>0.0</v>
      </c>
      <c r="J766" s="15">
        <v>0.0</v>
      </c>
      <c r="K766" s="12" t="str">
        <f>HYPERLINK("https://app.agorapulse.com","AgoraPulse Manager")</f>
        <v>AgoraPulse Manager</v>
      </c>
      <c r="L766" s="16">
        <v>115.0</v>
      </c>
      <c r="M766" s="16">
        <v>336.0</v>
      </c>
      <c r="N766" s="16">
        <v>4.0</v>
      </c>
      <c r="O766" s="17"/>
      <c r="P766" s="18">
        <v>41789.13842592593</v>
      </c>
      <c r="Q766" s="14"/>
      <c r="R766" s="1" t="s">
        <v>3821</v>
      </c>
      <c r="S766" s="13" t="s">
        <v>3822</v>
      </c>
      <c r="T766" s="14"/>
      <c r="U766" s="19" t="str">
        <f>HYPERLINK("https://pbs.twimg.com/profile_images/991589405092610048/eD0TpJZw.jpg","View")</f>
        <v>View</v>
      </c>
      <c r="V766" s="14"/>
      <c r="W766" s="14"/>
      <c r="X766" s="14"/>
      <c r="Y766" s="14"/>
      <c r="Z766" s="14"/>
    </row>
    <row r="767">
      <c r="A767" s="11">
        <v>43846.97916666667</v>
      </c>
      <c r="B767" s="12" t="str">
        <f>HYPERLINK("https://twitter.com/niharikaverma95","@niharikaverma95")</f>
        <v>@niharikaverma95</v>
      </c>
      <c r="C767" s="1" t="s">
        <v>888</v>
      </c>
      <c r="D767" s="1" t="s">
        <v>3823</v>
      </c>
      <c r="E767" s="12" t="str">
        <f>HYPERLINK("https://twitter.com/niharikaverma95/status/1218027668697964544","1218027668697964544")</f>
        <v>1218027668697964544</v>
      </c>
      <c r="F767" s="13" t="s">
        <v>1307</v>
      </c>
      <c r="G767" s="14"/>
      <c r="H767" s="14"/>
      <c r="I767" s="15">
        <v>0.0</v>
      </c>
      <c r="J767" s="15">
        <v>0.0</v>
      </c>
      <c r="K767" s="12" t="str">
        <f>HYPERLINK("https://buffer.com","Buffer")</f>
        <v>Buffer</v>
      </c>
      <c r="L767" s="16">
        <v>847.0</v>
      </c>
      <c r="M767" s="16">
        <v>142.0</v>
      </c>
      <c r="N767" s="16">
        <v>61.0</v>
      </c>
      <c r="O767" s="17"/>
      <c r="P767" s="18">
        <v>42542.06670138889</v>
      </c>
      <c r="Q767" s="1" t="s">
        <v>891</v>
      </c>
      <c r="R767" s="1" t="s">
        <v>892</v>
      </c>
      <c r="S767" s="13" t="s">
        <v>893</v>
      </c>
      <c r="T767" s="14"/>
      <c r="U767" s="19" t="str">
        <f>HYPERLINK("https://pbs.twimg.com/profile_images/1218631112752160768/smL-X6Vx.jpg","View")</f>
        <v>View</v>
      </c>
      <c r="V767" s="14"/>
      <c r="W767" s="14"/>
      <c r="X767" s="14"/>
      <c r="Y767" s="14"/>
      <c r="Z767" s="14"/>
    </row>
    <row r="768">
      <c r="A768" s="11">
        <v>43846.97916666667</v>
      </c>
      <c r="B768" s="12" t="str">
        <f>HYPERLINK("https://twitter.com/Ahanahospitals","@Ahanahospitals")</f>
        <v>@Ahanahospitals</v>
      </c>
      <c r="C768" s="1" t="s">
        <v>3824</v>
      </c>
      <c r="D768" s="1" t="s">
        <v>3825</v>
      </c>
      <c r="E768" s="12" t="str">
        <f>HYPERLINK("https://twitter.com/Ahanahospitals/status/1218027667439538176","1218027667439538176")</f>
        <v>1218027667439538176</v>
      </c>
      <c r="F768" s="14"/>
      <c r="G768" s="13" t="s">
        <v>3826</v>
      </c>
      <c r="H768" s="14"/>
      <c r="I768" s="15">
        <v>0.0</v>
      </c>
      <c r="J768" s="15">
        <v>0.0</v>
      </c>
      <c r="K768" s="12" t="str">
        <f>HYPERLINK("https://about.twitter.com/products/tweetdeck","TweetDeck")</f>
        <v>TweetDeck</v>
      </c>
      <c r="L768" s="16">
        <v>141.0</v>
      </c>
      <c r="M768" s="16">
        <v>101.0</v>
      </c>
      <c r="N768" s="16">
        <v>12.0</v>
      </c>
      <c r="O768" s="17"/>
      <c r="P768" s="18">
        <v>42409.320497685185</v>
      </c>
      <c r="Q768" s="1" t="s">
        <v>3827</v>
      </c>
      <c r="R768" s="1" t="s">
        <v>3828</v>
      </c>
      <c r="S768" s="13" t="s">
        <v>3829</v>
      </c>
      <c r="T768" s="14"/>
      <c r="U768" s="19" t="str">
        <f>HYPERLINK("https://pbs.twimg.com/profile_images/722761338087313408/P34guYQQ.jpg","View")</f>
        <v>View</v>
      </c>
      <c r="V768" s="14"/>
      <c r="W768" s="14"/>
      <c r="X768" s="14"/>
      <c r="Y768" s="14"/>
      <c r="Z768" s="14"/>
    </row>
    <row r="769">
      <c r="A769" s="11">
        <v>43846.972291666665</v>
      </c>
      <c r="B769" s="12" t="str">
        <f>HYPERLINK("https://twitter.com/TLA_champion","@TLA_champion")</f>
        <v>@TLA_champion</v>
      </c>
      <c r="C769" s="1" t="s">
        <v>306</v>
      </c>
      <c r="D769" s="1" t="s">
        <v>3830</v>
      </c>
      <c r="E769" s="12" t="str">
        <f>HYPERLINK("https://twitter.com/TLA_champion/status/1218025174475444224","1218025174475444224")</f>
        <v>1218025174475444224</v>
      </c>
      <c r="F769" s="13" t="s">
        <v>2534</v>
      </c>
      <c r="G769" s="13" t="s">
        <v>3831</v>
      </c>
      <c r="H769" s="14"/>
      <c r="I769" s="15">
        <v>1.0</v>
      </c>
      <c r="J769" s="15">
        <v>0.0</v>
      </c>
      <c r="K769" s="12" t="str">
        <f>HYPERLINK("https://buffer.com","Buffer")</f>
        <v>Buffer</v>
      </c>
      <c r="L769" s="16">
        <v>1270.0</v>
      </c>
      <c r="M769" s="16">
        <v>2002.0</v>
      </c>
      <c r="N769" s="16">
        <v>92.0</v>
      </c>
      <c r="O769" s="17"/>
      <c r="P769" s="18">
        <v>42024.52983796297</v>
      </c>
      <c r="Q769" s="1" t="s">
        <v>309</v>
      </c>
      <c r="R769" s="1" t="s">
        <v>310</v>
      </c>
      <c r="S769" s="13" t="s">
        <v>311</v>
      </c>
      <c r="T769" s="14"/>
      <c r="U769" s="19" t="str">
        <f>HYPERLINK("https://pbs.twimg.com/profile_images/928633251148828673/rZ78O3tA.jpg","View")</f>
        <v>View</v>
      </c>
      <c r="V769" s="14"/>
      <c r="W769" s="14"/>
      <c r="X769" s="14"/>
      <c r="Y769" s="14"/>
      <c r="Z769" s="14"/>
    </row>
    <row r="770">
      <c r="A770" s="11">
        <v>43846.96996527778</v>
      </c>
      <c r="B770" s="12" t="str">
        <f>HYPERLINK("https://twitter.com/Nikki_Albert","@Nikki_Albert")</f>
        <v>@Nikki_Albert</v>
      </c>
      <c r="C770" s="1" t="s">
        <v>705</v>
      </c>
      <c r="D770" s="1" t="s">
        <v>3832</v>
      </c>
      <c r="E770" s="12" t="str">
        <f>HYPERLINK("https://twitter.com/Nikki_Albert/status/1218024334184173568","1218024334184173568")</f>
        <v>1218024334184173568</v>
      </c>
      <c r="F770" s="13" t="s">
        <v>707</v>
      </c>
      <c r="G770" s="14"/>
      <c r="H770" s="14"/>
      <c r="I770" s="15">
        <v>1.0</v>
      </c>
      <c r="J770" s="15">
        <v>1.0</v>
      </c>
      <c r="K770" s="12" t="str">
        <f>HYPERLINK("http://twitter.com","Twitter Web Client")</f>
        <v>Twitter Web Client</v>
      </c>
      <c r="L770" s="16">
        <v>2224.0</v>
      </c>
      <c r="M770" s="16">
        <v>1703.0</v>
      </c>
      <c r="N770" s="16">
        <v>111.0</v>
      </c>
      <c r="O770" s="17"/>
      <c r="P770" s="18">
        <v>41035.24144675926</v>
      </c>
      <c r="Q770" s="1" t="s">
        <v>143</v>
      </c>
      <c r="R770" s="1" t="s">
        <v>708</v>
      </c>
      <c r="S770" s="13" t="s">
        <v>709</v>
      </c>
      <c r="T770" s="14"/>
      <c r="U770" s="19" t="str">
        <f>HYPERLINK("https://pbs.twimg.com/profile_images/1061668858782658560/PI34-UjF.jpg","View")</f>
        <v>View</v>
      </c>
      <c r="V770" s="14"/>
      <c r="W770" s="14"/>
      <c r="X770" s="14"/>
      <c r="Y770" s="14"/>
      <c r="Z770" s="14"/>
    </row>
    <row r="771">
      <c r="A771" s="11">
        <v>43846.96612268519</v>
      </c>
      <c r="B771" s="12" t="str">
        <f>HYPERLINK("https://twitter.com/itsmotor14","@itsmotor14")</f>
        <v>@itsmotor14</v>
      </c>
      <c r="C771" s="1" t="s">
        <v>3833</v>
      </c>
      <c r="D771" s="1" t="s">
        <v>3834</v>
      </c>
      <c r="E771" s="12" t="str">
        <f>HYPERLINK("https://twitter.com/itsmotor14/status/1218022938982567938","1218022938982567938")</f>
        <v>1218022938982567938</v>
      </c>
      <c r="F771" s="14"/>
      <c r="G771" s="14"/>
      <c r="H771" s="14"/>
      <c r="I771" s="15">
        <v>0.0</v>
      </c>
      <c r="J771" s="15">
        <v>1.0</v>
      </c>
      <c r="K771" s="12" t="str">
        <f>HYPERLINK("http://twitter.com/download/iphone","Twitter for iPhone")</f>
        <v>Twitter for iPhone</v>
      </c>
      <c r="L771" s="16">
        <v>80.0</v>
      </c>
      <c r="M771" s="16">
        <v>51.0</v>
      </c>
      <c r="N771" s="16">
        <v>0.0</v>
      </c>
      <c r="O771" s="17"/>
      <c r="P771" s="18">
        <v>40470.10050925926</v>
      </c>
      <c r="Q771" s="14"/>
      <c r="R771" s="1" t="s">
        <v>3835</v>
      </c>
      <c r="S771" s="14"/>
      <c r="T771" s="14"/>
      <c r="U771" s="19" t="str">
        <f>HYPERLINK("https://pbs.twimg.com/profile_images/1076150981937684484/RqoR1F21.jpg","View")</f>
        <v>View</v>
      </c>
      <c r="V771" s="14"/>
      <c r="W771" s="14"/>
      <c r="X771" s="14"/>
      <c r="Y771" s="14"/>
      <c r="Z771" s="14"/>
    </row>
    <row r="772">
      <c r="A772" s="11">
        <v>43846.95920138889</v>
      </c>
      <c r="B772" s="12" t="str">
        <f>HYPERLINK("https://twitter.com/KaylaJWMarnach","@KaylaJWMarnach")</f>
        <v>@KaylaJWMarnach</v>
      </c>
      <c r="C772" s="1" t="s">
        <v>2573</v>
      </c>
      <c r="D772" s="1" t="s">
        <v>3836</v>
      </c>
      <c r="E772" s="12" t="str">
        <f>HYPERLINK("https://twitter.com/KaylaJWMarnach/status/1218020433037086720","1218020433037086720")</f>
        <v>1218020433037086720</v>
      </c>
      <c r="F772" s="13" t="s">
        <v>3837</v>
      </c>
      <c r="G772" s="13" t="s">
        <v>3838</v>
      </c>
      <c r="H772" s="14"/>
      <c r="I772" s="15">
        <v>0.0</v>
      </c>
      <c r="J772" s="15">
        <v>1.0</v>
      </c>
      <c r="K772" s="12" t="str">
        <f>HYPERLINK("https://www.socialoomph.com","SocialOomph")</f>
        <v>SocialOomph</v>
      </c>
      <c r="L772" s="16">
        <v>732.0</v>
      </c>
      <c r="M772" s="16">
        <v>616.0</v>
      </c>
      <c r="N772" s="16">
        <v>11.0</v>
      </c>
      <c r="O772" s="17"/>
      <c r="P772" s="18">
        <v>42196.611921296295</v>
      </c>
      <c r="Q772" s="1" t="s">
        <v>2576</v>
      </c>
      <c r="R772" s="1" t="s">
        <v>2577</v>
      </c>
      <c r="S772" s="13" t="s">
        <v>2578</v>
      </c>
      <c r="T772" s="14"/>
      <c r="U772" s="19" t="str">
        <f>HYPERLINK("https://pbs.twimg.com/profile_images/1024364889651863552/68xRiKXZ.jpg","View")</f>
        <v>View</v>
      </c>
      <c r="V772" s="14"/>
      <c r="W772" s="14"/>
      <c r="X772" s="14"/>
      <c r="Y772" s="14"/>
      <c r="Z772" s="14"/>
    </row>
    <row r="773">
      <c r="A773" s="11">
        <v>43846.95898148148</v>
      </c>
      <c r="B773" s="12" t="str">
        <f>HYPERLINK("https://twitter.com/brewathought","@brewathought")</f>
        <v>@brewathought</v>
      </c>
      <c r="C773" s="1" t="s">
        <v>3839</v>
      </c>
      <c r="D773" s="1" t="s">
        <v>3840</v>
      </c>
      <c r="E773" s="12" t="str">
        <f>HYPERLINK("https://twitter.com/brewathought/status/1218020351830937600","1218020351830937600")</f>
        <v>1218020351830937600</v>
      </c>
      <c r="F773" s="14"/>
      <c r="G773" s="13" t="s">
        <v>3841</v>
      </c>
      <c r="H773" s="14"/>
      <c r="I773" s="15">
        <v>0.0</v>
      </c>
      <c r="J773" s="15">
        <v>2.0</v>
      </c>
      <c r="K773" s="12" t="str">
        <f>HYPERLINK("http://twitter.com/download/iphone","Twitter for iPhone")</f>
        <v>Twitter for iPhone</v>
      </c>
      <c r="L773" s="16">
        <v>28.0</v>
      </c>
      <c r="M773" s="16">
        <v>63.0</v>
      </c>
      <c r="N773" s="16">
        <v>1.0</v>
      </c>
      <c r="O773" s="17"/>
      <c r="P773" s="18">
        <v>42272.52861111111</v>
      </c>
      <c r="Q773" s="1" t="s">
        <v>1160</v>
      </c>
      <c r="R773" s="1" t="s">
        <v>3842</v>
      </c>
      <c r="S773" s="13" t="s">
        <v>3843</v>
      </c>
      <c r="T773" s="14"/>
      <c r="U773" s="19" t="str">
        <f>HYPERLINK("https://pbs.twimg.com/profile_images/1178631828585844743/W7ekHs2z.jpg","View")</f>
        <v>View</v>
      </c>
      <c r="V773" s="14"/>
      <c r="W773" s="14"/>
      <c r="X773" s="14"/>
      <c r="Y773" s="14"/>
      <c r="Z773" s="14"/>
    </row>
    <row r="774">
      <c r="A774" s="11">
        <v>43846.94804398148</v>
      </c>
      <c r="B774" s="12" t="str">
        <f>HYPERLINK("https://twitter.com/FSonnenberg","@FSonnenberg")</f>
        <v>@FSonnenberg</v>
      </c>
      <c r="C774" s="1" t="s">
        <v>659</v>
      </c>
      <c r="D774" s="1" t="s">
        <v>3844</v>
      </c>
      <c r="E774" s="12" t="str">
        <f>HYPERLINK("https://twitter.com/FSonnenberg/status/1218016387433713665","1218016387433713665")</f>
        <v>1218016387433713665</v>
      </c>
      <c r="F774" s="13" t="s">
        <v>3845</v>
      </c>
      <c r="G774" s="14"/>
      <c r="H774" s="14"/>
      <c r="I774" s="15">
        <v>0.0</v>
      </c>
      <c r="J774" s="15">
        <v>0.0</v>
      </c>
      <c r="K774" s="12" t="str">
        <f>HYPERLINK("https://www.socialjukebox.com","The Social Jukebox")</f>
        <v>The Social Jukebox</v>
      </c>
      <c r="L774" s="16">
        <v>93854.0</v>
      </c>
      <c r="M774" s="16">
        <v>61540.0</v>
      </c>
      <c r="N774" s="16">
        <v>2658.0</v>
      </c>
      <c r="O774" s="17"/>
      <c r="P774" s="18">
        <v>40419.65079861111</v>
      </c>
      <c r="Q774" s="1" t="s">
        <v>662</v>
      </c>
      <c r="R774" s="1" t="s">
        <v>663</v>
      </c>
      <c r="S774" s="13" t="s">
        <v>664</v>
      </c>
      <c r="T774" s="14"/>
      <c r="U774" s="19" t="str">
        <f>HYPERLINK("https://pbs.twimg.com/profile_images/841693592733155328/Hk0DSFtA.jpg","View")</f>
        <v>View</v>
      </c>
      <c r="V774" s="14"/>
      <c r="W774" s="14"/>
      <c r="X774" s="14"/>
      <c r="Y774" s="14"/>
      <c r="Z774" s="14"/>
    </row>
    <row r="775">
      <c r="A775" s="11">
        <v>43846.946863425925</v>
      </c>
      <c r="B775" s="12" t="str">
        <f>HYPERLINK("https://twitter.com/YWCnaturopath","@YWCnaturopath")</f>
        <v>@YWCnaturopath</v>
      </c>
      <c r="C775" s="1" t="s">
        <v>1711</v>
      </c>
      <c r="D775" s="1" t="s">
        <v>3846</v>
      </c>
      <c r="E775" s="12" t="str">
        <f>HYPERLINK("https://twitter.com/YWCnaturopath/status/1218015962550743042","1218015962550743042")</f>
        <v>1218015962550743042</v>
      </c>
      <c r="F775" s="14"/>
      <c r="G775" s="13" t="s">
        <v>3847</v>
      </c>
      <c r="H775" s="14"/>
      <c r="I775" s="15">
        <v>0.0</v>
      </c>
      <c r="J775" s="15">
        <v>2.0</v>
      </c>
      <c r="K775" s="12" t="str">
        <f>HYPERLINK("https://buffer.com","Buffer")</f>
        <v>Buffer</v>
      </c>
      <c r="L775" s="16">
        <v>349.0</v>
      </c>
      <c r="M775" s="16">
        <v>312.0</v>
      </c>
      <c r="N775" s="16">
        <v>40.0</v>
      </c>
      <c r="O775" s="17"/>
      <c r="P775" s="18">
        <v>41301.028125</v>
      </c>
      <c r="Q775" s="1" t="s">
        <v>1714</v>
      </c>
      <c r="R775" s="1" t="s">
        <v>1715</v>
      </c>
      <c r="S775" s="13" t="s">
        <v>1716</v>
      </c>
      <c r="T775" s="14"/>
      <c r="U775" s="19" t="str">
        <f>HYPERLINK("https://pbs.twimg.com/profile_images/720919143722037248/efMOMw6T.jpg","View")</f>
        <v>View</v>
      </c>
      <c r="V775" s="14"/>
      <c r="W775" s="14"/>
      <c r="X775" s="14"/>
      <c r="Y775" s="14"/>
      <c r="Z775" s="14"/>
    </row>
    <row r="776">
      <c r="A776" s="11">
        <v>43846.94447916667</v>
      </c>
      <c r="B776" s="12" t="str">
        <f>HYPERLINK("https://twitter.com/OntheLineAus","@OntheLineAus")</f>
        <v>@OntheLineAus</v>
      </c>
      <c r="C776" s="1" t="s">
        <v>3848</v>
      </c>
      <c r="D776" s="1" t="s">
        <v>3849</v>
      </c>
      <c r="E776" s="12" t="str">
        <f>HYPERLINK("https://twitter.com/OntheLineAus/status/1218015097877983232","1218015097877983232")</f>
        <v>1218015097877983232</v>
      </c>
      <c r="F776" s="13" t="s">
        <v>3850</v>
      </c>
      <c r="G776" s="13" t="s">
        <v>3851</v>
      </c>
      <c r="H776" s="14"/>
      <c r="I776" s="15">
        <v>0.0</v>
      </c>
      <c r="J776" s="15">
        <v>9.0</v>
      </c>
      <c r="K776" s="12" t="str">
        <f>HYPERLINK("https://mobile.twitter.com","Twitter Web App")</f>
        <v>Twitter Web App</v>
      </c>
      <c r="L776" s="16">
        <v>1721.0</v>
      </c>
      <c r="M776" s="16">
        <v>596.0</v>
      </c>
      <c r="N776" s="16">
        <v>34.0</v>
      </c>
      <c r="O776" s="17"/>
      <c r="P776" s="18">
        <v>41352.7846412037</v>
      </c>
      <c r="Q776" s="1" t="s">
        <v>1885</v>
      </c>
      <c r="R776" s="1" t="s">
        <v>3852</v>
      </c>
      <c r="S776" s="13" t="s">
        <v>3853</v>
      </c>
      <c r="T776" s="14"/>
      <c r="U776" s="19" t="str">
        <f>HYPERLINK("https://pbs.twimg.com/profile_images/915692230639157248/Jsr7pJjw.jpg","View")</f>
        <v>View</v>
      </c>
      <c r="V776" s="14"/>
      <c r="W776" s="14"/>
      <c r="X776" s="14"/>
      <c r="Y776" s="14"/>
      <c r="Z776" s="14"/>
    </row>
    <row r="777">
      <c r="A777" s="11">
        <v>43846.935625</v>
      </c>
      <c r="B777" s="12" t="str">
        <f>HYPERLINK("https://twitter.com/ThekidjF","@ThekidjF")</f>
        <v>@ThekidjF</v>
      </c>
      <c r="C777" s="1" t="s">
        <v>3854</v>
      </c>
      <c r="D777" s="1" t="s">
        <v>3855</v>
      </c>
      <c r="E777" s="12" t="str">
        <f>HYPERLINK("https://twitter.com/ThekidjF/status/1218011889742966784","1218011889742966784")</f>
        <v>1218011889742966784</v>
      </c>
      <c r="F777" s="14"/>
      <c r="G777" s="14"/>
      <c r="H777" s="14"/>
      <c r="I777" s="15">
        <v>0.0</v>
      </c>
      <c r="J777" s="15">
        <v>0.0</v>
      </c>
      <c r="K777" s="12" t="str">
        <f>HYPERLINK("http://twitter.com/download/iphone","Twitter for iPhone")</f>
        <v>Twitter for iPhone</v>
      </c>
      <c r="L777" s="16">
        <v>59.0</v>
      </c>
      <c r="M777" s="16">
        <v>297.0</v>
      </c>
      <c r="N777" s="16">
        <v>0.0</v>
      </c>
      <c r="O777" s="17"/>
      <c r="P777" s="18">
        <v>41528.47851851852</v>
      </c>
      <c r="Q777" s="14"/>
      <c r="R777" s="1" t="s">
        <v>3856</v>
      </c>
      <c r="S777" s="14"/>
      <c r="T777" s="14"/>
      <c r="U777" s="19" t="str">
        <f>HYPERLINK("https://pbs.twimg.com/profile_images/1175609571265732608/sSLk4DJK.jpg","View")</f>
        <v>View</v>
      </c>
      <c r="V777" s="14"/>
      <c r="W777" s="14"/>
      <c r="X777" s="14"/>
      <c r="Y777" s="14"/>
      <c r="Z777" s="14"/>
    </row>
    <row r="778">
      <c r="A778" s="11">
        <v>43846.930555555555</v>
      </c>
      <c r="B778" s="12" t="str">
        <f>HYPERLINK("https://twitter.com/TrainingMindful","@TrainingMindful")</f>
        <v>@TrainingMindful</v>
      </c>
      <c r="C778" s="1" t="s">
        <v>94</v>
      </c>
      <c r="D778" s="1" t="s">
        <v>3857</v>
      </c>
      <c r="E778" s="12" t="str">
        <f>HYPERLINK("https://twitter.com/TrainingMindful/status/1218010050939236352","1218010050939236352")</f>
        <v>1218010050939236352</v>
      </c>
      <c r="F778" s="13" t="s">
        <v>3858</v>
      </c>
      <c r="G778" s="14"/>
      <c r="H778" s="14"/>
      <c r="I778" s="15">
        <v>0.0</v>
      </c>
      <c r="J778" s="15">
        <v>2.0</v>
      </c>
      <c r="K778" s="12" t="str">
        <f>HYPERLINK("https://www.socialoomph.com","SocialOomph")</f>
        <v>SocialOomph</v>
      </c>
      <c r="L778" s="16">
        <v>185303.0</v>
      </c>
      <c r="M778" s="16">
        <v>43980.0</v>
      </c>
      <c r="N778" s="16">
        <v>2800.0</v>
      </c>
      <c r="O778" s="17"/>
      <c r="P778" s="18">
        <v>41286.039305555554</v>
      </c>
      <c r="Q778" s="1" t="s">
        <v>97</v>
      </c>
      <c r="R778" s="1" t="s">
        <v>98</v>
      </c>
      <c r="S778" s="13" t="s">
        <v>99</v>
      </c>
      <c r="T778" s="14"/>
      <c r="U778" s="19" t="str">
        <f>HYPERLINK("https://pbs.twimg.com/profile_images/566526924059459584/gdMxDA9x.jpeg","View")</f>
        <v>View</v>
      </c>
      <c r="V778" s="14"/>
      <c r="W778" s="14"/>
      <c r="X778" s="14"/>
      <c r="Y778" s="14"/>
      <c r="Z778" s="14"/>
    </row>
    <row r="779">
      <c r="A779" s="11">
        <v>43846.92711805555</v>
      </c>
      <c r="B779" s="12" t="str">
        <f>HYPERLINK("https://twitter.com/Joseph_Santoro","@Joseph_Santoro")</f>
        <v>@Joseph_Santoro</v>
      </c>
      <c r="C779" s="1" t="s">
        <v>3859</v>
      </c>
      <c r="D779" s="1" t="s">
        <v>3860</v>
      </c>
      <c r="E779" s="12" t="str">
        <f>HYPERLINK("https://twitter.com/Joseph_Santoro/status/1218008806447251458","1218008806447251458")</f>
        <v>1218008806447251458</v>
      </c>
      <c r="F779" s="13" t="s">
        <v>3861</v>
      </c>
      <c r="G779" s="14"/>
      <c r="H779" s="14"/>
      <c r="I779" s="15">
        <v>1.0</v>
      </c>
      <c r="J779" s="15">
        <v>2.0</v>
      </c>
      <c r="K779" s="12" t="str">
        <f>HYPERLINK("https://www.hootsuite.com","Hootsuite Inc.")</f>
        <v>Hootsuite Inc.</v>
      </c>
      <c r="L779" s="16">
        <v>19558.0</v>
      </c>
      <c r="M779" s="16">
        <v>21230.0</v>
      </c>
      <c r="N779" s="16">
        <v>2605.0</v>
      </c>
      <c r="O779" s="17"/>
      <c r="P779" s="18">
        <v>39830.67376157407</v>
      </c>
      <c r="Q779" s="1" t="s">
        <v>3862</v>
      </c>
      <c r="R779" s="1" t="s">
        <v>3863</v>
      </c>
      <c r="S779" s="13" t="s">
        <v>3864</v>
      </c>
      <c r="T779" s="14"/>
      <c r="U779" s="19" t="str">
        <f>HYPERLINK("https://pbs.twimg.com/profile_images/683044513665912832/AfyOCz4e.jpg","View")</f>
        <v>View</v>
      </c>
      <c r="V779" s="14"/>
      <c r="W779" s="14"/>
      <c r="X779" s="14"/>
      <c r="Y779" s="14"/>
      <c r="Z779" s="14"/>
    </row>
    <row r="780">
      <c r="A780" s="11">
        <v>43846.92307870371</v>
      </c>
      <c r="B780" s="12" t="str">
        <f>HYPERLINK("https://twitter.com/manojpandey66","@manojpandey66")</f>
        <v>@manojpandey66</v>
      </c>
      <c r="C780" s="1" t="s">
        <v>1163</v>
      </c>
      <c r="D780" s="1" t="s">
        <v>3865</v>
      </c>
      <c r="E780" s="12" t="str">
        <f>HYPERLINK("https://twitter.com/manojpandey66/status/1218007342475669505","1218007342475669505")</f>
        <v>1218007342475669505</v>
      </c>
      <c r="F780" s="14"/>
      <c r="G780" s="13" t="s">
        <v>3866</v>
      </c>
      <c r="H780" s="14"/>
      <c r="I780" s="15">
        <v>0.0</v>
      </c>
      <c r="J780" s="15">
        <v>1.0</v>
      </c>
      <c r="K780" s="12" t="str">
        <f>HYPERLINK("https://mobile.twitter.com","Twitter Web App")</f>
        <v>Twitter Web App</v>
      </c>
      <c r="L780" s="16">
        <v>1372.0</v>
      </c>
      <c r="M780" s="16">
        <v>555.0</v>
      </c>
      <c r="N780" s="16">
        <v>7.0</v>
      </c>
      <c r="O780" s="17"/>
      <c r="P780" s="18">
        <v>40746.0390625</v>
      </c>
      <c r="Q780" s="1" t="s">
        <v>1166</v>
      </c>
      <c r="R780" s="1" t="s">
        <v>1167</v>
      </c>
      <c r="S780" s="13" t="s">
        <v>1168</v>
      </c>
      <c r="T780" s="14"/>
      <c r="U780" s="19" t="str">
        <f>HYPERLINK("https://pbs.twimg.com/profile_images/1134750107302125569/VwLz3fkd.png","View")</f>
        <v>View</v>
      </c>
      <c r="V780" s="14"/>
      <c r="W780" s="14"/>
      <c r="X780" s="14"/>
      <c r="Y780" s="14"/>
      <c r="Z780" s="14"/>
    </row>
    <row r="781">
      <c r="A781" s="11">
        <v>43846.92203703704</v>
      </c>
      <c r="B781" s="12" t="str">
        <f>HYPERLINK("https://twitter.com/qwikad","@qwikad")</f>
        <v>@qwikad</v>
      </c>
      <c r="C781" s="1" t="s">
        <v>597</v>
      </c>
      <c r="D781" s="1" t="s">
        <v>3867</v>
      </c>
      <c r="E781" s="12" t="str">
        <f>HYPERLINK("https://twitter.com/qwikad/status/1218006965886115841","1218006965886115841")</f>
        <v>1218006965886115841</v>
      </c>
      <c r="F781" s="13" t="s">
        <v>3591</v>
      </c>
      <c r="G781" s="14"/>
      <c r="H781" s="14"/>
      <c r="I781" s="15">
        <v>2.0</v>
      </c>
      <c r="J781" s="15">
        <v>0.0</v>
      </c>
      <c r="K781" s="12" t="str">
        <f>HYPERLINK("http://twitter.com","Twitter Web Client")</f>
        <v>Twitter Web Client</v>
      </c>
      <c r="L781" s="16">
        <v>92771.0</v>
      </c>
      <c r="M781" s="16">
        <v>88718.0</v>
      </c>
      <c r="N781" s="16">
        <v>2798.0</v>
      </c>
      <c r="O781" s="17"/>
      <c r="P781" s="18">
        <v>40937.940358796295</v>
      </c>
      <c r="Q781" s="1" t="s">
        <v>56</v>
      </c>
      <c r="R781" s="1" t="s">
        <v>600</v>
      </c>
      <c r="S781" s="13" t="s">
        <v>601</v>
      </c>
      <c r="T781" s="14"/>
      <c r="U781" s="19" t="str">
        <f>HYPERLINK("https://pbs.twimg.com/profile_images/1191723528246235137/larfZktn.jpg","View")</f>
        <v>View</v>
      </c>
      <c r="V781" s="14"/>
      <c r="W781" s="14"/>
      <c r="X781" s="14"/>
      <c r="Y781" s="14"/>
      <c r="Z781" s="14"/>
    </row>
    <row r="782">
      <c r="A782" s="11">
        <v>43846.91826388889</v>
      </c>
      <c r="B782" s="12" t="str">
        <f>HYPERLINK("https://twitter.com/WiserWorldHubs","@WiserWorldHubs")</f>
        <v>@WiserWorldHubs</v>
      </c>
      <c r="C782" s="1" t="s">
        <v>3868</v>
      </c>
      <c r="D782" s="1" t="s">
        <v>3869</v>
      </c>
      <c r="E782" s="12" t="str">
        <f>HYPERLINK("https://twitter.com/WiserWorldHubs/status/1218005598329098240","1218005598329098240")</f>
        <v>1218005598329098240</v>
      </c>
      <c r="F782" s="13" t="s">
        <v>3870</v>
      </c>
      <c r="G782" s="13" t="s">
        <v>3871</v>
      </c>
      <c r="H782" s="14"/>
      <c r="I782" s="15">
        <v>0.0</v>
      </c>
      <c r="J782" s="15">
        <v>2.0</v>
      </c>
      <c r="K782" s="12" t="str">
        <f>HYPERLINK("https://ifttt.com","IFTTT")</f>
        <v>IFTTT</v>
      </c>
      <c r="L782" s="16">
        <v>693.0</v>
      </c>
      <c r="M782" s="16">
        <v>2743.0</v>
      </c>
      <c r="N782" s="16">
        <v>44.0</v>
      </c>
      <c r="O782" s="17"/>
      <c r="P782" s="18">
        <v>42582.17427083333</v>
      </c>
      <c r="Q782" s="14"/>
      <c r="R782" s="1" t="s">
        <v>3872</v>
      </c>
      <c r="S782" s="13" t="s">
        <v>3873</v>
      </c>
      <c r="T782" s="14"/>
      <c r="U782" s="19" t="str">
        <f>HYPERLINK("https://pbs.twimg.com/profile_images/1027049080277483520/VYloNTmj.jpg","View")</f>
        <v>View</v>
      </c>
      <c r="V782" s="14"/>
      <c r="W782" s="14"/>
      <c r="X782" s="14"/>
      <c r="Y782" s="14"/>
      <c r="Z782" s="14"/>
    </row>
    <row r="783">
      <c r="A783" s="11">
        <v>43846.917546296296</v>
      </c>
      <c r="B783" s="12" t="str">
        <f>HYPERLINK("https://twitter.com/vernsanders","@vernsanders")</f>
        <v>@vernsanders</v>
      </c>
      <c r="C783" s="1" t="s">
        <v>3874</v>
      </c>
      <c r="D783" s="1" t="s">
        <v>3875</v>
      </c>
      <c r="E783" s="12" t="str">
        <f>HYPERLINK("https://twitter.com/vernsanders/status/1218005335182581760","1218005335182581760")</f>
        <v>1218005335182581760</v>
      </c>
      <c r="F783" s="13" t="s">
        <v>3876</v>
      </c>
      <c r="G783" s="13" t="s">
        <v>3877</v>
      </c>
      <c r="H783" s="14"/>
      <c r="I783" s="15">
        <v>0.0</v>
      </c>
      <c r="J783" s="15">
        <v>0.0</v>
      </c>
      <c r="K783" s="12" t="str">
        <f>HYPERLINK("https://www.socialjukebox.com","The Social Jukebox")</f>
        <v>The Social Jukebox</v>
      </c>
      <c r="L783" s="16">
        <v>22178.0</v>
      </c>
      <c r="M783" s="16">
        <v>12971.0</v>
      </c>
      <c r="N783" s="16">
        <v>518.0</v>
      </c>
      <c r="O783" s="17"/>
      <c r="P783" s="18">
        <v>39914.109548611115</v>
      </c>
      <c r="Q783" s="1" t="s">
        <v>3878</v>
      </c>
      <c r="R783" s="1" t="s">
        <v>3879</v>
      </c>
      <c r="S783" s="13" t="s">
        <v>3880</v>
      </c>
      <c r="T783" s="14"/>
      <c r="U783" s="19" t="str">
        <f>HYPERLINK("https://pbs.twimg.com/profile_images/133062750/vernsanders150.jpg","View")</f>
        <v>View</v>
      </c>
      <c r="V783" s="14"/>
      <c r="W783" s="14"/>
      <c r="X783" s="14"/>
      <c r="Y783" s="14"/>
      <c r="Z783" s="14"/>
    </row>
    <row r="784">
      <c r="A784" s="11">
        <v>43846.91674768519</v>
      </c>
      <c r="B784" s="12" t="str">
        <f>HYPERLINK("https://twitter.com/BeatEDs","@BeatEDs")</f>
        <v>@BeatEDs</v>
      </c>
      <c r="C784" s="1" t="s">
        <v>3881</v>
      </c>
      <c r="D784" s="1" t="s">
        <v>3882</v>
      </c>
      <c r="E784" s="12" t="str">
        <f>HYPERLINK("https://twitter.com/BeatEDs/status/1218005047755333634","1218005047755333634")</f>
        <v>1218005047755333634</v>
      </c>
      <c r="F784" s="14"/>
      <c r="G784" s="13" t="s">
        <v>3883</v>
      </c>
      <c r="H784" s="14"/>
      <c r="I784" s="15">
        <v>1.0</v>
      </c>
      <c r="J784" s="15">
        <v>3.0</v>
      </c>
      <c r="K784" s="12" t="str">
        <f>HYPERLINK("https://www.hootsuite.com","Hootsuite Inc.")</f>
        <v>Hootsuite Inc.</v>
      </c>
      <c r="L784" s="16">
        <v>2259.0</v>
      </c>
      <c r="M784" s="16">
        <v>478.0</v>
      </c>
      <c r="N784" s="16">
        <v>46.0</v>
      </c>
      <c r="O784" s="17"/>
      <c r="P784" s="18">
        <v>42485.4747800926</v>
      </c>
      <c r="Q784" s="1" t="s">
        <v>3406</v>
      </c>
      <c r="R784" s="1" t="s">
        <v>3884</v>
      </c>
      <c r="S784" s="13" t="s">
        <v>3885</v>
      </c>
      <c r="T784" s="14"/>
      <c r="U784" s="19" t="str">
        <f>HYPERLINK("https://pbs.twimg.com/profile_images/817418991975006214/Uc7ZwtYa.jpg","View")</f>
        <v>View</v>
      </c>
      <c r="V784" s="14"/>
      <c r="W784" s="14"/>
      <c r="X784" s="14"/>
      <c r="Y784" s="14"/>
      <c r="Z784" s="14"/>
    </row>
    <row r="785">
      <c r="A785" s="11">
        <v>43846.91271990741</v>
      </c>
      <c r="B785" s="12" t="str">
        <f>HYPERLINK("https://twitter.com/toni_bernhard","@toni_bernhard")</f>
        <v>@toni_bernhard</v>
      </c>
      <c r="C785" s="1" t="s">
        <v>749</v>
      </c>
      <c r="D785" s="1" t="s">
        <v>3886</v>
      </c>
      <c r="E785" s="12" t="str">
        <f>HYPERLINK("https://twitter.com/toni_bernhard/status/1218003588758130693","1218003588758130693")</f>
        <v>1218003588758130693</v>
      </c>
      <c r="F785" s="13" t="s">
        <v>751</v>
      </c>
      <c r="G785" s="14"/>
      <c r="H785" s="14"/>
      <c r="I785" s="15">
        <v>1.0</v>
      </c>
      <c r="J785" s="15">
        <v>5.0</v>
      </c>
      <c r="K785" s="12" t="str">
        <f>HYPERLINK("http://twitter.com","Twitter Web Client")</f>
        <v>Twitter Web Client</v>
      </c>
      <c r="L785" s="16">
        <v>4965.0</v>
      </c>
      <c r="M785" s="16">
        <v>1524.0</v>
      </c>
      <c r="N785" s="16">
        <v>331.0</v>
      </c>
      <c r="O785" s="17"/>
      <c r="P785" s="18">
        <v>40382.55401620371</v>
      </c>
      <c r="Q785" s="14"/>
      <c r="R785" s="1" t="s">
        <v>752</v>
      </c>
      <c r="S785" s="13" t="s">
        <v>753</v>
      </c>
      <c r="T785" s="14"/>
      <c r="U785" s="19" t="str">
        <f>HYPERLINK("https://pbs.twimg.com/profile_images/759869867449196544/dEV7yImo.jpg","View")</f>
        <v>View</v>
      </c>
      <c r="V785" s="14"/>
      <c r="W785" s="14"/>
      <c r="X785" s="14"/>
      <c r="Y785" s="14"/>
      <c r="Z785" s="14"/>
    </row>
    <row r="786">
      <c r="A786" s="11">
        <v>43846.90167824074</v>
      </c>
      <c r="B786" s="12" t="str">
        <f>HYPERLINK("https://twitter.com/scicommcat","@scicommcat")</f>
        <v>@scicommcat</v>
      </c>
      <c r="C786" s="1" t="s">
        <v>3887</v>
      </c>
      <c r="D786" s="1" t="s">
        <v>3888</v>
      </c>
      <c r="E786" s="12" t="str">
        <f>HYPERLINK("https://twitter.com/scicommcat/status/1217999588843540481","1217999588843540481")</f>
        <v>1217999588843540481</v>
      </c>
      <c r="F786" s="1" t="s">
        <v>3889</v>
      </c>
      <c r="G786" s="14"/>
      <c r="H786" s="14"/>
      <c r="I786" s="15">
        <v>0.0</v>
      </c>
      <c r="J786" s="15">
        <v>1.0</v>
      </c>
      <c r="K786" s="12" t="str">
        <f>HYPERLINK("https://mobile.twitter.com","Twitter Web App")</f>
        <v>Twitter Web App</v>
      </c>
      <c r="L786" s="16">
        <v>231.0</v>
      </c>
      <c r="M786" s="16">
        <v>266.0</v>
      </c>
      <c r="N786" s="16">
        <v>13.0</v>
      </c>
      <c r="O786" s="17"/>
      <c r="P786" s="18">
        <v>42280.76883101852</v>
      </c>
      <c r="Q786" s="1" t="s">
        <v>3778</v>
      </c>
      <c r="R786" s="1" t="s">
        <v>3890</v>
      </c>
      <c r="S786" s="14"/>
      <c r="T786" s="14"/>
      <c r="U786" s="19" t="str">
        <f>HYPERLINK("https://pbs.twimg.com/profile_images/909263835554394112/1LdKUWst.jpg","View")</f>
        <v>View</v>
      </c>
      <c r="V786" s="14"/>
      <c r="W786" s="14"/>
      <c r="X786" s="14"/>
      <c r="Y786" s="14"/>
      <c r="Z786" s="14"/>
    </row>
    <row r="787">
      <c r="A787" s="11">
        <v>43846.89592592593</v>
      </c>
      <c r="B787" s="12" t="str">
        <f>HYPERLINK("https://twitter.com/MindShiftKQED","@MindShiftKQED")</f>
        <v>@MindShiftKQED</v>
      </c>
      <c r="C787" s="1" t="s">
        <v>3891</v>
      </c>
      <c r="D787" s="1" t="s">
        <v>3892</v>
      </c>
      <c r="E787" s="12" t="str">
        <f>HYPERLINK("https://twitter.com/MindShiftKQED/status/1217997502357569539","1217997502357569539")</f>
        <v>1217997502357569539</v>
      </c>
      <c r="F787" s="13" t="s">
        <v>3608</v>
      </c>
      <c r="G787" s="14"/>
      <c r="H787" s="14"/>
      <c r="I787" s="15">
        <v>84.0</v>
      </c>
      <c r="J787" s="15">
        <v>144.0</v>
      </c>
      <c r="K787" s="12" t="str">
        <f>HYPERLINK("https://www.hootsuite.com","Hootsuite Inc.")</f>
        <v>Hootsuite Inc.</v>
      </c>
      <c r="L787" s="16">
        <v>360189.0</v>
      </c>
      <c r="M787" s="16">
        <v>1498.0</v>
      </c>
      <c r="N787" s="16">
        <v>6080.0</v>
      </c>
      <c r="O787" s="20" t="s">
        <v>38</v>
      </c>
      <c r="P787" s="18">
        <v>40406.73826388889</v>
      </c>
      <c r="Q787" s="1" t="s">
        <v>2626</v>
      </c>
      <c r="R787" s="1" t="s">
        <v>3893</v>
      </c>
      <c r="S787" s="13" t="s">
        <v>3894</v>
      </c>
      <c r="T787" s="14"/>
      <c r="U787" s="19" t="str">
        <f>HYPERLINK("https://pbs.twimg.com/profile_images/3705746353/36837966aae0d38b1c291e67df7b6400.png","View")</f>
        <v>View</v>
      </c>
      <c r="V787" s="14"/>
      <c r="W787" s="14"/>
      <c r="X787" s="14"/>
      <c r="Y787" s="14"/>
      <c r="Z787" s="14"/>
    </row>
    <row r="788">
      <c r="A788" s="11">
        <v>43846.88333333333</v>
      </c>
      <c r="B788" s="12" t="str">
        <f>HYPERLINK("https://twitter.com/SkeinandStory","@SkeinandStory")</f>
        <v>@SkeinandStory</v>
      </c>
      <c r="C788" s="1" t="s">
        <v>650</v>
      </c>
      <c r="D788" s="1" t="s">
        <v>3895</v>
      </c>
      <c r="E788" s="12" t="str">
        <f>HYPERLINK("https://twitter.com/SkeinandStory/status/1217992937830674432","1217992937830674432")</f>
        <v>1217992937830674432</v>
      </c>
      <c r="F788" s="13" t="s">
        <v>652</v>
      </c>
      <c r="G788" s="13" t="s">
        <v>3896</v>
      </c>
      <c r="H788" s="14"/>
      <c r="I788" s="15">
        <v>0.0</v>
      </c>
      <c r="J788" s="15">
        <v>1.0</v>
      </c>
      <c r="K788" s="12" t="str">
        <f>HYPERLINK("https://about.twitter.com/products/tweetdeck","TweetDeck")</f>
        <v>TweetDeck</v>
      </c>
      <c r="L788" s="16">
        <v>683.0</v>
      </c>
      <c r="M788" s="16">
        <v>2889.0</v>
      </c>
      <c r="N788" s="16">
        <v>3.0</v>
      </c>
      <c r="O788" s="17"/>
      <c r="P788" s="18">
        <v>42960.59641203703</v>
      </c>
      <c r="Q788" s="1" t="s">
        <v>654</v>
      </c>
      <c r="R788" s="1" t="s">
        <v>655</v>
      </c>
      <c r="S788" s="13" t="s">
        <v>656</v>
      </c>
      <c r="T788" s="14"/>
      <c r="U788" s="19" t="str">
        <f>HYPERLINK("https://pbs.twimg.com/profile_images/896822059203997696/C3tGXAFp.jpg","View")</f>
        <v>View</v>
      </c>
      <c r="V788" s="14"/>
      <c r="W788" s="14"/>
      <c r="X788" s="14"/>
      <c r="Y788" s="14"/>
      <c r="Z788" s="14"/>
    </row>
    <row r="789">
      <c r="A789" s="11">
        <v>43846.88153935185</v>
      </c>
      <c r="B789" s="12" t="str">
        <f>HYPERLINK("https://twitter.com/yatinjpatel","@yatinjpatel")</f>
        <v>@yatinjpatel</v>
      </c>
      <c r="C789" s="1" t="s">
        <v>3897</v>
      </c>
      <c r="D789" s="1" t="s">
        <v>3898</v>
      </c>
      <c r="E789" s="12" t="str">
        <f>HYPERLINK("https://twitter.com/yatinjpatel/status/1217992290746224641","1217992290746224641")</f>
        <v>1217992290746224641</v>
      </c>
      <c r="F789" s="13" t="s">
        <v>3899</v>
      </c>
      <c r="G789" s="14"/>
      <c r="H789" s="14"/>
      <c r="I789" s="15">
        <v>1.0</v>
      </c>
      <c r="J789" s="15">
        <v>0.0</v>
      </c>
      <c r="K789" s="12" t="str">
        <f t="shared" ref="K789:K790" si="81">HYPERLINK("https://mobile.twitter.com","Twitter Web App")</f>
        <v>Twitter Web App</v>
      </c>
      <c r="L789" s="16">
        <v>23081.0</v>
      </c>
      <c r="M789" s="16">
        <v>5660.0</v>
      </c>
      <c r="N789" s="16">
        <v>124.0</v>
      </c>
      <c r="O789" s="17"/>
      <c r="P789" s="18">
        <v>39880.04207175926</v>
      </c>
      <c r="Q789" s="1" t="s">
        <v>3900</v>
      </c>
      <c r="R789" s="1" t="s">
        <v>3901</v>
      </c>
      <c r="S789" s="13" t="s">
        <v>3902</v>
      </c>
      <c r="T789" s="14"/>
      <c r="U789" s="19" t="str">
        <f>HYPERLINK("https://pbs.twimg.com/profile_images/792429460825972736/WgoEyZ2q.jpg","View")</f>
        <v>View</v>
      </c>
      <c r="V789" s="14"/>
      <c r="W789" s="14"/>
      <c r="X789" s="14"/>
      <c r="Y789" s="14"/>
      <c r="Z789" s="14"/>
    </row>
    <row r="790">
      <c r="A790" s="11">
        <v>43846.87918981482</v>
      </c>
      <c r="B790" s="12" t="str">
        <f>HYPERLINK("https://twitter.com/dharmapocalypse","@dharmapocalypse")</f>
        <v>@dharmapocalypse</v>
      </c>
      <c r="C790" s="1" t="s">
        <v>3903</v>
      </c>
      <c r="D790" s="1" t="s">
        <v>3904</v>
      </c>
      <c r="E790" s="12" t="str">
        <f>HYPERLINK("https://twitter.com/dharmapocalypse/status/1217991436630679552","1217991436630679552")</f>
        <v>1217991436630679552</v>
      </c>
      <c r="F790" s="14"/>
      <c r="G790" s="14"/>
      <c r="H790" s="14"/>
      <c r="I790" s="15">
        <v>2.0</v>
      </c>
      <c r="J790" s="15">
        <v>5.0</v>
      </c>
      <c r="K790" s="12" t="str">
        <f t="shared" si="81"/>
        <v>Twitter Web App</v>
      </c>
      <c r="L790" s="16">
        <v>229.0</v>
      </c>
      <c r="M790" s="16">
        <v>973.0</v>
      </c>
      <c r="N790" s="16">
        <v>3.0</v>
      </c>
      <c r="O790" s="17"/>
      <c r="P790" s="18">
        <v>43797.6325462963</v>
      </c>
      <c r="Q790" s="1" t="s">
        <v>3905</v>
      </c>
      <c r="R790" s="1" t="s">
        <v>3906</v>
      </c>
      <c r="S790" s="13" t="s">
        <v>3907</v>
      </c>
      <c r="T790" s="14"/>
      <c r="U790" s="19" t="str">
        <f>HYPERLINK("https://pbs.twimg.com/profile_images/1208289898547077120/xgs_qrCn.jpg","View")</f>
        <v>View</v>
      </c>
      <c r="V790" s="14"/>
      <c r="W790" s="14"/>
      <c r="X790" s="14"/>
      <c r="Y790" s="14"/>
      <c r="Z790" s="14"/>
    </row>
    <row r="791">
      <c r="A791" s="11">
        <v>43846.87510416667</v>
      </c>
      <c r="B791" s="12" t="str">
        <f>HYPERLINK("https://twitter.com/EnTranceHypno","@EnTranceHypno")</f>
        <v>@EnTranceHypno</v>
      </c>
      <c r="C791" s="1" t="s">
        <v>3908</v>
      </c>
      <c r="D791" s="1" t="s">
        <v>3909</v>
      </c>
      <c r="E791" s="12" t="str">
        <f>HYPERLINK("https://twitter.com/EnTranceHypno/status/1217989957270241280","1217989957270241280")</f>
        <v>1217989957270241280</v>
      </c>
      <c r="F791" s="13" t="s">
        <v>3910</v>
      </c>
      <c r="G791" s="14"/>
      <c r="H791" s="14"/>
      <c r="I791" s="15">
        <v>0.0</v>
      </c>
      <c r="J791" s="15">
        <v>1.0</v>
      </c>
      <c r="K791" s="12" t="str">
        <f>HYPERLINK("https://buffer.com","Buffer")</f>
        <v>Buffer</v>
      </c>
      <c r="L791" s="16">
        <v>4037.0</v>
      </c>
      <c r="M791" s="16">
        <v>4790.0</v>
      </c>
      <c r="N791" s="16">
        <v>78.0</v>
      </c>
      <c r="O791" s="17"/>
      <c r="P791" s="18">
        <v>42163.66237268518</v>
      </c>
      <c r="Q791" s="1" t="s">
        <v>3911</v>
      </c>
      <c r="R791" s="1" t="s">
        <v>3912</v>
      </c>
      <c r="S791" s="13" t="s">
        <v>3913</v>
      </c>
      <c r="T791" s="14"/>
      <c r="U791" s="19" t="str">
        <f>HYPERLINK("https://pbs.twimg.com/profile_images/735005628146409472/JV-RqJcr.jpg","View")</f>
        <v>View</v>
      </c>
      <c r="V791" s="14"/>
      <c r="W791" s="14"/>
      <c r="X791" s="14"/>
      <c r="Y791" s="14"/>
      <c r="Z791" s="14"/>
    </row>
    <row r="792">
      <c r="A792" s="11">
        <v>43846.875069444446</v>
      </c>
      <c r="B792" s="12" t="str">
        <f>HYPERLINK("https://twitter.com/Treasure_Map","@Treasure_Map")</f>
        <v>@Treasure_Map</v>
      </c>
      <c r="C792" s="1" t="s">
        <v>3914</v>
      </c>
      <c r="D792" s="1" t="s">
        <v>3915</v>
      </c>
      <c r="E792" s="12" t="str">
        <f>HYPERLINK("https://twitter.com/Treasure_Map/status/1217989944519557120","1217989944519557120")</f>
        <v>1217989944519557120</v>
      </c>
      <c r="F792" s="13" t="s">
        <v>3916</v>
      </c>
      <c r="G792" s="14"/>
      <c r="H792" s="14"/>
      <c r="I792" s="15">
        <v>0.0</v>
      </c>
      <c r="J792" s="15">
        <v>1.0</v>
      </c>
      <c r="K792" s="12" t="str">
        <f t="shared" ref="K792:K793" si="82">HYPERLINK("https://www.socialoomph.com","SocialOomph")</f>
        <v>SocialOomph</v>
      </c>
      <c r="L792" s="16">
        <v>19519.0</v>
      </c>
      <c r="M792" s="16">
        <v>22599.0</v>
      </c>
      <c r="N792" s="16">
        <v>412.0</v>
      </c>
      <c r="O792" s="17"/>
      <c r="P792" s="18">
        <v>40427.87326388889</v>
      </c>
      <c r="Q792" s="1" t="s">
        <v>3917</v>
      </c>
      <c r="R792" s="1" t="s">
        <v>3918</v>
      </c>
      <c r="S792" s="14"/>
      <c r="T792" s="14"/>
      <c r="U792" s="19" t="str">
        <f>HYPERLINK("https://pbs.twimg.com/profile_images/1118774392/TwitterProfile.jpg","View")</f>
        <v>View</v>
      </c>
      <c r="V792" s="14"/>
      <c r="W792" s="14"/>
      <c r="X792" s="14"/>
      <c r="Y792" s="14"/>
      <c r="Z792" s="14"/>
    </row>
    <row r="793">
      <c r="A793" s="11">
        <v>43846.875069444446</v>
      </c>
      <c r="B793" s="12" t="str">
        <f>HYPERLINK("https://twitter.com/QuickGoodFortun","@QuickGoodFortun")</f>
        <v>@QuickGoodFortun</v>
      </c>
      <c r="C793" s="1" t="s">
        <v>1773</v>
      </c>
      <c r="D793" s="1" t="s">
        <v>3919</v>
      </c>
      <c r="E793" s="12" t="str">
        <f>HYPERLINK("https://twitter.com/QuickGoodFortun/status/1217989942758068224","1217989942758068224")</f>
        <v>1217989942758068224</v>
      </c>
      <c r="F793" s="13" t="s">
        <v>3920</v>
      </c>
      <c r="G793" s="14"/>
      <c r="H793" s="14"/>
      <c r="I793" s="15">
        <v>0.0</v>
      </c>
      <c r="J793" s="15">
        <v>0.0</v>
      </c>
      <c r="K793" s="12" t="str">
        <f t="shared" si="82"/>
        <v>SocialOomph</v>
      </c>
      <c r="L793" s="16">
        <v>21867.0</v>
      </c>
      <c r="M793" s="16">
        <v>25598.0</v>
      </c>
      <c r="N793" s="16">
        <v>546.0</v>
      </c>
      <c r="O793" s="17"/>
      <c r="P793" s="18">
        <v>40189.6466087963</v>
      </c>
      <c r="Q793" s="1" t="s">
        <v>1776</v>
      </c>
      <c r="R793" s="1" t="s">
        <v>3921</v>
      </c>
      <c r="S793" s="13" t="s">
        <v>1778</v>
      </c>
      <c r="T793" s="14"/>
      <c r="U793" s="19" t="str">
        <f>HYPERLINK("https://pbs.twimg.com/profile_images/625051315/janecky-80-80.jpg","View")</f>
        <v>View</v>
      </c>
      <c r="V793" s="14"/>
      <c r="W793" s="14"/>
      <c r="X793" s="14"/>
      <c r="Y793" s="14"/>
      <c r="Z793" s="14"/>
    </row>
    <row r="794">
      <c r="A794" s="11">
        <v>43846.86813657408</v>
      </c>
      <c r="B794" s="12" t="str">
        <f>HYPERLINK("https://twitter.com/smallbizbonfire","@smallbizbonfire")</f>
        <v>@smallbizbonfire</v>
      </c>
      <c r="C794" s="1" t="s">
        <v>210</v>
      </c>
      <c r="D794" s="1" t="s">
        <v>211</v>
      </c>
      <c r="E794" s="12" t="str">
        <f>HYPERLINK("https://twitter.com/smallbizbonfire/status/1217987430541877248","1217987430541877248")</f>
        <v>1217987430541877248</v>
      </c>
      <c r="F794" s="13" t="s">
        <v>212</v>
      </c>
      <c r="G794" s="14"/>
      <c r="H794" s="14"/>
      <c r="I794" s="15">
        <v>1.0</v>
      </c>
      <c r="J794" s="15">
        <v>1.0</v>
      </c>
      <c r="K794" s="12" t="str">
        <f>HYPERLINK("https://www.hootsuite.com","Hootsuite Inc.")</f>
        <v>Hootsuite Inc.</v>
      </c>
      <c r="L794" s="16">
        <v>21534.0</v>
      </c>
      <c r="M794" s="16">
        <v>17263.0</v>
      </c>
      <c r="N794" s="16">
        <v>1514.0</v>
      </c>
      <c r="O794" s="17"/>
      <c r="P794" s="18">
        <v>40264.32712962963</v>
      </c>
      <c r="Q794" s="1" t="s">
        <v>213</v>
      </c>
      <c r="R794" s="1" t="s">
        <v>214</v>
      </c>
      <c r="S794" s="13" t="s">
        <v>215</v>
      </c>
      <c r="T794" s="14"/>
      <c r="U794" s="19" t="str">
        <f>HYPERLINK("https://pbs.twimg.com/profile_images/952207473024397313/qduxv6wU.jpg","View")</f>
        <v>View</v>
      </c>
      <c r="V794" s="14"/>
      <c r="W794" s="14"/>
      <c r="X794" s="14"/>
      <c r="Y794" s="14"/>
      <c r="Z794" s="14"/>
    </row>
    <row r="795">
      <c r="A795" s="11">
        <v>43846.86679398148</v>
      </c>
      <c r="B795" s="12" t="str">
        <f>HYPERLINK("https://twitter.com/BobbiDunn","@BobbiDunn")</f>
        <v>@BobbiDunn</v>
      </c>
      <c r="C795" s="1" t="s">
        <v>3922</v>
      </c>
      <c r="D795" s="1" t="s">
        <v>3923</v>
      </c>
      <c r="E795" s="12" t="str">
        <f>HYPERLINK("https://twitter.com/BobbiDunn/status/1217986946938691584","1217986946938691584")</f>
        <v>1217986946938691584</v>
      </c>
      <c r="F795" s="13" t="s">
        <v>3924</v>
      </c>
      <c r="G795" s="13" t="s">
        <v>3925</v>
      </c>
      <c r="H795" s="14"/>
      <c r="I795" s="15">
        <v>0.0</v>
      </c>
      <c r="J795" s="15">
        <v>0.0</v>
      </c>
      <c r="K795" s="12" t="str">
        <f>HYPERLINK("http://www.edgetheory.com","EdgeTheory")</f>
        <v>EdgeTheory</v>
      </c>
      <c r="L795" s="16">
        <v>39.0</v>
      </c>
      <c r="M795" s="16">
        <v>51.0</v>
      </c>
      <c r="N795" s="16">
        <v>16.0</v>
      </c>
      <c r="O795" s="17"/>
      <c r="P795" s="18">
        <v>40027.68440972222</v>
      </c>
      <c r="Q795" s="14"/>
      <c r="R795" s="14"/>
      <c r="S795" s="14"/>
      <c r="T795" s="14"/>
      <c r="U795" s="19" t="str">
        <f>HYPERLINK("https://pbs.twimg.com/profile_images/776445093083394048/BJZhUFdg.jpg","View")</f>
        <v>View</v>
      </c>
      <c r="V795" s="14"/>
      <c r="W795" s="14"/>
      <c r="X795" s="14"/>
      <c r="Y795" s="14"/>
      <c r="Z795" s="14"/>
    </row>
    <row r="796">
      <c r="A796" s="11">
        <v>43846.86466435185</v>
      </c>
      <c r="B796" s="12" t="str">
        <f>HYPERLINK("https://twitter.com/RecoveryInst","@RecoveryInst")</f>
        <v>@RecoveryInst</v>
      </c>
      <c r="C796" s="1" t="s">
        <v>3926</v>
      </c>
      <c r="D796" s="1" t="s">
        <v>3927</v>
      </c>
      <c r="E796" s="12" t="str">
        <f>HYPERLINK("https://twitter.com/RecoveryInst/status/1217986173014085637","1217986173014085637")</f>
        <v>1217986173014085637</v>
      </c>
      <c r="F796" s="13" t="s">
        <v>3928</v>
      </c>
      <c r="G796" s="13" t="s">
        <v>3929</v>
      </c>
      <c r="H796" s="14"/>
      <c r="I796" s="15">
        <v>1.0</v>
      </c>
      <c r="J796" s="15">
        <v>0.0</v>
      </c>
      <c r="K796" s="12" t="str">
        <f>HYPERLINK("https://www.hootsuite.com","Hootsuite Inc.")</f>
        <v>Hootsuite Inc.</v>
      </c>
      <c r="L796" s="16">
        <v>16072.0</v>
      </c>
      <c r="M796" s="16">
        <v>11824.0</v>
      </c>
      <c r="N796" s="16">
        <v>320.0</v>
      </c>
      <c r="O796" s="17"/>
      <c r="P796" s="18">
        <v>40935.4896875</v>
      </c>
      <c r="Q796" s="1" t="s">
        <v>3930</v>
      </c>
      <c r="R796" s="1" t="s">
        <v>3931</v>
      </c>
      <c r="S796" s="13" t="s">
        <v>3932</v>
      </c>
      <c r="T796" s="14"/>
      <c r="U796" s="19" t="str">
        <f>HYPERLINK("https://pbs.twimg.com/profile_images/1785246947/RSItwitPROFPIC.jpg","View")</f>
        <v>View</v>
      </c>
      <c r="V796" s="14"/>
      <c r="W796" s="14"/>
      <c r="X796" s="14"/>
      <c r="Y796" s="14"/>
      <c r="Z796" s="14"/>
    </row>
    <row r="797">
      <c r="A797" s="11">
        <v>43846.86207175926</v>
      </c>
      <c r="B797" s="12" t="str">
        <f>HYPERLINK("https://twitter.com/4Hoodsmen","@4Hoodsmen")</f>
        <v>@4Hoodsmen</v>
      </c>
      <c r="C797" s="1" t="s">
        <v>3933</v>
      </c>
      <c r="D797" s="1" t="s">
        <v>3934</v>
      </c>
      <c r="E797" s="12" t="str">
        <f>HYPERLINK("https://twitter.com/4Hoodsmen/status/1217985234941227008","1217985234941227008")</f>
        <v>1217985234941227008</v>
      </c>
      <c r="F797" s="13" t="s">
        <v>3935</v>
      </c>
      <c r="G797" s="13" t="s">
        <v>3936</v>
      </c>
      <c r="H797" s="14"/>
      <c r="I797" s="15">
        <v>5.0</v>
      </c>
      <c r="J797" s="15">
        <v>0.0</v>
      </c>
      <c r="K797" s="12" t="str">
        <f>HYPERLINK("https://mobile.twitter.com","Twitter Web App")</f>
        <v>Twitter Web App</v>
      </c>
      <c r="L797" s="16">
        <v>23.0</v>
      </c>
      <c r="M797" s="16">
        <v>100.0</v>
      </c>
      <c r="N797" s="16">
        <v>0.0</v>
      </c>
      <c r="O797" s="17"/>
      <c r="P797" s="18">
        <v>43466.72234953704</v>
      </c>
      <c r="Q797" s="14"/>
      <c r="R797" s="1" t="s">
        <v>3937</v>
      </c>
      <c r="S797" s="13" t="s">
        <v>3938</v>
      </c>
      <c r="T797" s="14"/>
      <c r="U797" s="19" t="str">
        <f>HYPERLINK("https://pbs.twimg.com/profile_images/1082118181832060928/tY7-wDkg.jpg","View")</f>
        <v>View</v>
      </c>
      <c r="V797" s="14"/>
      <c r="W797" s="14"/>
      <c r="X797" s="14"/>
      <c r="Y797" s="14"/>
      <c r="Z797" s="14"/>
    </row>
    <row r="798">
      <c r="A798" s="11">
        <v>43846.86162037037</v>
      </c>
      <c r="B798" s="12" t="str">
        <f>HYPERLINK("https://twitter.com/ag21sept","@ag21sept")</f>
        <v>@ag21sept</v>
      </c>
      <c r="C798" s="1" t="s">
        <v>3939</v>
      </c>
      <c r="D798" s="1" t="s">
        <v>3940</v>
      </c>
      <c r="E798" s="12" t="str">
        <f>HYPERLINK("https://twitter.com/ag21sept/status/1217985070851612672","1217985070851612672")</f>
        <v>1217985070851612672</v>
      </c>
      <c r="F798" s="13" t="s">
        <v>3941</v>
      </c>
      <c r="G798" s="14"/>
      <c r="H798" s="12" t="str">
        <f>HYPERLINK("https://ctrlq.org/maps/address/#21.48443494,-158.18494685","Map")</f>
        <v>Map</v>
      </c>
      <c r="I798" s="15">
        <v>0.0</v>
      </c>
      <c r="J798" s="15">
        <v>1.0</v>
      </c>
      <c r="K798" s="12" t="str">
        <f>HYPERLINK("http://instagram.com","Instagram")</f>
        <v>Instagram</v>
      </c>
      <c r="L798" s="16">
        <v>1759.0</v>
      </c>
      <c r="M798" s="16">
        <v>812.0</v>
      </c>
      <c r="N798" s="16">
        <v>13.0</v>
      </c>
      <c r="O798" s="17"/>
      <c r="P798" s="18">
        <v>39989.76429398148</v>
      </c>
      <c r="Q798" s="1" t="s">
        <v>3942</v>
      </c>
      <c r="R798" s="1" t="s">
        <v>3943</v>
      </c>
      <c r="S798" s="13" t="s">
        <v>3944</v>
      </c>
      <c r="T798" s="14"/>
      <c r="U798" s="19" t="str">
        <f>HYPERLINK("https://pbs.twimg.com/profile_images/1183873380035940352/iXuZ8mTf.jpg","View")</f>
        <v>View</v>
      </c>
      <c r="V798" s="14"/>
      <c r="W798" s="14"/>
      <c r="X798" s="14"/>
      <c r="Y798" s="14"/>
      <c r="Z798" s="14"/>
    </row>
    <row r="799">
      <c r="A799" s="11">
        <v>43846.85905092592</v>
      </c>
      <c r="B799" s="12" t="str">
        <f>HYPERLINK("https://twitter.com/AmandaDufries","@AmandaDufries")</f>
        <v>@AmandaDufries</v>
      </c>
      <c r="C799" s="1" t="s">
        <v>3945</v>
      </c>
      <c r="D799" s="1" t="s">
        <v>3946</v>
      </c>
      <c r="E799" s="12" t="str">
        <f>HYPERLINK("https://twitter.com/AmandaDufries/status/1217984139095429122","1217984139095429122")</f>
        <v>1217984139095429122</v>
      </c>
      <c r="F799" s="14"/>
      <c r="G799" s="13" t="s">
        <v>3947</v>
      </c>
      <c r="H799" s="14"/>
      <c r="I799" s="15">
        <v>0.0</v>
      </c>
      <c r="J799" s="15">
        <v>0.0</v>
      </c>
      <c r="K799" s="12" t="str">
        <f>HYPERLINK("https://buffer.com","Buffer")</f>
        <v>Buffer</v>
      </c>
      <c r="L799" s="16">
        <v>8.0</v>
      </c>
      <c r="M799" s="16">
        <v>7.0</v>
      </c>
      <c r="N799" s="16">
        <v>0.0</v>
      </c>
      <c r="O799" s="17"/>
      <c r="P799" s="18">
        <v>43696.923530092594</v>
      </c>
      <c r="Q799" s="14"/>
      <c r="R799" s="1" t="s">
        <v>3948</v>
      </c>
      <c r="S799" s="14"/>
      <c r="T799" s="14"/>
      <c r="U799" s="19" t="str">
        <f>HYPERLINK("https://pbs.twimg.com/profile_images/1163634356528844800/JUEovZn8.jpg","View")</f>
        <v>View</v>
      </c>
      <c r="V799" s="14"/>
      <c r="W799" s="14"/>
      <c r="X799" s="14"/>
      <c r="Y799" s="14"/>
      <c r="Z799" s="14"/>
    </row>
    <row r="800">
      <c r="A800" s="11">
        <v>43846.85028935185</v>
      </c>
      <c r="B800" s="12" t="str">
        <f>HYPERLINK("https://twitter.com/aboutmybrain","@aboutmybrain")</f>
        <v>@aboutmybrain</v>
      </c>
      <c r="C800" s="1" t="s">
        <v>3949</v>
      </c>
      <c r="D800" s="1" t="s">
        <v>3950</v>
      </c>
      <c r="E800" s="12" t="str">
        <f>HYPERLINK("https://twitter.com/aboutmybrain/status/1217980963289997315","1217980963289997315")</f>
        <v>1217980963289997315</v>
      </c>
      <c r="F800" s="13" t="s">
        <v>3951</v>
      </c>
      <c r="G800" s="14"/>
      <c r="H800" s="14"/>
      <c r="I800" s="15">
        <v>0.0</v>
      </c>
      <c r="J800" s="15">
        <v>0.0</v>
      </c>
      <c r="K800" s="12" t="str">
        <f>HYPERLINK("https://coschedule.com","CoSchedule")</f>
        <v>CoSchedule</v>
      </c>
      <c r="L800" s="16">
        <v>5965.0</v>
      </c>
      <c r="M800" s="16">
        <v>1473.0</v>
      </c>
      <c r="N800" s="16">
        <v>132.0</v>
      </c>
      <c r="O800" s="17"/>
      <c r="P800" s="18">
        <v>40090.03475694444</v>
      </c>
      <c r="Q800" s="1" t="s">
        <v>51</v>
      </c>
      <c r="R800" s="1" t="s">
        <v>3952</v>
      </c>
      <c r="S800" s="13" t="s">
        <v>3953</v>
      </c>
      <c r="T800" s="14"/>
      <c r="U800" s="19" t="str">
        <f>HYPERLINK("https://pbs.twimg.com/profile_images/470549925399232512/torCKHbz.jpeg","View")</f>
        <v>View</v>
      </c>
      <c r="V800" s="14"/>
      <c r="W800" s="14"/>
      <c r="X800" s="14"/>
      <c r="Y800" s="14"/>
      <c r="Z800" s="14"/>
    </row>
    <row r="801">
      <c r="A801" s="11">
        <v>43846.848020833335</v>
      </c>
      <c r="B801" s="12" t="str">
        <f>HYPERLINK("https://twitter.com/CredibleMind","@CredibleMind")</f>
        <v>@CredibleMind</v>
      </c>
      <c r="C801" s="1" t="s">
        <v>1868</v>
      </c>
      <c r="D801" s="1" t="s">
        <v>3954</v>
      </c>
      <c r="E801" s="12" t="str">
        <f>HYPERLINK("https://twitter.com/CredibleMind/status/1217980143878037505","1217980143878037505")</f>
        <v>1217980143878037505</v>
      </c>
      <c r="F801" s="13" t="s">
        <v>3955</v>
      </c>
      <c r="G801" s="14"/>
      <c r="H801" s="14"/>
      <c r="I801" s="15">
        <v>0.0</v>
      </c>
      <c r="J801" s="15">
        <v>1.0</v>
      </c>
      <c r="K801" s="12" t="str">
        <f>HYPERLINK("https://mobile.twitter.com","Twitter Web App")</f>
        <v>Twitter Web App</v>
      </c>
      <c r="L801" s="16">
        <v>42.0</v>
      </c>
      <c r="M801" s="16">
        <v>10.0</v>
      </c>
      <c r="N801" s="16">
        <v>0.0</v>
      </c>
      <c r="O801" s="17"/>
      <c r="P801" s="18">
        <v>43531.679861111115</v>
      </c>
      <c r="Q801" s="14"/>
      <c r="R801" s="1" t="s">
        <v>1871</v>
      </c>
      <c r="S801" s="14"/>
      <c r="T801" s="14"/>
      <c r="U801" s="19" t="str">
        <f>HYPERLINK("https://pbs.twimg.com/profile_images/1131322403664015360/e6c3gIvH.png","View")</f>
        <v>View</v>
      </c>
      <c r="V801" s="14"/>
      <c r="W801" s="14"/>
      <c r="X801" s="14"/>
      <c r="Y801" s="14"/>
      <c r="Z801" s="14"/>
    </row>
    <row r="802">
      <c r="A802" s="11">
        <v>43846.84517361112</v>
      </c>
      <c r="B802" s="12" t="str">
        <f>HYPERLINK("https://twitter.com/FreedomDebt","@FreedomDebt")</f>
        <v>@FreedomDebt</v>
      </c>
      <c r="C802" s="1" t="s">
        <v>3956</v>
      </c>
      <c r="D802" s="1" t="s">
        <v>3957</v>
      </c>
      <c r="E802" s="12" t="str">
        <f>HYPERLINK("https://twitter.com/FreedomDebt/status/1217979109617360898","1217979109617360898")</f>
        <v>1217979109617360898</v>
      </c>
      <c r="F802" s="13" t="s">
        <v>3958</v>
      </c>
      <c r="G802" s="14"/>
      <c r="H802" s="14"/>
      <c r="I802" s="15">
        <v>2.0</v>
      </c>
      <c r="J802" s="15">
        <v>3.0</v>
      </c>
      <c r="K802" s="12" t="str">
        <f>HYPERLINK("https://app.agorapulse.com","AgoraPulse Manager")</f>
        <v>AgoraPulse Manager</v>
      </c>
      <c r="L802" s="16">
        <v>13245.0</v>
      </c>
      <c r="M802" s="16">
        <v>572.0</v>
      </c>
      <c r="N802" s="16">
        <v>66.0</v>
      </c>
      <c r="O802" s="20" t="s">
        <v>38</v>
      </c>
      <c r="P802" s="18">
        <v>39862.84097222222</v>
      </c>
      <c r="Q802" s="1" t="s">
        <v>3959</v>
      </c>
      <c r="R802" s="1" t="s">
        <v>3960</v>
      </c>
      <c r="S802" s="13" t="s">
        <v>3961</v>
      </c>
      <c r="T802" s="14"/>
      <c r="U802" s="19" t="str">
        <f>HYPERLINK("https://pbs.twimg.com/profile_images/951581587040231424/0UxE3kDX.jpg","View")</f>
        <v>View</v>
      </c>
      <c r="V802" s="14"/>
      <c r="W802" s="14"/>
      <c r="X802" s="14"/>
      <c r="Y802" s="14"/>
      <c r="Z802" s="14"/>
    </row>
    <row r="803">
      <c r="A803" s="11">
        <v>43846.84517361112</v>
      </c>
      <c r="B803" s="12" t="str">
        <f>HYPERLINK("https://twitter.com/meditationroom1","@meditationroom1")</f>
        <v>@meditationroom1</v>
      </c>
      <c r="C803" s="1" t="s">
        <v>3962</v>
      </c>
      <c r="D803" s="1" t="s">
        <v>3963</v>
      </c>
      <c r="E803" s="12" t="str">
        <f>HYPERLINK("https://twitter.com/meditationroom1/status/1217979108627320833","1217979108627320833")</f>
        <v>1217979108627320833</v>
      </c>
      <c r="F803" s="13" t="s">
        <v>3964</v>
      </c>
      <c r="G803" s="13" t="s">
        <v>3965</v>
      </c>
      <c r="H803" s="14"/>
      <c r="I803" s="15">
        <v>0.0</v>
      </c>
      <c r="J803" s="15">
        <v>0.0</v>
      </c>
      <c r="K803" s="12" t="str">
        <f>HYPERLINK("https://mobile.twitter.com","Twitter Web App")</f>
        <v>Twitter Web App</v>
      </c>
      <c r="L803" s="16">
        <v>74.0</v>
      </c>
      <c r="M803" s="16">
        <v>128.0</v>
      </c>
      <c r="N803" s="16">
        <v>0.0</v>
      </c>
      <c r="O803" s="17"/>
      <c r="P803" s="18">
        <v>43298.44739583333</v>
      </c>
      <c r="Q803" s="14"/>
      <c r="R803" s="1" t="s">
        <v>3966</v>
      </c>
      <c r="S803" s="13" t="s">
        <v>3964</v>
      </c>
      <c r="T803" s="14"/>
      <c r="U803" s="19" t="str">
        <f>HYPERLINK("https://pbs.twimg.com/profile_images/1140673062095872007/r-Nb3PkN.png","View")</f>
        <v>View</v>
      </c>
      <c r="V803" s="14"/>
      <c r="W803" s="14"/>
      <c r="X803" s="14"/>
      <c r="Y803" s="14"/>
      <c r="Z803" s="14"/>
    </row>
    <row r="804">
      <c r="A804" s="11">
        <v>43846.84310185185</v>
      </c>
      <c r="B804" s="12" t="str">
        <f>HYPERLINK("https://twitter.com/healthycrewnl","@healthycrewnl")</f>
        <v>@healthycrewnl</v>
      </c>
      <c r="C804" s="1" t="s">
        <v>3967</v>
      </c>
      <c r="D804" s="1" t="s">
        <v>3968</v>
      </c>
      <c r="E804" s="12" t="str">
        <f>HYPERLINK("https://twitter.com/healthycrewnl/status/1217978360690872320","1217978360690872320")</f>
        <v>1217978360690872320</v>
      </c>
      <c r="F804" s="14"/>
      <c r="G804" s="13" t="s">
        <v>3969</v>
      </c>
      <c r="H804" s="14"/>
      <c r="I804" s="15">
        <v>1.0</v>
      </c>
      <c r="J804" s="15">
        <v>0.0</v>
      </c>
      <c r="K804" s="12" t="str">
        <f>HYPERLINK("https://buffer.com","Buffer")</f>
        <v>Buffer</v>
      </c>
      <c r="L804" s="16">
        <v>137.0</v>
      </c>
      <c r="M804" s="16">
        <v>243.0</v>
      </c>
      <c r="N804" s="16">
        <v>6.0</v>
      </c>
      <c r="O804" s="17"/>
      <c r="P804" s="18">
        <v>40010.270370370374</v>
      </c>
      <c r="Q804" s="1" t="s">
        <v>3970</v>
      </c>
      <c r="R804" s="1" t="s">
        <v>3971</v>
      </c>
      <c r="S804" s="13" t="s">
        <v>3972</v>
      </c>
      <c r="T804" s="14"/>
      <c r="U804" s="19" t="str">
        <f>HYPERLINK("https://pbs.twimg.com/profile_images/1055831087241404419/mGXErytc.jpg","View")</f>
        <v>View</v>
      </c>
      <c r="V804" s="14"/>
      <c r="W804" s="14"/>
      <c r="X804" s="14"/>
      <c r="Y804" s="14"/>
      <c r="Z804" s="14"/>
    </row>
    <row r="805">
      <c r="A805" s="11">
        <v>43846.83546296296</v>
      </c>
      <c r="B805" s="12" t="str">
        <f>HYPERLINK("https://twitter.com/f_lauletta","@f_lauletta")</f>
        <v>@f_lauletta</v>
      </c>
      <c r="C805" s="1" t="s">
        <v>3973</v>
      </c>
      <c r="D805" s="1" t="s">
        <v>3974</v>
      </c>
      <c r="E805" s="12" t="str">
        <f>HYPERLINK("https://twitter.com/f_lauletta/status/1217975592282284032","1217975592282284032")</f>
        <v>1217975592282284032</v>
      </c>
      <c r="F805" s="14"/>
      <c r="G805" s="13" t="s">
        <v>3975</v>
      </c>
      <c r="H805" s="14"/>
      <c r="I805" s="15">
        <v>1.0</v>
      </c>
      <c r="J805" s="15">
        <v>9.0</v>
      </c>
      <c r="K805" s="12" t="str">
        <f>HYPERLINK("https://mobile.twitter.com","Twitter Web App")</f>
        <v>Twitter Web App</v>
      </c>
      <c r="L805" s="16">
        <v>7.0</v>
      </c>
      <c r="M805" s="16">
        <v>43.0</v>
      </c>
      <c r="N805" s="16">
        <v>0.0</v>
      </c>
      <c r="O805" s="17"/>
      <c r="P805" s="18">
        <v>43045.76859953704</v>
      </c>
      <c r="Q805" s="1" t="s">
        <v>3976</v>
      </c>
      <c r="R805" s="14"/>
      <c r="S805" s="14"/>
      <c r="T805" s="14"/>
      <c r="U805" s="19" t="str">
        <f>HYPERLINK("https://pbs.twimg.com/profile_images/927685386331045889/Q1OumccN.jpg","View")</f>
        <v>View</v>
      </c>
      <c r="V805" s="14"/>
      <c r="W805" s="14"/>
      <c r="X805" s="14"/>
      <c r="Y805" s="14"/>
      <c r="Z805" s="14"/>
    </row>
    <row r="806">
      <c r="A806" s="11">
        <v>43846.83479166667</v>
      </c>
      <c r="B806" s="12" t="str">
        <f>HYPERLINK("https://twitter.com/DrRomie","@DrRomie")</f>
        <v>@DrRomie</v>
      </c>
      <c r="C806" s="1" t="s">
        <v>2542</v>
      </c>
      <c r="D806" s="1" t="s">
        <v>3977</v>
      </c>
      <c r="E806" s="12" t="str">
        <f>HYPERLINK("https://twitter.com/DrRomie/status/1217975349260308480","1217975349260308480")</f>
        <v>1217975349260308480</v>
      </c>
      <c r="F806" s="13" t="s">
        <v>2544</v>
      </c>
      <c r="G806" s="13" t="s">
        <v>3978</v>
      </c>
      <c r="H806" s="14"/>
      <c r="I806" s="15">
        <v>0.0</v>
      </c>
      <c r="J806" s="15">
        <v>1.0</v>
      </c>
      <c r="K806" s="12" t="str">
        <f>HYPERLINK("https://app.agorapulse.com","AgoraPulse Manager")</f>
        <v>AgoraPulse Manager</v>
      </c>
      <c r="L806" s="16">
        <v>37854.0</v>
      </c>
      <c r="M806" s="16">
        <v>30832.0</v>
      </c>
      <c r="N806" s="16">
        <v>1243.0</v>
      </c>
      <c r="O806" s="17"/>
      <c r="P806" s="18">
        <v>40332.75790509259</v>
      </c>
      <c r="Q806" s="1" t="s">
        <v>2546</v>
      </c>
      <c r="R806" s="1" t="s">
        <v>2547</v>
      </c>
      <c r="S806" s="13" t="s">
        <v>2548</v>
      </c>
      <c r="T806" s="14"/>
      <c r="U806" s="19" t="str">
        <f>HYPERLINK("https://pbs.twimg.com/profile_images/1191504710030651393/JD3hQ-NR.jpg","View")</f>
        <v>View</v>
      </c>
      <c r="V806" s="14"/>
      <c r="W806" s="14"/>
      <c r="X806" s="14"/>
      <c r="Y806" s="14"/>
      <c r="Z806" s="14"/>
    </row>
    <row r="807">
      <c r="A807" s="11">
        <v>43846.834641203706</v>
      </c>
      <c r="B807" s="12" t="str">
        <f>HYPERLINK("https://twitter.com/FullLeafTeaCo","@FullLeafTeaCo")</f>
        <v>@FullLeafTeaCo</v>
      </c>
      <c r="C807" s="1" t="s">
        <v>3979</v>
      </c>
      <c r="D807" s="1" t="s">
        <v>3980</v>
      </c>
      <c r="E807" s="12" t="str">
        <f>HYPERLINK("https://twitter.com/FullLeafTeaCo/status/1217975293782216704","1217975293782216704")</f>
        <v>1217975293782216704</v>
      </c>
      <c r="F807" s="14"/>
      <c r="G807" s="13" t="s">
        <v>3981</v>
      </c>
      <c r="H807" s="14"/>
      <c r="I807" s="15">
        <v>0.0</v>
      </c>
      <c r="J807" s="15">
        <v>0.0</v>
      </c>
      <c r="K807" s="12" t="str">
        <f>HYPERLINK("https://www.later.com","LaterMedia")</f>
        <v>LaterMedia</v>
      </c>
      <c r="L807" s="16">
        <v>731.0</v>
      </c>
      <c r="M807" s="16">
        <v>169.0</v>
      </c>
      <c r="N807" s="16">
        <v>16.0</v>
      </c>
      <c r="O807" s="17"/>
      <c r="P807" s="18">
        <v>41953.59422453704</v>
      </c>
      <c r="Q807" s="1" t="s">
        <v>115</v>
      </c>
      <c r="R807" s="1" t="s">
        <v>3982</v>
      </c>
      <c r="S807" s="13" t="s">
        <v>3983</v>
      </c>
      <c r="T807" s="14"/>
      <c r="U807" s="19" t="str">
        <f>HYPERLINK("https://pbs.twimg.com/profile_images/1088192865065267200/wDhc0oU5.jpg","View")</f>
        <v>View</v>
      </c>
      <c r="V807" s="14"/>
      <c r="W807" s="14"/>
      <c r="X807" s="14"/>
      <c r="Y807" s="14"/>
      <c r="Z807" s="14"/>
    </row>
    <row r="808">
      <c r="A808" s="11">
        <v>43846.833865740744</v>
      </c>
      <c r="B808" s="12" t="str">
        <f>HYPERLINK("https://twitter.com/mindful__change","@mindful__change")</f>
        <v>@mindful__change</v>
      </c>
      <c r="C808" s="1" t="s">
        <v>3984</v>
      </c>
      <c r="D808" s="1" t="s">
        <v>3985</v>
      </c>
      <c r="E808" s="12" t="str">
        <f>HYPERLINK("https://twitter.com/mindful__change/status/1217975012575076353","1217975012575076353")</f>
        <v>1217975012575076353</v>
      </c>
      <c r="F808" s="13" t="s">
        <v>3986</v>
      </c>
      <c r="G808" s="14"/>
      <c r="H808" s="14"/>
      <c r="I808" s="15">
        <v>0.0</v>
      </c>
      <c r="J808" s="15">
        <v>0.0</v>
      </c>
      <c r="K808" s="12" t="str">
        <f>HYPERLINK("https://www.hootsuite.com","Hootsuite Inc.")</f>
        <v>Hootsuite Inc.</v>
      </c>
      <c r="L808" s="16">
        <v>851.0</v>
      </c>
      <c r="M808" s="16">
        <v>529.0</v>
      </c>
      <c r="N808" s="16">
        <v>275.0</v>
      </c>
      <c r="O808" s="17"/>
      <c r="P808" s="18">
        <v>41533.62846064815</v>
      </c>
      <c r="Q808" s="1" t="s">
        <v>3987</v>
      </c>
      <c r="R808" s="1" t="s">
        <v>3988</v>
      </c>
      <c r="S808" s="13" t="s">
        <v>3989</v>
      </c>
      <c r="T808" s="14"/>
      <c r="U808" s="19" t="str">
        <f>HYPERLINK("https://pbs.twimg.com/profile_images/378800000469036908/5b8eb5af621e8ea4b3d9f6a0e5a27b16.jpeg","View")</f>
        <v>View</v>
      </c>
      <c r="V808" s="14"/>
      <c r="W808" s="14"/>
      <c r="X808" s="14"/>
      <c r="Y808" s="14"/>
      <c r="Z808" s="14"/>
    </row>
    <row r="809">
      <c r="A809" s="11">
        <v>43846.82040509259</v>
      </c>
      <c r="B809" s="12" t="str">
        <f>HYPERLINK("https://twitter.com/AllsunMarcus","@AllsunMarcus")</f>
        <v>@AllsunMarcus</v>
      </c>
      <c r="C809" s="1" t="s">
        <v>3990</v>
      </c>
      <c r="D809" s="1" t="s">
        <v>3991</v>
      </c>
      <c r="E809" s="12" t="str">
        <f>HYPERLINK("https://twitter.com/AllsunMarcus/status/1217970133001539584","1217970133001539584")</f>
        <v>1217970133001539584</v>
      </c>
      <c r="F809" s="14"/>
      <c r="G809" s="13" t="s">
        <v>3992</v>
      </c>
      <c r="H809" s="14"/>
      <c r="I809" s="15">
        <v>0.0</v>
      </c>
      <c r="J809" s="15">
        <v>0.0</v>
      </c>
      <c r="K809" s="12" t="str">
        <f t="shared" ref="K809:K811" si="83">HYPERLINK("https://mobile.twitter.com","Twitter Web App")</f>
        <v>Twitter Web App</v>
      </c>
      <c r="L809" s="16">
        <v>45.0</v>
      </c>
      <c r="M809" s="16">
        <v>384.0</v>
      </c>
      <c r="N809" s="16">
        <v>0.0</v>
      </c>
      <c r="O809" s="17"/>
      <c r="P809" s="18">
        <v>43757.13988425926</v>
      </c>
      <c r="Q809" s="14"/>
      <c r="R809" s="1" t="s">
        <v>3993</v>
      </c>
      <c r="S809" s="13" t="s">
        <v>3994</v>
      </c>
      <c r="T809" s="14"/>
      <c r="U809" s="19" t="str">
        <f>HYPERLINK("https://pbs.twimg.com/profile_images/1212524257256841216/iCCgacoU.jpg","View")</f>
        <v>View</v>
      </c>
      <c r="V809" s="14"/>
      <c r="W809" s="14"/>
      <c r="X809" s="14"/>
      <c r="Y809" s="14"/>
      <c r="Z809" s="14"/>
    </row>
    <row r="810">
      <c r="A810" s="11">
        <v>43846.82033564815</v>
      </c>
      <c r="B810" s="12" t="str">
        <f>HYPERLINK("https://twitter.com/BingoTraders","@BingoTraders")</f>
        <v>@BingoTraders</v>
      </c>
      <c r="C810" s="1" t="s">
        <v>3995</v>
      </c>
      <c r="D810" s="1" t="s">
        <v>3996</v>
      </c>
      <c r="E810" s="12" t="str">
        <f>HYPERLINK("https://twitter.com/BingoTraders/status/1217970110557614080","1217970110557614080")</f>
        <v>1217970110557614080</v>
      </c>
      <c r="F810" s="14"/>
      <c r="G810" s="13" t="s">
        <v>3997</v>
      </c>
      <c r="H810" s="14"/>
      <c r="I810" s="15">
        <v>0.0</v>
      </c>
      <c r="J810" s="15">
        <v>0.0</v>
      </c>
      <c r="K810" s="12" t="str">
        <f t="shared" si="83"/>
        <v>Twitter Web App</v>
      </c>
      <c r="L810" s="16">
        <v>265.0</v>
      </c>
      <c r="M810" s="16">
        <v>21.0</v>
      </c>
      <c r="N810" s="16">
        <v>0.0</v>
      </c>
      <c r="O810" s="17"/>
      <c r="P810" s="18">
        <v>42900.48337962963</v>
      </c>
      <c r="Q810" s="1" t="s">
        <v>3998</v>
      </c>
      <c r="R810" s="1" t="s">
        <v>3999</v>
      </c>
      <c r="S810" s="13" t="s">
        <v>4000</v>
      </c>
      <c r="T810" s="14"/>
      <c r="U810" s="19" t="str">
        <f>HYPERLINK("https://pbs.twimg.com/profile_images/1214404084393840641/p4ZJ8Kvt.jpg","View")</f>
        <v>View</v>
      </c>
      <c r="V810" s="14"/>
      <c r="W810" s="14"/>
      <c r="X810" s="14"/>
      <c r="Y810" s="14"/>
      <c r="Z810" s="14"/>
    </row>
    <row r="811">
      <c r="A811" s="11">
        <v>43846.8178125</v>
      </c>
      <c r="B811" s="12" t="str">
        <f>HYPERLINK("https://twitter.com/SoIsFibroReal","@SoIsFibroReal")</f>
        <v>@SoIsFibroReal</v>
      </c>
      <c r="C811" s="1" t="s">
        <v>1543</v>
      </c>
      <c r="D811" s="1" t="s">
        <v>4001</v>
      </c>
      <c r="E811" s="12" t="str">
        <f>HYPERLINK("https://twitter.com/SoIsFibroReal/status/1217969192944750597","1217969192944750597")</f>
        <v>1217969192944750597</v>
      </c>
      <c r="F811" s="13" t="s">
        <v>4002</v>
      </c>
      <c r="G811" s="14"/>
      <c r="H811" s="14"/>
      <c r="I811" s="15">
        <v>0.0</v>
      </c>
      <c r="J811" s="15">
        <v>0.0</v>
      </c>
      <c r="K811" s="12" t="str">
        <f t="shared" si="83"/>
        <v>Twitter Web App</v>
      </c>
      <c r="L811" s="16">
        <v>4890.0</v>
      </c>
      <c r="M811" s="16">
        <v>5373.0</v>
      </c>
      <c r="N811" s="16">
        <v>38.0</v>
      </c>
      <c r="O811" s="17"/>
      <c r="P811" s="18">
        <v>42783.583125000005</v>
      </c>
      <c r="Q811" s="1" t="s">
        <v>143</v>
      </c>
      <c r="R811" s="1" t="s">
        <v>1546</v>
      </c>
      <c r="S811" s="13" t="s">
        <v>1547</v>
      </c>
      <c r="T811" s="14"/>
      <c r="U811" s="19" t="str">
        <f>HYPERLINK("https://pbs.twimg.com/profile_images/833390340778422278/g2ya39PE.jpg","View")</f>
        <v>View</v>
      </c>
      <c r="V811" s="14"/>
      <c r="W811" s="14"/>
      <c r="X811" s="14"/>
      <c r="Y811" s="14"/>
      <c r="Z811" s="14"/>
    </row>
    <row r="812">
      <c r="A812" s="11">
        <v>43846.81555555556</v>
      </c>
      <c r="B812" s="12" t="str">
        <f>HYPERLINK("https://twitter.com/madame_pp","@madame_pp")</f>
        <v>@madame_pp</v>
      </c>
      <c r="C812" s="1" t="s">
        <v>4003</v>
      </c>
      <c r="D812" s="1" t="s">
        <v>4004</v>
      </c>
      <c r="E812" s="12" t="str">
        <f>HYPERLINK("https://twitter.com/madame_pp/status/1217968375776927744","1217968375776927744")</f>
        <v>1217968375776927744</v>
      </c>
      <c r="F812" s="14"/>
      <c r="G812" s="13" t="s">
        <v>4005</v>
      </c>
      <c r="H812" s="14"/>
      <c r="I812" s="15">
        <v>0.0</v>
      </c>
      <c r="J812" s="15">
        <v>0.0</v>
      </c>
      <c r="K812" s="12" t="str">
        <f>HYPERLINK("http://twitter.com/download/iphone","Twitter for iPhone")</f>
        <v>Twitter for iPhone</v>
      </c>
      <c r="L812" s="16">
        <v>3.0</v>
      </c>
      <c r="M812" s="16">
        <v>18.0</v>
      </c>
      <c r="N812" s="16">
        <v>0.0</v>
      </c>
      <c r="O812" s="17"/>
      <c r="P812" s="18">
        <v>43846.36344907407</v>
      </c>
      <c r="Q812" s="14"/>
      <c r="R812" s="1" t="s">
        <v>4006</v>
      </c>
      <c r="S812" s="14"/>
      <c r="T812" s="14"/>
      <c r="U812" s="19" t="str">
        <f>HYPERLINK("https://pbs.twimg.com/profile_images/1217804707135094787/uUVqihAW.jpg","View")</f>
        <v>View</v>
      </c>
      <c r="V812" s="14"/>
      <c r="W812" s="14"/>
      <c r="X812" s="14"/>
      <c r="Y812" s="14"/>
      <c r="Z812" s="14"/>
    </row>
    <row r="813">
      <c r="A813" s="11">
        <v>43846.81261574074</v>
      </c>
      <c r="B813" s="12" t="str">
        <f>HYPERLINK("https://twitter.com/michaelAgreer_","@michaelAgreer_")</f>
        <v>@michaelAgreer_</v>
      </c>
      <c r="C813" s="1" t="s">
        <v>4007</v>
      </c>
      <c r="D813" s="1" t="s">
        <v>4008</v>
      </c>
      <c r="E813" s="12" t="str">
        <f>HYPERLINK("https://twitter.com/michaelAgreer_/status/1217967313334353920","1217967313334353920")</f>
        <v>1217967313334353920</v>
      </c>
      <c r="F813" s="13" t="s">
        <v>4009</v>
      </c>
      <c r="G813" s="13" t="s">
        <v>4010</v>
      </c>
      <c r="H813" s="14"/>
      <c r="I813" s="15">
        <v>0.0</v>
      </c>
      <c r="J813" s="15">
        <v>0.0</v>
      </c>
      <c r="K813" s="12" t="str">
        <f>HYPERLINK("http://postplanner.com","Post Planner Inc.")</f>
        <v>Post Planner Inc.</v>
      </c>
      <c r="L813" s="16">
        <v>895.0</v>
      </c>
      <c r="M813" s="16">
        <v>779.0</v>
      </c>
      <c r="N813" s="16">
        <v>2.0</v>
      </c>
      <c r="O813" s="17"/>
      <c r="P813" s="18">
        <v>42823.30429398148</v>
      </c>
      <c r="Q813" s="1" t="s">
        <v>4011</v>
      </c>
      <c r="R813" s="1" t="s">
        <v>4012</v>
      </c>
      <c r="S813" s="13" t="s">
        <v>4013</v>
      </c>
      <c r="T813" s="14"/>
      <c r="U813" s="19" t="str">
        <f>HYPERLINK("https://pbs.twimg.com/profile_images/1086441447182794752/ebhec26G.jpg","View")</f>
        <v>View</v>
      </c>
      <c r="V813" s="14"/>
      <c r="W813" s="14"/>
      <c r="X813" s="14"/>
      <c r="Y813" s="14"/>
      <c r="Z813" s="14"/>
    </row>
    <row r="814">
      <c r="A814" s="11">
        <v>43846.81171296297</v>
      </c>
      <c r="B814" s="12" t="str">
        <f>HYPERLINK("https://twitter.com/partnercomm","@partnercomm")</f>
        <v>@partnercomm</v>
      </c>
      <c r="C814" s="1" t="s">
        <v>4014</v>
      </c>
      <c r="D814" s="1" t="s">
        <v>4015</v>
      </c>
      <c r="E814" s="12" t="str">
        <f>HYPERLINK("https://twitter.com/partnercomm/status/1217966985159630849","1217966985159630849")</f>
        <v>1217966985159630849</v>
      </c>
      <c r="F814" s="13" t="s">
        <v>4016</v>
      </c>
      <c r="G814" s="14"/>
      <c r="H814" s="14"/>
      <c r="I814" s="15">
        <v>0.0</v>
      </c>
      <c r="J814" s="15">
        <v>0.0</v>
      </c>
      <c r="K814" s="12" t="str">
        <f>HYPERLINK("http://twitter.com","Twitter Web Client")</f>
        <v>Twitter Web Client</v>
      </c>
      <c r="L814" s="16">
        <v>151.0</v>
      </c>
      <c r="M814" s="16">
        <v>416.0</v>
      </c>
      <c r="N814" s="16">
        <v>4.0</v>
      </c>
      <c r="O814" s="17"/>
      <c r="P814" s="18">
        <v>42838.4053125</v>
      </c>
      <c r="Q814" s="1" t="s">
        <v>4017</v>
      </c>
      <c r="R814" s="1" t="s">
        <v>4018</v>
      </c>
      <c r="S814" s="13" t="s">
        <v>4019</v>
      </c>
      <c r="T814" s="14"/>
      <c r="U814" s="19" t="str">
        <f>HYPERLINK("https://pbs.twimg.com/profile_images/1073595378329501697/g_5ZIPla.jpg","View")</f>
        <v>View</v>
      </c>
      <c r="V814" s="14"/>
      <c r="W814" s="14"/>
      <c r="X814" s="14"/>
      <c r="Y814" s="14"/>
      <c r="Z814" s="14"/>
    </row>
    <row r="815">
      <c r="A815" s="11">
        <v>43846.80467592593</v>
      </c>
      <c r="B815" s="12" t="str">
        <f>HYPERLINK("https://twitter.com/RameshYusuf","@RameshYusuf")</f>
        <v>@RameshYusuf</v>
      </c>
      <c r="C815" s="1" t="s">
        <v>4020</v>
      </c>
      <c r="D815" s="1" t="s">
        <v>4021</v>
      </c>
      <c r="E815" s="12" t="str">
        <f>HYPERLINK("https://twitter.com/RameshYusuf/status/1217964434162954241","1217964434162954241")</f>
        <v>1217964434162954241</v>
      </c>
      <c r="F815" s="14"/>
      <c r="G815" s="13" t="s">
        <v>4022</v>
      </c>
      <c r="H815" s="14"/>
      <c r="I815" s="15">
        <v>0.0</v>
      </c>
      <c r="J815" s="15">
        <v>0.0</v>
      </c>
      <c r="K815" s="12" t="str">
        <f t="shared" ref="K815:K816" si="84">HYPERLINK("http://twitter.com/download/android","Twitter for Android")</f>
        <v>Twitter for Android</v>
      </c>
      <c r="L815" s="16">
        <v>0.0</v>
      </c>
      <c r="M815" s="16">
        <v>26.0</v>
      </c>
      <c r="N815" s="16">
        <v>0.0</v>
      </c>
      <c r="O815" s="17"/>
      <c r="P815" s="18">
        <v>43817.91076388889</v>
      </c>
      <c r="Q815" s="14"/>
      <c r="R815" s="1" t="s">
        <v>4023</v>
      </c>
      <c r="S815" s="14"/>
      <c r="T815" s="14"/>
      <c r="U815" s="19" t="str">
        <f>HYPERLINK("https://pbs.twimg.com/profile_images/1217968305866186752/l5XZavEZ.jpg","View")</f>
        <v>View</v>
      </c>
      <c r="V815" s="14"/>
      <c r="W815" s="14"/>
      <c r="X815" s="14"/>
      <c r="Y815" s="14"/>
      <c r="Z815" s="14"/>
    </row>
    <row r="816">
      <c r="A816" s="11">
        <v>43846.80171296296</v>
      </c>
      <c r="B816" s="12" t="str">
        <f>HYPERLINK("https://twitter.com/Danielle_McG4","@Danielle_McG4")</f>
        <v>@Danielle_McG4</v>
      </c>
      <c r="C816" s="1" t="s">
        <v>4024</v>
      </c>
      <c r="D816" s="1" t="s">
        <v>4025</v>
      </c>
      <c r="E816" s="12" t="str">
        <f>HYPERLINK("https://twitter.com/Danielle_McG4/status/1217963360517591042","1217963360517591042")</f>
        <v>1217963360517591042</v>
      </c>
      <c r="F816" s="14"/>
      <c r="G816" s="14"/>
      <c r="H816" s="14"/>
      <c r="I816" s="15">
        <v>0.0</v>
      </c>
      <c r="J816" s="15">
        <v>0.0</v>
      </c>
      <c r="K816" s="12" t="str">
        <f t="shared" si="84"/>
        <v>Twitter for Android</v>
      </c>
      <c r="L816" s="16">
        <v>659.0</v>
      </c>
      <c r="M816" s="16">
        <v>1184.0</v>
      </c>
      <c r="N816" s="16">
        <v>8.0</v>
      </c>
      <c r="O816" s="17"/>
      <c r="P816" s="18">
        <v>39937.811377314814</v>
      </c>
      <c r="Q816" s="1" t="s">
        <v>4026</v>
      </c>
      <c r="R816" s="1" t="s">
        <v>4027</v>
      </c>
      <c r="S816" s="14"/>
      <c r="T816" s="14"/>
      <c r="U816" s="19" t="str">
        <f>HYPERLINK("https://pbs.twimg.com/profile_images/1163386390907891712/kP_zEMYP.jpg","View")</f>
        <v>View</v>
      </c>
      <c r="V816" s="14"/>
      <c r="W816" s="14"/>
      <c r="X816" s="14"/>
      <c r="Y816" s="14"/>
      <c r="Z816" s="14"/>
    </row>
    <row r="817">
      <c r="A817" s="11">
        <v>43846.795081018514</v>
      </c>
      <c r="B817" s="12" t="str">
        <f>HYPERLINK("https://twitter.com/legalherbalshop","@legalherbalshop")</f>
        <v>@legalherbalshop</v>
      </c>
      <c r="C817" s="13" t="s">
        <v>4028</v>
      </c>
      <c r="D817" s="1" t="s">
        <v>4029</v>
      </c>
      <c r="E817" s="12" t="str">
        <f>HYPERLINK("https://twitter.com/legalherbalshop/status/1217960955528826881","1217960955528826881")</f>
        <v>1217960955528826881</v>
      </c>
      <c r="F817" s="13" t="s">
        <v>4030</v>
      </c>
      <c r="G817" s="13" t="s">
        <v>4031</v>
      </c>
      <c r="H817" s="14"/>
      <c r="I817" s="15">
        <v>0.0</v>
      </c>
      <c r="J817" s="15">
        <v>1.0</v>
      </c>
      <c r="K817" s="12" t="str">
        <f>HYPERLINK("https://mobile.twitter.com","Twitter Web App")</f>
        <v>Twitter Web App</v>
      </c>
      <c r="L817" s="16">
        <v>3199.0</v>
      </c>
      <c r="M817" s="16">
        <v>1633.0</v>
      </c>
      <c r="N817" s="16">
        <v>10.0</v>
      </c>
      <c r="O817" s="17"/>
      <c r="P817" s="18">
        <v>39917.91689814815</v>
      </c>
      <c r="Q817" s="1" t="s">
        <v>4032</v>
      </c>
      <c r="R817" s="1" t="s">
        <v>4033</v>
      </c>
      <c r="S817" s="13" t="s">
        <v>4034</v>
      </c>
      <c r="T817" s="14"/>
      <c r="U817" s="19" t="str">
        <f>HYPERLINK("https://pbs.twimg.com/profile_images/1179839508034011142/WIb5yK5i.jpg","View")</f>
        <v>View</v>
      </c>
      <c r="V817" s="14"/>
      <c r="W817" s="14"/>
      <c r="X817" s="14"/>
      <c r="Y817" s="14"/>
      <c r="Z817" s="14"/>
    </row>
    <row r="818">
      <c r="A818" s="11">
        <v>43846.794016203705</v>
      </c>
      <c r="B818" s="12" t="str">
        <f>HYPERLINK("https://twitter.com/FSonnenberg","@FSonnenberg")</f>
        <v>@FSonnenberg</v>
      </c>
      <c r="C818" s="1" t="s">
        <v>659</v>
      </c>
      <c r="D818" s="1" t="s">
        <v>4035</v>
      </c>
      <c r="E818" s="12" t="str">
        <f>HYPERLINK("https://twitter.com/FSonnenberg/status/1217960569363365895","1217960569363365895")</f>
        <v>1217960569363365895</v>
      </c>
      <c r="F818" s="13" t="s">
        <v>4036</v>
      </c>
      <c r="G818" s="13" t="s">
        <v>4037</v>
      </c>
      <c r="H818" s="14"/>
      <c r="I818" s="15">
        <v>0.0</v>
      </c>
      <c r="J818" s="15">
        <v>0.0</v>
      </c>
      <c r="K818" s="12" t="str">
        <f>HYPERLINK("https://www.socialjukebox.com","The Social Jukebox")</f>
        <v>The Social Jukebox</v>
      </c>
      <c r="L818" s="16">
        <v>93854.0</v>
      </c>
      <c r="M818" s="16">
        <v>61540.0</v>
      </c>
      <c r="N818" s="16">
        <v>2658.0</v>
      </c>
      <c r="O818" s="17"/>
      <c r="P818" s="18">
        <v>40419.65079861111</v>
      </c>
      <c r="Q818" s="1" t="s">
        <v>662</v>
      </c>
      <c r="R818" s="1" t="s">
        <v>663</v>
      </c>
      <c r="S818" s="13" t="s">
        <v>664</v>
      </c>
      <c r="T818" s="14"/>
      <c r="U818" s="19" t="str">
        <f>HYPERLINK("https://pbs.twimg.com/profile_images/841693592733155328/Hk0DSFtA.jpg","View")</f>
        <v>View</v>
      </c>
      <c r="V818" s="14"/>
      <c r="W818" s="14"/>
      <c r="X818" s="14"/>
      <c r="Y818" s="14"/>
      <c r="Z818" s="14"/>
    </row>
    <row r="819">
      <c r="A819" s="11">
        <v>43846.792442129634</v>
      </c>
      <c r="B819" s="12" t="str">
        <f>HYPERLINK("https://twitter.com/happycbdstore","@happycbdstore")</f>
        <v>@happycbdstore</v>
      </c>
      <c r="C819" s="1" t="s">
        <v>4038</v>
      </c>
      <c r="D819" s="1" t="s">
        <v>4039</v>
      </c>
      <c r="E819" s="12" t="str">
        <f>HYPERLINK("https://twitter.com/happycbdstore/status/1217960000145903616","1217960000145903616")</f>
        <v>1217960000145903616</v>
      </c>
      <c r="F819" s="13" t="s">
        <v>4040</v>
      </c>
      <c r="G819" s="13" t="s">
        <v>4041</v>
      </c>
      <c r="H819" s="14"/>
      <c r="I819" s="15">
        <v>0.0</v>
      </c>
      <c r="J819" s="15">
        <v>0.0</v>
      </c>
      <c r="K819" s="12" t="str">
        <f>HYPERLINK("https://mobile.twitter.com","Twitter Web App")</f>
        <v>Twitter Web App</v>
      </c>
      <c r="L819" s="16">
        <v>661.0</v>
      </c>
      <c r="M819" s="16">
        <v>685.0</v>
      </c>
      <c r="N819" s="16">
        <v>10.0</v>
      </c>
      <c r="O819" s="17"/>
      <c r="P819" s="18">
        <v>43070.83542824074</v>
      </c>
      <c r="Q819" s="1" t="s">
        <v>1493</v>
      </c>
      <c r="R819" s="1" t="s">
        <v>4042</v>
      </c>
      <c r="S819" s="13" t="s">
        <v>4043</v>
      </c>
      <c r="T819" s="14"/>
      <c r="U819" s="19" t="str">
        <f>HYPERLINK("https://pbs.twimg.com/profile_images/1089683579007787008/v8sX5MRm.jpg","View")</f>
        <v>View</v>
      </c>
      <c r="V819" s="14"/>
      <c r="W819" s="14"/>
      <c r="X819" s="14"/>
      <c r="Y819" s="14"/>
      <c r="Z819" s="14"/>
    </row>
    <row r="820">
      <c r="A820" s="11">
        <v>43846.78472222222</v>
      </c>
      <c r="B820" s="12" t="str">
        <f>HYPERLINK("https://twitter.com/TrainingMindful","@TrainingMindful")</f>
        <v>@TrainingMindful</v>
      </c>
      <c r="C820" s="1" t="s">
        <v>94</v>
      </c>
      <c r="D820" s="1" t="s">
        <v>4044</v>
      </c>
      <c r="E820" s="12" t="str">
        <f>HYPERLINK("https://twitter.com/TrainingMindful/status/1217957205447712768","1217957205447712768")</f>
        <v>1217957205447712768</v>
      </c>
      <c r="F820" s="13" t="s">
        <v>4045</v>
      </c>
      <c r="G820" s="14"/>
      <c r="H820" s="14"/>
      <c r="I820" s="15">
        <v>0.0</v>
      </c>
      <c r="J820" s="15">
        <v>2.0</v>
      </c>
      <c r="K820" s="12" t="str">
        <f>HYPERLINK("https://www.socialoomph.com","SocialOomph")</f>
        <v>SocialOomph</v>
      </c>
      <c r="L820" s="16">
        <v>185303.0</v>
      </c>
      <c r="M820" s="16">
        <v>43980.0</v>
      </c>
      <c r="N820" s="16">
        <v>2800.0</v>
      </c>
      <c r="O820" s="17"/>
      <c r="P820" s="18">
        <v>41286.039305555554</v>
      </c>
      <c r="Q820" s="1" t="s">
        <v>97</v>
      </c>
      <c r="R820" s="1" t="s">
        <v>98</v>
      </c>
      <c r="S820" s="13" t="s">
        <v>99</v>
      </c>
      <c r="T820" s="14"/>
      <c r="U820" s="19" t="str">
        <f>HYPERLINK("https://pbs.twimg.com/profile_images/566526924059459584/gdMxDA9x.jpeg","View")</f>
        <v>View</v>
      </c>
      <c r="V820" s="14"/>
      <c r="W820" s="14"/>
      <c r="X820" s="14"/>
      <c r="Y820" s="14"/>
      <c r="Z820" s="14"/>
    </row>
    <row r="821">
      <c r="A821" s="11">
        <v>43846.78457175926</v>
      </c>
      <c r="B821" s="12" t="str">
        <f>HYPERLINK("https://twitter.com/Barbclifford","@Barbclifford")</f>
        <v>@Barbclifford</v>
      </c>
      <c r="C821" s="1" t="s">
        <v>1767</v>
      </c>
      <c r="D821" s="1" t="s">
        <v>4046</v>
      </c>
      <c r="E821" s="12" t="str">
        <f>HYPERLINK("https://twitter.com/Barbclifford/status/1217957148648493056","1217957148648493056")</f>
        <v>1217957148648493056</v>
      </c>
      <c r="F821" s="13" t="s">
        <v>4047</v>
      </c>
      <c r="G821" s="13" t="s">
        <v>4048</v>
      </c>
      <c r="H821" s="14"/>
      <c r="I821" s="15">
        <v>0.0</v>
      </c>
      <c r="J821" s="15">
        <v>0.0</v>
      </c>
      <c r="K821" s="12" t="str">
        <f>HYPERLINK("https://missinglettr.com","Missinglettr")</f>
        <v>Missinglettr</v>
      </c>
      <c r="L821" s="16">
        <v>1379.0</v>
      </c>
      <c r="M821" s="16">
        <v>1345.0</v>
      </c>
      <c r="N821" s="16">
        <v>120.0</v>
      </c>
      <c r="O821" s="17"/>
      <c r="P821" s="18">
        <v>39994.823900462965</v>
      </c>
      <c r="Q821" s="1" t="s">
        <v>1770</v>
      </c>
      <c r="R821" s="1" t="s">
        <v>1771</v>
      </c>
      <c r="S821" s="13" t="s">
        <v>1769</v>
      </c>
      <c r="T821" s="14"/>
      <c r="U821" s="19" t="str">
        <f>HYPERLINK("https://pbs.twimg.com/profile_images/700454886429708288/Eu8Vp5pm.jpg","View")</f>
        <v>View</v>
      </c>
      <c r="V821" s="14"/>
      <c r="W821" s="14"/>
      <c r="X821" s="14"/>
      <c r="Y821" s="14"/>
      <c r="Z821" s="14"/>
    </row>
    <row r="822">
      <c r="A822" s="11">
        <v>43846.784050925926</v>
      </c>
      <c r="B822" s="12" t="str">
        <f>HYPERLINK("https://twitter.com/RobKellerMD","@RobKellerMD")</f>
        <v>@RobKellerMD</v>
      </c>
      <c r="C822" s="1" t="s">
        <v>4049</v>
      </c>
      <c r="D822" s="1" t="s">
        <v>4050</v>
      </c>
      <c r="E822" s="12" t="str">
        <f>HYPERLINK("https://twitter.com/RobKellerMD/status/1217956960802344961","1217956960802344961")</f>
        <v>1217956960802344961</v>
      </c>
      <c r="F822" s="13" t="s">
        <v>4051</v>
      </c>
      <c r="G822" s="14"/>
      <c r="H822" s="14"/>
      <c r="I822" s="15">
        <v>0.0</v>
      </c>
      <c r="J822" s="15">
        <v>0.0</v>
      </c>
      <c r="K822" s="12" t="str">
        <f>HYPERLINK("https://sproutsocial.com","Sprout Social")</f>
        <v>Sprout Social</v>
      </c>
      <c r="L822" s="16">
        <v>3582.0</v>
      </c>
      <c r="M822" s="16">
        <v>3904.0</v>
      </c>
      <c r="N822" s="16">
        <v>91.0</v>
      </c>
      <c r="O822" s="17"/>
      <c r="P822" s="18">
        <v>40668.60731481481</v>
      </c>
      <c r="Q822" s="1" t="s">
        <v>1806</v>
      </c>
      <c r="R822" s="1" t="s">
        <v>4052</v>
      </c>
      <c r="S822" s="13" t="s">
        <v>4053</v>
      </c>
      <c r="T822" s="14"/>
      <c r="U822" s="19" t="str">
        <f>HYPERLINK("https://pbs.twimg.com/profile_images/1155183622711906304/ubmDr8Zt.jpg","View")</f>
        <v>View</v>
      </c>
      <c r="V822" s="14"/>
      <c r="W822" s="14"/>
      <c r="X822" s="14"/>
      <c r="Y822" s="14"/>
      <c r="Z822" s="14"/>
    </row>
    <row r="823">
      <c r="A823" s="11">
        <v>43846.78129629629</v>
      </c>
      <c r="B823" s="12" t="str">
        <f>HYPERLINK("https://twitter.com/happyhandstoys","@happyhandstoys")</f>
        <v>@happyhandstoys</v>
      </c>
      <c r="C823" s="1" t="s">
        <v>1795</v>
      </c>
      <c r="D823" s="1" t="s">
        <v>4054</v>
      </c>
      <c r="E823" s="12" t="str">
        <f>HYPERLINK("https://twitter.com/happyhandstoys/status/1217955962641842176","1217955962641842176")</f>
        <v>1217955962641842176</v>
      </c>
      <c r="F823" s="13" t="s">
        <v>4055</v>
      </c>
      <c r="G823" s="14"/>
      <c r="H823" s="14"/>
      <c r="I823" s="15">
        <v>1.0</v>
      </c>
      <c r="J823" s="15">
        <v>2.0</v>
      </c>
      <c r="K823" s="12" t="str">
        <f>HYPERLINK("https://www.hootsuite.com","Hootsuite Inc.")</f>
        <v>Hootsuite Inc.</v>
      </c>
      <c r="L823" s="16">
        <v>2541.0</v>
      </c>
      <c r="M823" s="16">
        <v>4752.0</v>
      </c>
      <c r="N823" s="16">
        <v>34.0</v>
      </c>
      <c r="O823" s="17"/>
      <c r="P823" s="18">
        <v>42817.57172453703</v>
      </c>
      <c r="Q823" s="1" t="s">
        <v>1798</v>
      </c>
      <c r="R823" s="1" t="s">
        <v>1799</v>
      </c>
      <c r="S823" s="13" t="s">
        <v>1800</v>
      </c>
      <c r="T823" s="14"/>
      <c r="U823" s="19" t="str">
        <f>HYPERLINK("https://pbs.twimg.com/profile_images/845839282770100224/2YEak1EB.jpg","View")</f>
        <v>View</v>
      </c>
      <c r="V823" s="14"/>
      <c r="W823" s="14"/>
      <c r="X823" s="14"/>
      <c r="Y823" s="14"/>
      <c r="Z823" s="14"/>
    </row>
    <row r="824">
      <c r="A824" s="11">
        <v>43846.77234953704</v>
      </c>
      <c r="B824" s="12" t="str">
        <f>HYPERLINK("https://twitter.com/lifewithheidig","@lifewithheidig")</f>
        <v>@lifewithheidig</v>
      </c>
      <c r="C824" s="1" t="s">
        <v>4056</v>
      </c>
      <c r="D824" s="1" t="s">
        <v>4057</v>
      </c>
      <c r="E824" s="12" t="str">
        <f>HYPERLINK("https://twitter.com/lifewithheidig/status/1217952720583385089","1217952720583385089")</f>
        <v>1217952720583385089</v>
      </c>
      <c r="F824" s="13" t="s">
        <v>4058</v>
      </c>
      <c r="G824" s="14"/>
      <c r="H824" s="14"/>
      <c r="I824" s="15">
        <v>0.0</v>
      </c>
      <c r="J824" s="15">
        <v>0.0</v>
      </c>
      <c r="K824" s="12" t="str">
        <f>HYPERLINK("https://coschedule.com","CoSchedule")</f>
        <v>CoSchedule</v>
      </c>
      <c r="L824" s="16">
        <v>46292.0</v>
      </c>
      <c r="M824" s="16">
        <v>18016.0</v>
      </c>
      <c r="N824" s="16">
        <v>1010.0</v>
      </c>
      <c r="O824" s="17"/>
      <c r="P824" s="18">
        <v>40858.36287037037</v>
      </c>
      <c r="Q824" s="1" t="s">
        <v>4059</v>
      </c>
      <c r="R824" s="1" t="s">
        <v>4060</v>
      </c>
      <c r="S824" s="13" t="s">
        <v>4061</v>
      </c>
      <c r="T824" s="14"/>
      <c r="U824" s="19" t="str">
        <f>HYPERLINK("https://pbs.twimg.com/profile_images/1019213199264997376/u70DBxkC.jpg","View")</f>
        <v>View</v>
      </c>
      <c r="V824" s="14"/>
      <c r="W824" s="14"/>
      <c r="X824" s="14"/>
      <c r="Y824" s="14"/>
      <c r="Z824" s="14"/>
    </row>
    <row r="825">
      <c r="A825" s="11">
        <v>43846.76662037037</v>
      </c>
      <c r="B825" s="12" t="str">
        <f>HYPERLINK("https://twitter.com/umayrsufi","@umayrsufi")</f>
        <v>@umayrsufi</v>
      </c>
      <c r="C825" s="1" t="s">
        <v>4062</v>
      </c>
      <c r="D825" s="1" t="s">
        <v>4063</v>
      </c>
      <c r="E825" s="12" t="str">
        <f>HYPERLINK("https://twitter.com/umayrsufi/status/1217950644083904514","1217950644083904514")</f>
        <v>1217950644083904514</v>
      </c>
      <c r="F825" s="14"/>
      <c r="G825" s="14"/>
      <c r="H825" s="14"/>
      <c r="I825" s="15">
        <v>0.0</v>
      </c>
      <c r="J825" s="15">
        <v>1.0</v>
      </c>
      <c r="K825" s="12" t="str">
        <f>HYPERLINK("http://twitter.com/download/iphone","Twitter for iPhone")</f>
        <v>Twitter for iPhone</v>
      </c>
      <c r="L825" s="16">
        <v>609.0</v>
      </c>
      <c r="M825" s="16">
        <v>698.0</v>
      </c>
      <c r="N825" s="16">
        <v>12.0</v>
      </c>
      <c r="O825" s="17"/>
      <c r="P825" s="18">
        <v>40434.07010416667</v>
      </c>
      <c r="Q825" s="1" t="s">
        <v>4064</v>
      </c>
      <c r="R825" s="1" t="s">
        <v>4065</v>
      </c>
      <c r="S825" s="13" t="s">
        <v>4066</v>
      </c>
      <c r="T825" s="14"/>
      <c r="U825" s="19" t="str">
        <f>HYPERLINK("https://pbs.twimg.com/profile_images/949400484351131648/uJxDBbth.jpg","View")</f>
        <v>View</v>
      </c>
      <c r="V825" s="14"/>
      <c r="W825" s="14"/>
      <c r="X825" s="14"/>
      <c r="Y825" s="14"/>
      <c r="Z825" s="14"/>
    </row>
    <row r="826">
      <c r="A826" s="11">
        <v>43846.76603009259</v>
      </c>
      <c r="B826" s="12" t="str">
        <f>HYPERLINK("https://twitter.com/renascencemusic","@renascencemusic")</f>
        <v>@renascencemusic</v>
      </c>
      <c r="C826" s="1" t="s">
        <v>247</v>
      </c>
      <c r="D826" s="1" t="s">
        <v>248</v>
      </c>
      <c r="E826" s="12" t="str">
        <f>HYPERLINK("https://twitter.com/renascencemusic/status/1217950429356621829","1217950429356621829")</f>
        <v>1217950429356621829</v>
      </c>
      <c r="F826" s="13" t="s">
        <v>249</v>
      </c>
      <c r="G826" s="13" t="s">
        <v>4067</v>
      </c>
      <c r="H826" s="14"/>
      <c r="I826" s="15">
        <v>0.0</v>
      </c>
      <c r="J826" s="15">
        <v>0.0</v>
      </c>
      <c r="K826" s="12" t="str">
        <f>HYPERLINK("https://www.socialoomph.com","SocialOomph")</f>
        <v>SocialOomph</v>
      </c>
      <c r="L826" s="16">
        <v>13031.0</v>
      </c>
      <c r="M826" s="16">
        <v>11650.0</v>
      </c>
      <c r="N826" s="16">
        <v>219.0</v>
      </c>
      <c r="O826" s="17"/>
      <c r="P826" s="18">
        <v>42470.67052083333</v>
      </c>
      <c r="Q826" s="1" t="s">
        <v>251</v>
      </c>
      <c r="R826" s="1" t="s">
        <v>252</v>
      </c>
      <c r="S826" s="13" t="s">
        <v>253</v>
      </c>
      <c r="T826" s="14"/>
      <c r="U826" s="19" t="str">
        <f>HYPERLINK("https://pbs.twimg.com/profile_images/1123407512743612416/g721ra2J.png","View")</f>
        <v>View</v>
      </c>
      <c r="V826" s="14"/>
      <c r="W826" s="14"/>
      <c r="X826" s="14"/>
      <c r="Y826" s="14"/>
      <c r="Z826" s="14"/>
    </row>
    <row r="827">
      <c r="A827" s="11">
        <v>43846.764814814815</v>
      </c>
      <c r="B827" s="12" t="str">
        <f>HYPERLINK("https://twitter.com/jaehermann","@jaehermann")</f>
        <v>@jaehermann</v>
      </c>
      <c r="C827" s="1" t="s">
        <v>4068</v>
      </c>
      <c r="D827" s="1" t="s">
        <v>4069</v>
      </c>
      <c r="E827" s="12" t="str">
        <f>HYPERLINK("https://twitter.com/jaehermann/status/1217949988564668416","1217949988564668416")</f>
        <v>1217949988564668416</v>
      </c>
      <c r="F827" s="13" t="s">
        <v>4070</v>
      </c>
      <c r="G827" s="14"/>
      <c r="H827" s="14"/>
      <c r="I827" s="15">
        <v>0.0</v>
      </c>
      <c r="J827" s="15">
        <v>1.0</v>
      </c>
      <c r="K827" s="12" t="str">
        <f>HYPERLINK("http://twitter.com/download/android","Twitter for Android")</f>
        <v>Twitter for Android</v>
      </c>
      <c r="L827" s="16">
        <v>513.0</v>
      </c>
      <c r="M827" s="16">
        <v>1219.0</v>
      </c>
      <c r="N827" s="16">
        <v>7.0</v>
      </c>
      <c r="O827" s="17"/>
      <c r="P827" s="18">
        <v>43446.686689814815</v>
      </c>
      <c r="Q827" s="1" t="s">
        <v>4071</v>
      </c>
      <c r="R827" s="1" t="s">
        <v>4072</v>
      </c>
      <c r="S827" s="13" t="s">
        <v>4073</v>
      </c>
      <c r="T827" s="14"/>
      <c r="U827" s="19" t="str">
        <f>HYPERLINK("https://pbs.twimg.com/profile_images/1135726379968786432/VD2aEui7.jpg","View")</f>
        <v>View</v>
      </c>
      <c r="V827" s="14"/>
      <c r="W827" s="14"/>
      <c r="X827" s="14"/>
      <c r="Y827" s="14"/>
      <c r="Z827" s="14"/>
    </row>
    <row r="828">
      <c r="A828" s="11">
        <v>43846.76395833334</v>
      </c>
      <c r="B828" s="12" t="str">
        <f>HYPERLINK("https://twitter.com/djemal_ua","@djemal_ua")</f>
        <v>@djemal_ua</v>
      </c>
      <c r="C828" s="1" t="s">
        <v>2797</v>
      </c>
      <c r="D828" s="1" t="s">
        <v>2798</v>
      </c>
      <c r="E828" s="12" t="str">
        <f>HYPERLINK("https://twitter.com/djemal_ua/status/1217949677271879680","1217949677271879680")</f>
        <v>1217949677271879680</v>
      </c>
      <c r="F828" s="13" t="s">
        <v>2799</v>
      </c>
      <c r="G828" s="14"/>
      <c r="H828" s="14"/>
      <c r="I828" s="15">
        <v>0.0</v>
      </c>
      <c r="J828" s="15">
        <v>0.0</v>
      </c>
      <c r="K828" s="12" t="str">
        <f>HYPERLINK("https://www.hootsuite.com","Hootsuite Inc.")</f>
        <v>Hootsuite Inc.</v>
      </c>
      <c r="L828" s="16">
        <v>5127.0</v>
      </c>
      <c r="M828" s="16">
        <v>4724.0</v>
      </c>
      <c r="N828" s="16">
        <v>60.0</v>
      </c>
      <c r="O828" s="17"/>
      <c r="P828" s="18">
        <v>43530.25729166667</v>
      </c>
      <c r="Q828" s="1" t="s">
        <v>268</v>
      </c>
      <c r="R828" s="1" t="s">
        <v>2800</v>
      </c>
      <c r="S828" s="13" t="s">
        <v>2801</v>
      </c>
      <c r="T828" s="14"/>
      <c r="U828" s="19" t="str">
        <f>HYPERLINK("https://pbs.twimg.com/profile_images/1202978381106761728/aqUhVSTO.jpg","View")</f>
        <v>View</v>
      </c>
      <c r="V828" s="14"/>
      <c r="W828" s="14"/>
      <c r="X828" s="14"/>
      <c r="Y828" s="14"/>
      <c r="Z828" s="14"/>
    </row>
    <row r="829">
      <c r="A829" s="11">
        <v>43846.75834490741</v>
      </c>
      <c r="B829" s="12" t="str">
        <f>HYPERLINK("https://twitter.com/Sserenaaa_","@Sserenaaa_")</f>
        <v>@Sserenaaa_</v>
      </c>
      <c r="C829" s="1" t="s">
        <v>4074</v>
      </c>
      <c r="D829" s="1" t="s">
        <v>4075</v>
      </c>
      <c r="E829" s="12" t="str">
        <f>HYPERLINK("https://twitter.com/Sserenaaa_/status/1217947645576171522","1217947645576171522")</f>
        <v>1217947645576171522</v>
      </c>
      <c r="F829" s="14"/>
      <c r="G829" s="14"/>
      <c r="H829" s="14"/>
      <c r="I829" s="15">
        <v>0.0</v>
      </c>
      <c r="J829" s="15">
        <v>0.0</v>
      </c>
      <c r="K829" s="12" t="str">
        <f>HYPERLINK("http://twitter.com/download/iphone","Twitter for iPhone")</f>
        <v>Twitter for iPhone</v>
      </c>
      <c r="L829" s="16">
        <v>2352.0</v>
      </c>
      <c r="M829" s="16">
        <v>540.0</v>
      </c>
      <c r="N829" s="16">
        <v>8.0</v>
      </c>
      <c r="O829" s="17"/>
      <c r="P829" s="18">
        <v>40894.63474537037</v>
      </c>
      <c r="Q829" s="14"/>
      <c r="R829" s="1" t="s">
        <v>4076</v>
      </c>
      <c r="S829" s="14"/>
      <c r="T829" s="14"/>
      <c r="U829" s="19" t="str">
        <f>HYPERLINK("https://pbs.twimg.com/profile_images/1169330120663949312/BQ-QF5eL.jpg","View")</f>
        <v>View</v>
      </c>
      <c r="V829" s="14"/>
      <c r="W829" s="14"/>
      <c r="X829" s="14"/>
      <c r="Y829" s="14"/>
      <c r="Z829" s="14"/>
    </row>
    <row r="830">
      <c r="A830" s="11">
        <v>43846.75488425926</v>
      </c>
      <c r="B830" s="12" t="str">
        <f>HYPERLINK("https://twitter.com/QBCrystals","@QBCrystals")</f>
        <v>@QBCrystals</v>
      </c>
      <c r="C830" s="1" t="s">
        <v>4077</v>
      </c>
      <c r="D830" s="1" t="s">
        <v>4078</v>
      </c>
      <c r="E830" s="12" t="str">
        <f>HYPERLINK("https://twitter.com/QBCrystals/status/1217946390480990208","1217946390480990208")</f>
        <v>1217946390480990208</v>
      </c>
      <c r="F830" s="13" t="s">
        <v>4079</v>
      </c>
      <c r="G830" s="13" t="s">
        <v>4080</v>
      </c>
      <c r="H830" s="14"/>
      <c r="I830" s="15">
        <v>0.0</v>
      </c>
      <c r="J830" s="15">
        <v>0.0</v>
      </c>
      <c r="K830" s="12" t="str">
        <f>HYPERLINK("https://buffer.com","Buffer")</f>
        <v>Buffer</v>
      </c>
      <c r="L830" s="16">
        <v>1188.0</v>
      </c>
      <c r="M830" s="16">
        <v>1146.0</v>
      </c>
      <c r="N830" s="16">
        <v>4.0</v>
      </c>
      <c r="O830" s="17"/>
      <c r="P830" s="18">
        <v>43366.790081018524</v>
      </c>
      <c r="Q830" s="1" t="s">
        <v>4081</v>
      </c>
      <c r="R830" s="1" t="s">
        <v>4082</v>
      </c>
      <c r="S830" s="13" t="s">
        <v>4083</v>
      </c>
      <c r="T830" s="14"/>
      <c r="U830" s="19" t="str">
        <f>HYPERLINK("https://pbs.twimg.com/profile_images/1056666207238025216/IxgnYKNl.jpg","View")</f>
        <v>View</v>
      </c>
      <c r="V830" s="14"/>
      <c r="W830" s="14"/>
      <c r="X830" s="14"/>
      <c r="Y830" s="14"/>
      <c r="Z830" s="14"/>
    </row>
    <row r="831">
      <c r="A831" s="11">
        <v>43846.75305555556</v>
      </c>
      <c r="B831" s="12" t="str">
        <f>HYPERLINK("https://twitter.com/KenaMurphy123","@KenaMurphy123")</f>
        <v>@KenaMurphy123</v>
      </c>
      <c r="C831" s="1" t="s">
        <v>4084</v>
      </c>
      <c r="D831" s="1" t="s">
        <v>4085</v>
      </c>
      <c r="E831" s="12" t="str">
        <f>HYPERLINK("https://twitter.com/KenaMurphy123/status/1217945726610747394","1217945726610747394")</f>
        <v>1217945726610747394</v>
      </c>
      <c r="F831" s="13" t="s">
        <v>4086</v>
      </c>
      <c r="G831" s="13" t="s">
        <v>4087</v>
      </c>
      <c r="H831" s="14"/>
      <c r="I831" s="15">
        <v>0.0</v>
      </c>
      <c r="J831" s="15">
        <v>0.0</v>
      </c>
      <c r="K831" s="12" t="str">
        <f>HYPERLINK("https://www.corelistingmachine.com/","CORE ListingMachine")</f>
        <v>CORE ListingMachine</v>
      </c>
      <c r="L831" s="16">
        <v>24.0</v>
      </c>
      <c r="M831" s="16">
        <v>66.0</v>
      </c>
      <c r="N831" s="16">
        <v>35.0</v>
      </c>
      <c r="O831" s="17"/>
      <c r="P831" s="18">
        <v>42193.02482638889</v>
      </c>
      <c r="Q831" s="1" t="s">
        <v>4088</v>
      </c>
      <c r="R831" s="1" t="s">
        <v>4089</v>
      </c>
      <c r="S831" s="13" t="s">
        <v>4090</v>
      </c>
      <c r="T831" s="14"/>
      <c r="U831" s="19" t="str">
        <f>HYPERLINK("https://pbs.twimg.com/profile_images/731951903186124802/MXKX4l7-.jpg","View")</f>
        <v>View</v>
      </c>
      <c r="V831" s="14"/>
      <c r="W831" s="14"/>
      <c r="X831" s="14"/>
      <c r="Y831" s="14"/>
      <c r="Z831" s="14"/>
    </row>
    <row r="832">
      <c r="A832" s="11">
        <v>43846.75168981482</v>
      </c>
      <c r="B832" s="12" t="str">
        <f>HYPERLINK("https://twitter.com/lizardbrooks99","@lizardbrooks99")</f>
        <v>@lizardbrooks99</v>
      </c>
      <c r="C832" s="1" t="s">
        <v>4091</v>
      </c>
      <c r="D832" s="1" t="s">
        <v>193</v>
      </c>
      <c r="E832" s="12" t="str">
        <f>HYPERLINK("https://twitter.com/lizardbrooks99/status/1217945230898618369","1217945230898618369")</f>
        <v>1217945230898618369</v>
      </c>
      <c r="F832" s="13" t="s">
        <v>4092</v>
      </c>
      <c r="G832" s="14"/>
      <c r="H832" s="14"/>
      <c r="I832" s="15">
        <v>0.0</v>
      </c>
      <c r="J832" s="15">
        <v>0.0</v>
      </c>
      <c r="K832" s="12" t="str">
        <f>HYPERLINK("http://twitter.com/download/iphone","Twitter for iPhone")</f>
        <v>Twitter for iPhone</v>
      </c>
      <c r="L832" s="16">
        <v>10133.0</v>
      </c>
      <c r="M832" s="16">
        <v>10747.0</v>
      </c>
      <c r="N832" s="16">
        <v>289.0</v>
      </c>
      <c r="O832" s="17"/>
      <c r="P832" s="18">
        <v>42469.043495370366</v>
      </c>
      <c r="Q832" s="1" t="s">
        <v>4093</v>
      </c>
      <c r="R832" s="1" t="s">
        <v>4094</v>
      </c>
      <c r="S832" s="13" t="s">
        <v>4095</v>
      </c>
      <c r="T832" s="14"/>
      <c r="U832" s="19" t="str">
        <f>HYPERLINK("https://pbs.twimg.com/profile_images/1189980701522890753/az_bvRaL.jpg","View")</f>
        <v>View</v>
      </c>
      <c r="V832" s="14"/>
      <c r="W832" s="14"/>
      <c r="X832" s="14"/>
      <c r="Y832" s="14"/>
      <c r="Z832" s="14"/>
    </row>
    <row r="833">
      <c r="A833" s="11">
        <v>43846.75033564815</v>
      </c>
      <c r="B833" s="12" t="str">
        <f>HYPERLINK("https://twitter.com/thesmbguide","@thesmbguide")</f>
        <v>@thesmbguide</v>
      </c>
      <c r="C833" s="1" t="s">
        <v>4096</v>
      </c>
      <c r="D833" s="1" t="s">
        <v>4097</v>
      </c>
      <c r="E833" s="12" t="str">
        <f>HYPERLINK("https://twitter.com/thesmbguide/status/1217944740202778624","1217944740202778624")</f>
        <v>1217944740202778624</v>
      </c>
      <c r="F833" s="13" t="s">
        <v>4098</v>
      </c>
      <c r="G833" s="13" t="s">
        <v>4099</v>
      </c>
      <c r="H833" s="14"/>
      <c r="I833" s="15">
        <v>0.0</v>
      </c>
      <c r="J833" s="15">
        <v>1.0</v>
      </c>
      <c r="K833" s="12" t="str">
        <f>HYPERLINK("https://www.hootsuite.com","Hootsuite Inc.")</f>
        <v>Hootsuite Inc.</v>
      </c>
      <c r="L833" s="16">
        <v>53.0</v>
      </c>
      <c r="M833" s="16">
        <v>130.0</v>
      </c>
      <c r="N833" s="16">
        <v>2.0</v>
      </c>
      <c r="O833" s="17"/>
      <c r="P833" s="18">
        <v>43236.832650462966</v>
      </c>
      <c r="Q833" s="14"/>
      <c r="R833" s="1" t="s">
        <v>4100</v>
      </c>
      <c r="S833" s="13" t="s">
        <v>4101</v>
      </c>
      <c r="T833" s="14"/>
      <c r="U833" s="19" t="str">
        <f>HYPERLINK("https://pbs.twimg.com/profile_images/1186303605269135360/3RGRHgfP.jpg","View")</f>
        <v>View</v>
      </c>
      <c r="V833" s="14"/>
      <c r="W833" s="14"/>
      <c r="X833" s="14"/>
      <c r="Y833" s="14"/>
      <c r="Z833" s="14"/>
    </row>
    <row r="834">
      <c r="A834" s="11">
        <v>43846.75016203704</v>
      </c>
      <c r="B834" s="12" t="str">
        <f>HYPERLINK("https://twitter.com/wildbeing","@wildbeing")</f>
        <v>@wildbeing</v>
      </c>
      <c r="C834" s="1" t="s">
        <v>4102</v>
      </c>
      <c r="D834" s="1" t="s">
        <v>4103</v>
      </c>
      <c r="E834" s="12" t="str">
        <f>HYPERLINK("https://twitter.com/wildbeing/status/1217944680408801285","1217944680408801285")</f>
        <v>1217944680408801285</v>
      </c>
      <c r="F834" s="13" t="s">
        <v>4104</v>
      </c>
      <c r="G834" s="14"/>
      <c r="H834" s="14"/>
      <c r="I834" s="15">
        <v>0.0</v>
      </c>
      <c r="J834" s="15">
        <v>0.0</v>
      </c>
      <c r="K834" s="12" t="str">
        <f>HYPERLINK("https://smarterqueue.com","SmarterQueue")</f>
        <v>SmarterQueue</v>
      </c>
      <c r="L834" s="16">
        <v>749.0</v>
      </c>
      <c r="M834" s="16">
        <v>602.0</v>
      </c>
      <c r="N834" s="16">
        <v>30.0</v>
      </c>
      <c r="O834" s="17"/>
      <c r="P834" s="18">
        <v>40532.17511574074</v>
      </c>
      <c r="Q834" s="1" t="s">
        <v>4105</v>
      </c>
      <c r="R834" s="1" t="s">
        <v>4106</v>
      </c>
      <c r="S834" s="13" t="s">
        <v>4107</v>
      </c>
      <c r="T834" s="14"/>
      <c r="U834" s="19" t="str">
        <f>HYPERLINK("https://pbs.twimg.com/profile_images/957908311491469312/A7euo1mh.jpg","View")</f>
        <v>View</v>
      </c>
      <c r="V834" s="14"/>
      <c r="W834" s="14"/>
      <c r="X834" s="14"/>
      <c r="Y834" s="14"/>
      <c r="Z834" s="14"/>
    </row>
    <row r="835">
      <c r="A835" s="11">
        <v>43846.748194444444</v>
      </c>
      <c r="B835" s="12" t="str">
        <f>HYPERLINK("https://twitter.com/francinemundt","@francinemundt")</f>
        <v>@francinemundt</v>
      </c>
      <c r="C835" s="1" t="s">
        <v>4108</v>
      </c>
      <c r="D835" s="1" t="s">
        <v>4109</v>
      </c>
      <c r="E835" s="12" t="str">
        <f>HYPERLINK("https://twitter.com/francinemundt/status/1217943966810689537","1217943966810689537")</f>
        <v>1217943966810689537</v>
      </c>
      <c r="F835" s="13" t="s">
        <v>4110</v>
      </c>
      <c r="G835" s="14"/>
      <c r="H835" s="14"/>
      <c r="I835" s="15">
        <v>1.0</v>
      </c>
      <c r="J835" s="15">
        <v>0.0</v>
      </c>
      <c r="K835" s="12" t="str">
        <f>HYPERLINK("https://mobile.twitter.com","Twitter Web App")</f>
        <v>Twitter Web App</v>
      </c>
      <c r="L835" s="16">
        <v>515.0</v>
      </c>
      <c r="M835" s="16">
        <v>1155.0</v>
      </c>
      <c r="N835" s="16">
        <v>0.0</v>
      </c>
      <c r="O835" s="17"/>
      <c r="P835" s="18">
        <v>43282.17600694444</v>
      </c>
      <c r="Q835" s="1" t="s">
        <v>4111</v>
      </c>
      <c r="R835" s="1" t="s">
        <v>4112</v>
      </c>
      <c r="S835" s="13" t="s">
        <v>4113</v>
      </c>
      <c r="T835" s="14"/>
      <c r="U835" s="19" t="str">
        <f>HYPERLINK("https://pbs.twimg.com/profile_images/1134601152941576193/rZ5jPZwE.jpg","View")</f>
        <v>View</v>
      </c>
      <c r="V835" s="14"/>
      <c r="W835" s="14"/>
      <c r="X835" s="14"/>
      <c r="Y835" s="14"/>
      <c r="Z835" s="14"/>
    </row>
    <row r="836">
      <c r="A836" s="11">
        <v>43846.74625</v>
      </c>
      <c r="B836" s="12" t="str">
        <f>HYPERLINK("https://twitter.com/MsBizWiz","@MsBizWiz")</f>
        <v>@MsBizWiz</v>
      </c>
      <c r="C836" s="1" t="s">
        <v>4114</v>
      </c>
      <c r="D836" s="1" t="s">
        <v>4115</v>
      </c>
      <c r="E836" s="12" t="str">
        <f>HYPERLINK("https://twitter.com/MsBizWiz/status/1217943260360069123","1217943260360069123")</f>
        <v>1217943260360069123</v>
      </c>
      <c r="F836" s="13" t="s">
        <v>4116</v>
      </c>
      <c r="G836" s="14"/>
      <c r="H836" s="14"/>
      <c r="I836" s="15">
        <v>0.0</v>
      </c>
      <c r="J836" s="15">
        <v>0.0</v>
      </c>
      <c r="K836" s="12" t="str">
        <f>HYPERLINK("http://instagram.com","Instagram")</f>
        <v>Instagram</v>
      </c>
      <c r="L836" s="16">
        <v>1657.0</v>
      </c>
      <c r="M836" s="16">
        <v>2797.0</v>
      </c>
      <c r="N836" s="16">
        <v>199.0</v>
      </c>
      <c r="O836" s="17"/>
      <c r="P836" s="18">
        <v>40781.41131944444</v>
      </c>
      <c r="Q836" s="1" t="s">
        <v>2232</v>
      </c>
      <c r="R836" s="1" t="s">
        <v>4117</v>
      </c>
      <c r="S836" s="13" t="s">
        <v>4118</v>
      </c>
      <c r="T836" s="14"/>
      <c r="U836" s="19" t="str">
        <f>HYPERLINK("https://pbs.twimg.com/profile_images/1196987653545242624/Yl_GeJjk.jpg","View")</f>
        <v>View</v>
      </c>
      <c r="V836" s="14"/>
      <c r="W836" s="14"/>
      <c r="X836" s="14"/>
      <c r="Y836" s="14"/>
      <c r="Z836" s="14"/>
    </row>
    <row r="837">
      <c r="A837" s="11">
        <v>43846.745150462964</v>
      </c>
      <c r="B837" s="12" t="str">
        <f>HYPERLINK("https://twitter.com/PHIAirMed","@PHIAirMed")</f>
        <v>@PHIAirMed</v>
      </c>
      <c r="C837" s="1" t="s">
        <v>4119</v>
      </c>
      <c r="D837" s="1" t="s">
        <v>4120</v>
      </c>
      <c r="E837" s="12" t="str">
        <f>HYPERLINK("https://twitter.com/PHIAirMed/status/1217942864442941440","1217942864442941440")</f>
        <v>1217942864442941440</v>
      </c>
      <c r="F837" s="1" t="s">
        <v>4121</v>
      </c>
      <c r="G837" s="14"/>
      <c r="H837" s="14"/>
      <c r="I837" s="15">
        <v>0.0</v>
      </c>
      <c r="J837" s="15">
        <v>0.0</v>
      </c>
      <c r="K837" s="12" t="str">
        <f>HYPERLINK("https://sproutsocial.com","Sprout Social")</f>
        <v>Sprout Social</v>
      </c>
      <c r="L837" s="16">
        <v>4743.0</v>
      </c>
      <c r="M837" s="16">
        <v>1100.0</v>
      </c>
      <c r="N837" s="16">
        <v>132.0</v>
      </c>
      <c r="O837" s="17"/>
      <c r="P837" s="18">
        <v>40752.46369212963</v>
      </c>
      <c r="Q837" s="1" t="s">
        <v>4122</v>
      </c>
      <c r="R837" s="1" t="s">
        <v>4123</v>
      </c>
      <c r="S837" s="13" t="s">
        <v>4124</v>
      </c>
      <c r="T837" s="14"/>
      <c r="U837" s="19" t="str">
        <f>HYPERLINK("https://pbs.twimg.com/profile_images/793556727992049664/IeRO0d2-.jpg","View")</f>
        <v>View</v>
      </c>
      <c r="V837" s="14"/>
      <c r="W837" s="14"/>
      <c r="X837" s="14"/>
      <c r="Y837" s="14"/>
      <c r="Z837" s="14"/>
    </row>
    <row r="838">
      <c r="A838" s="11">
        <v>43846.73657407408</v>
      </c>
      <c r="B838" s="12" t="str">
        <f>HYPERLINK("https://twitter.com/weisenburger","@weisenburger")</f>
        <v>@weisenburger</v>
      </c>
      <c r="C838" s="1" t="s">
        <v>4125</v>
      </c>
      <c r="D838" s="1" t="s">
        <v>4126</v>
      </c>
      <c r="E838" s="12" t="str">
        <f>HYPERLINK("https://twitter.com/weisenburger/status/1217939756522196994","1217939756522196994")</f>
        <v>1217939756522196994</v>
      </c>
      <c r="F838" s="13" t="s">
        <v>4127</v>
      </c>
      <c r="G838" s="14"/>
      <c r="H838" s="14"/>
      <c r="I838" s="15">
        <v>0.0</v>
      </c>
      <c r="J838" s="15">
        <v>0.0</v>
      </c>
      <c r="K838" s="12" t="str">
        <f>HYPERLINK("http://twitter.com","Twitter Web Client")</f>
        <v>Twitter Web Client</v>
      </c>
      <c r="L838" s="16">
        <v>971.0</v>
      </c>
      <c r="M838" s="16">
        <v>1164.0</v>
      </c>
      <c r="N838" s="16">
        <v>8.0</v>
      </c>
      <c r="O838" s="17"/>
      <c r="P838" s="18">
        <v>39955.526550925926</v>
      </c>
      <c r="Q838" s="1" t="s">
        <v>115</v>
      </c>
      <c r="R838" s="1" t="s">
        <v>4128</v>
      </c>
      <c r="S838" s="13" t="s">
        <v>4129</v>
      </c>
      <c r="T838" s="14"/>
      <c r="U838" s="19" t="str">
        <f>HYPERLINK("https://pbs.twimg.com/profile_images/1161469418850750464/K3txY8dK.jpg","View")</f>
        <v>View</v>
      </c>
      <c r="V838" s="14"/>
      <c r="W838" s="14"/>
      <c r="X838" s="14"/>
      <c r="Y838" s="14"/>
      <c r="Z838" s="14"/>
    </row>
    <row r="839">
      <c r="A839" s="11">
        <v>43846.73400462963</v>
      </c>
      <c r="B839" s="12" t="str">
        <f>HYPERLINK("https://twitter.com/itsmothersturn","@itsmothersturn")</f>
        <v>@itsmothersturn</v>
      </c>
      <c r="C839" s="1" t="s">
        <v>4130</v>
      </c>
      <c r="D839" s="1" t="s">
        <v>4131</v>
      </c>
      <c r="E839" s="12" t="str">
        <f>HYPERLINK("https://twitter.com/itsmothersturn/status/1217938824459890689","1217938824459890689")</f>
        <v>1217938824459890689</v>
      </c>
      <c r="F839" s="13" t="s">
        <v>4132</v>
      </c>
      <c r="G839" s="13" t="s">
        <v>4133</v>
      </c>
      <c r="H839" s="14"/>
      <c r="I839" s="15">
        <v>0.0</v>
      </c>
      <c r="J839" s="15">
        <v>0.0</v>
      </c>
      <c r="K839" s="12" t="str">
        <f>HYPERLINK("https://missinglettr.com","Missinglettr")</f>
        <v>Missinglettr</v>
      </c>
      <c r="L839" s="16">
        <v>820.0</v>
      </c>
      <c r="M839" s="16">
        <v>1001.0</v>
      </c>
      <c r="N839" s="16">
        <v>144.0</v>
      </c>
      <c r="O839" s="17"/>
      <c r="P839" s="18">
        <v>40793.93644675926</v>
      </c>
      <c r="Q839" s="1" t="s">
        <v>4134</v>
      </c>
      <c r="R839" s="1" t="s">
        <v>4135</v>
      </c>
      <c r="S839" s="13" t="s">
        <v>4136</v>
      </c>
      <c r="T839" s="14"/>
      <c r="U839" s="19" t="str">
        <f>HYPERLINK("https://pbs.twimg.com/profile_images/1184595315388768257/f9gM6yJJ.jpg","View")</f>
        <v>View</v>
      </c>
      <c r="V839" s="14"/>
      <c r="W839" s="14"/>
      <c r="X839" s="14"/>
      <c r="Y839" s="14"/>
      <c r="Z839" s="14"/>
    </row>
    <row r="840">
      <c r="A840" s="11">
        <v>43846.73380787037</v>
      </c>
      <c r="B840" s="12" t="str">
        <f>HYPERLINK("https://twitter.com/beermann","@beermann")</f>
        <v>@beermann</v>
      </c>
      <c r="C840" s="1" t="s">
        <v>4137</v>
      </c>
      <c r="D840" s="1" t="s">
        <v>4138</v>
      </c>
      <c r="E840" s="12" t="str">
        <f>HYPERLINK("https://twitter.com/beermann/status/1217938750895865856","1217938750895865856")</f>
        <v>1217938750895865856</v>
      </c>
      <c r="F840" s="13" t="s">
        <v>4139</v>
      </c>
      <c r="G840" s="14"/>
      <c r="H840" s="14"/>
      <c r="I840" s="15">
        <v>2.0</v>
      </c>
      <c r="J840" s="15">
        <v>5.0</v>
      </c>
      <c r="K840" s="12" t="str">
        <f>HYPERLINK("https://mobile.twitter.com","Twitter Web App")</f>
        <v>Twitter Web App</v>
      </c>
      <c r="L840" s="16">
        <v>1072.0</v>
      </c>
      <c r="M840" s="16">
        <v>1043.0</v>
      </c>
      <c r="N840" s="16">
        <v>88.0</v>
      </c>
      <c r="O840" s="17"/>
      <c r="P840" s="18">
        <v>39466.7677662037</v>
      </c>
      <c r="Q840" s="1" t="s">
        <v>1782</v>
      </c>
      <c r="R840" s="1" t="s">
        <v>4140</v>
      </c>
      <c r="S840" s="13" t="s">
        <v>4141</v>
      </c>
      <c r="T840" s="14"/>
      <c r="U840" s="19" t="str">
        <f>HYPERLINK("https://pbs.twimg.com/profile_images/623916218215481344/g61gveLE.jpg","View")</f>
        <v>View</v>
      </c>
      <c r="V840" s="14"/>
      <c r="W840" s="14"/>
      <c r="X840" s="14"/>
      <c r="Y840" s="14"/>
      <c r="Z840" s="14"/>
    </row>
    <row r="841">
      <c r="A841" s="11">
        <v>43846.72922453703</v>
      </c>
      <c r="B841" s="12" t="str">
        <f>HYPERLINK("https://twitter.com/EastWingRufford","@EastWingRufford")</f>
        <v>@EastWingRufford</v>
      </c>
      <c r="C841" s="1" t="s">
        <v>1002</v>
      </c>
      <c r="D841" s="1" t="s">
        <v>1003</v>
      </c>
      <c r="E841" s="12" t="str">
        <f>HYPERLINK("https://twitter.com/EastWingRufford/status/1217937089804820487","1217937089804820487")</f>
        <v>1217937089804820487</v>
      </c>
      <c r="F841" s="13" t="s">
        <v>1004</v>
      </c>
      <c r="G841" s="13" t="s">
        <v>4142</v>
      </c>
      <c r="H841" s="14"/>
      <c r="I841" s="15">
        <v>0.0</v>
      </c>
      <c r="J841" s="15">
        <v>0.0</v>
      </c>
      <c r="K841" s="12" t="str">
        <f>HYPERLINK("https://socialposterfire.com","Social Poster Fire")</f>
        <v>Social Poster Fire</v>
      </c>
      <c r="L841" s="16">
        <v>342.0</v>
      </c>
      <c r="M841" s="16">
        <v>524.0</v>
      </c>
      <c r="N841" s="16">
        <v>4.0</v>
      </c>
      <c r="O841" s="17"/>
      <c r="P841" s="18">
        <v>43141.54956018519</v>
      </c>
      <c r="Q841" s="1" t="s">
        <v>1006</v>
      </c>
      <c r="R841" s="1" t="s">
        <v>1007</v>
      </c>
      <c r="S841" s="13" t="s">
        <v>1008</v>
      </c>
      <c r="T841" s="14"/>
      <c r="U841" s="19" t="str">
        <f>HYPERLINK("https://pbs.twimg.com/profile_images/962404982984241158/u2bomX09.jpg","View")</f>
        <v>View</v>
      </c>
      <c r="V841" s="14"/>
      <c r="W841" s="14"/>
      <c r="X841" s="14"/>
      <c r="Y841" s="14"/>
      <c r="Z841" s="14"/>
    </row>
    <row r="842">
      <c r="A842" s="11">
        <v>43846.72859953703</v>
      </c>
      <c r="B842" s="12" t="str">
        <f>HYPERLINK("https://twitter.com/_theBrownprint_","@_theBrownprint_")</f>
        <v>@_theBrownprint_</v>
      </c>
      <c r="C842" s="1" t="s">
        <v>4143</v>
      </c>
      <c r="D842" s="1" t="s">
        <v>4144</v>
      </c>
      <c r="E842" s="12" t="str">
        <f>HYPERLINK("https://twitter.com/_theBrownprint_/status/1217936865438978051","1217936865438978051")</f>
        <v>1217936865438978051</v>
      </c>
      <c r="F842" s="1" t="s">
        <v>4145</v>
      </c>
      <c r="G842" s="14"/>
      <c r="H842" s="14"/>
      <c r="I842" s="15">
        <v>1.0</v>
      </c>
      <c r="J842" s="15">
        <v>5.0</v>
      </c>
      <c r="K842" s="12" t="str">
        <f>HYPERLINK("http://twitter.com/download/iphone","Twitter for iPhone")</f>
        <v>Twitter for iPhone</v>
      </c>
      <c r="L842" s="16">
        <v>895.0</v>
      </c>
      <c r="M842" s="16">
        <v>455.0</v>
      </c>
      <c r="N842" s="16">
        <v>6.0</v>
      </c>
      <c r="O842" s="17"/>
      <c r="P842" s="18">
        <v>43257.68956018519</v>
      </c>
      <c r="Q842" s="1" t="s">
        <v>4146</v>
      </c>
      <c r="R842" s="1" t="s">
        <v>4147</v>
      </c>
      <c r="S842" s="13" t="s">
        <v>4148</v>
      </c>
      <c r="T842" s="14"/>
      <c r="U842" s="19" t="str">
        <f>HYPERLINK("https://pbs.twimg.com/profile_images/1213619296598777857/65F8aNo4.jpg","View")</f>
        <v>View</v>
      </c>
      <c r="V842" s="14"/>
      <c r="W842" s="14"/>
      <c r="X842" s="14"/>
      <c r="Y842" s="14"/>
      <c r="Z842" s="14"/>
    </row>
    <row r="843">
      <c r="A843" s="11">
        <v>43846.72854166667</v>
      </c>
      <c r="B843" s="12" t="str">
        <f>HYPERLINK("https://twitter.com/PearlHennie","@PearlHennie")</f>
        <v>@PearlHennie</v>
      </c>
      <c r="C843" s="1" t="s">
        <v>4149</v>
      </c>
      <c r="D843" s="1" t="s">
        <v>4150</v>
      </c>
      <c r="E843" s="12" t="str">
        <f>HYPERLINK("https://twitter.com/PearlHennie/status/1217936842957320193","1217936842957320193")</f>
        <v>1217936842957320193</v>
      </c>
      <c r="F843" s="14"/>
      <c r="G843" s="14"/>
      <c r="H843" s="14"/>
      <c r="I843" s="15">
        <v>0.0</v>
      </c>
      <c r="J843" s="15">
        <v>0.0</v>
      </c>
      <c r="K843" s="12" t="str">
        <f>HYPERLINK("http://twitter.com/download/android","Twitter for Android")</f>
        <v>Twitter for Android</v>
      </c>
      <c r="L843" s="16">
        <v>27.0</v>
      </c>
      <c r="M843" s="16">
        <v>49.0</v>
      </c>
      <c r="N843" s="16">
        <v>0.0</v>
      </c>
      <c r="O843" s="17"/>
      <c r="P843" s="18">
        <v>43482.227106481485</v>
      </c>
      <c r="Q843" s="1" t="s">
        <v>4151</v>
      </c>
      <c r="R843" s="1" t="s">
        <v>4152</v>
      </c>
      <c r="S843" s="14"/>
      <c r="T843" s="14"/>
      <c r="U843" s="19" t="str">
        <f>HYPERLINK("https://pbs.twimg.com/profile_images/1085847080885604352/r838X8wc.jpg","View")</f>
        <v>View</v>
      </c>
      <c r="V843" s="14"/>
      <c r="W843" s="14"/>
      <c r="X843" s="14"/>
      <c r="Y843" s="14"/>
      <c r="Z843" s="14"/>
    </row>
    <row r="844">
      <c r="A844" s="11">
        <v>43846.727118055554</v>
      </c>
      <c r="B844" s="12" t="str">
        <f>HYPERLINK("https://twitter.com/tricovel","@tricovel")</f>
        <v>@tricovel</v>
      </c>
      <c r="C844" s="1" t="s">
        <v>4153</v>
      </c>
      <c r="D844" s="1" t="s">
        <v>4154</v>
      </c>
      <c r="E844" s="12" t="str">
        <f>HYPERLINK("https://twitter.com/tricovel/status/1217936327330627586","1217936327330627586")</f>
        <v>1217936327330627586</v>
      </c>
      <c r="F844" s="13" t="s">
        <v>4155</v>
      </c>
      <c r="G844" s="14"/>
      <c r="H844" s="14"/>
      <c r="I844" s="15">
        <v>0.0</v>
      </c>
      <c r="J844" s="15">
        <v>0.0</v>
      </c>
      <c r="K844" s="12" t="str">
        <f>HYPERLINK("https://coschedule.com","CoSchedule")</f>
        <v>CoSchedule</v>
      </c>
      <c r="L844" s="16">
        <v>71.0</v>
      </c>
      <c r="M844" s="16">
        <v>20.0</v>
      </c>
      <c r="N844" s="16">
        <v>5.0</v>
      </c>
      <c r="O844" s="17"/>
      <c r="P844" s="18">
        <v>42417.41515046296</v>
      </c>
      <c r="Q844" s="14"/>
      <c r="R844" s="14"/>
      <c r="S844" s="14"/>
      <c r="T844" s="14"/>
      <c r="U844" s="19" t="str">
        <f>HYPERLINK("https://pbs.twimg.com/profile_images/707557677992439808/8Md358aI.jpg","View")</f>
        <v>View</v>
      </c>
      <c r="V844" s="14"/>
      <c r="W844" s="14"/>
      <c r="X844" s="14"/>
      <c r="Y844" s="14"/>
      <c r="Z844" s="14"/>
    </row>
    <row r="845">
      <c r="A845" s="11">
        <v>43846.72309027778</v>
      </c>
      <c r="B845" s="12" t="str">
        <f>HYPERLINK("https://twitter.com/Booutique","@Booutique")</f>
        <v>@Booutique</v>
      </c>
      <c r="C845" s="1" t="s">
        <v>2117</v>
      </c>
      <c r="D845" s="1" t="s">
        <v>4156</v>
      </c>
      <c r="E845" s="12" t="str">
        <f>HYPERLINK("https://twitter.com/Booutique/status/1217934870619607040","1217934870619607040")</f>
        <v>1217934870619607040</v>
      </c>
      <c r="F845" s="14"/>
      <c r="G845" s="13" t="s">
        <v>4157</v>
      </c>
      <c r="H845" s="14"/>
      <c r="I845" s="15">
        <v>0.0</v>
      </c>
      <c r="J845" s="15">
        <v>0.0</v>
      </c>
      <c r="K845" s="12" t="str">
        <f>HYPERLINK("https://www.socialjukebox.com","The Social Jukebox")</f>
        <v>The Social Jukebox</v>
      </c>
      <c r="L845" s="16">
        <v>12531.0</v>
      </c>
      <c r="M845" s="16">
        <v>12233.0</v>
      </c>
      <c r="N845" s="16">
        <v>863.0</v>
      </c>
      <c r="O845" s="17"/>
      <c r="P845" s="18">
        <v>39904.70653935185</v>
      </c>
      <c r="Q845" s="14"/>
      <c r="R845" s="1" t="s">
        <v>2120</v>
      </c>
      <c r="S845" s="13" t="s">
        <v>2121</v>
      </c>
      <c r="T845" s="14"/>
      <c r="U845" s="19" t="str">
        <f>HYPERLINK("https://pbs.twimg.com/profile_images/460586224256679936/rvWCM2Ry.jpeg","View")</f>
        <v>View</v>
      </c>
      <c r="V845" s="14"/>
      <c r="W845" s="14"/>
      <c r="X845" s="14"/>
      <c r="Y845" s="14"/>
      <c r="Z845" s="14"/>
    </row>
    <row r="846">
      <c r="A846" s="11">
        <v>43846.722766203704</v>
      </c>
      <c r="B846" s="12" t="str">
        <f>HYPERLINK("https://twitter.com/JoanneTroppello","@JoanneTroppello")</f>
        <v>@JoanneTroppello</v>
      </c>
      <c r="C846" s="1" t="s">
        <v>4158</v>
      </c>
      <c r="D846" s="1" t="s">
        <v>4159</v>
      </c>
      <c r="E846" s="12" t="str">
        <f>HYPERLINK("https://twitter.com/JoanneTroppello/status/1217934751807475718","1217934751807475718")</f>
        <v>1217934751807475718</v>
      </c>
      <c r="F846" s="13" t="s">
        <v>4160</v>
      </c>
      <c r="G846" s="14"/>
      <c r="H846" s="14"/>
      <c r="I846" s="15">
        <v>1.0</v>
      </c>
      <c r="J846" s="15">
        <v>1.0</v>
      </c>
      <c r="K846" s="12" t="str">
        <f>HYPERLINK("https://mobile.twitter.com","Twitter Web App")</f>
        <v>Twitter Web App</v>
      </c>
      <c r="L846" s="16">
        <v>13773.0</v>
      </c>
      <c r="M846" s="16">
        <v>11263.0</v>
      </c>
      <c r="N846" s="16">
        <v>136.0</v>
      </c>
      <c r="O846" s="17"/>
      <c r="P846" s="18">
        <v>40253.44596064815</v>
      </c>
      <c r="Q846" s="1" t="s">
        <v>4161</v>
      </c>
      <c r="R846" s="1" t="s">
        <v>4162</v>
      </c>
      <c r="S846" s="13" t="s">
        <v>4163</v>
      </c>
      <c r="T846" s="14"/>
      <c r="U846" s="19" t="str">
        <f>HYPERLINK("https://pbs.twimg.com/profile_images/1215534339733295104/RIEDgdr-.jpg","View")</f>
        <v>View</v>
      </c>
      <c r="V846" s="14"/>
      <c r="W846" s="14"/>
      <c r="X846" s="14"/>
      <c r="Y846" s="14"/>
      <c r="Z846" s="14"/>
    </row>
    <row r="847">
      <c r="A847" s="11">
        <v>43846.71997685185</v>
      </c>
      <c r="B847" s="12" t="str">
        <f>HYPERLINK("https://twitter.com/toni_bernhard","@toni_bernhard")</f>
        <v>@toni_bernhard</v>
      </c>
      <c r="C847" s="1" t="s">
        <v>749</v>
      </c>
      <c r="D847" s="1" t="s">
        <v>4164</v>
      </c>
      <c r="E847" s="12" t="str">
        <f>HYPERLINK("https://twitter.com/toni_bernhard/status/1217933742502641665","1217933742502641665")</f>
        <v>1217933742502641665</v>
      </c>
      <c r="F847" s="13" t="s">
        <v>751</v>
      </c>
      <c r="G847" s="14"/>
      <c r="H847" s="14"/>
      <c r="I847" s="15">
        <v>3.0</v>
      </c>
      <c r="J847" s="15">
        <v>3.0</v>
      </c>
      <c r="K847" s="12" t="str">
        <f>HYPERLINK("http://twitter.com","Twitter Web Client")</f>
        <v>Twitter Web Client</v>
      </c>
      <c r="L847" s="16">
        <v>4965.0</v>
      </c>
      <c r="M847" s="16">
        <v>1524.0</v>
      </c>
      <c r="N847" s="16">
        <v>331.0</v>
      </c>
      <c r="O847" s="17"/>
      <c r="P847" s="18">
        <v>40382.55401620371</v>
      </c>
      <c r="Q847" s="14"/>
      <c r="R847" s="1" t="s">
        <v>752</v>
      </c>
      <c r="S847" s="13" t="s">
        <v>753</v>
      </c>
      <c r="T847" s="14"/>
      <c r="U847" s="19" t="str">
        <f>HYPERLINK("https://pbs.twimg.com/profile_images/759869867449196544/dEV7yImo.jpg","View")</f>
        <v>View</v>
      </c>
      <c r="V847" s="14"/>
      <c r="W847" s="14"/>
      <c r="X847" s="14"/>
      <c r="Y847" s="14"/>
      <c r="Z847" s="14"/>
    </row>
    <row r="848">
      <c r="A848" s="11">
        <v>43846.71814814815</v>
      </c>
      <c r="B848" s="12" t="str">
        <f>HYPERLINK("https://twitter.com/BethkazV","@BethkazV")</f>
        <v>@BethkazV</v>
      </c>
      <c r="C848" s="1" t="s">
        <v>4165</v>
      </c>
      <c r="D848" s="1" t="s">
        <v>193</v>
      </c>
      <c r="E848" s="12" t="str">
        <f>HYPERLINK("https://twitter.com/BethkazV/status/1217933079161069573","1217933079161069573")</f>
        <v>1217933079161069573</v>
      </c>
      <c r="F848" s="13" t="s">
        <v>4166</v>
      </c>
      <c r="G848" s="14"/>
      <c r="H848" s="14"/>
      <c r="I848" s="15">
        <v>1.0</v>
      </c>
      <c r="J848" s="15">
        <v>1.0</v>
      </c>
      <c r="K848" s="12" t="str">
        <f t="shared" ref="K848:K850" si="85">HYPERLINK("http://twitter.com/download/iphone","Twitter for iPhone")</f>
        <v>Twitter for iPhone</v>
      </c>
      <c r="L848" s="16">
        <v>2932.0</v>
      </c>
      <c r="M848" s="16">
        <v>4951.0</v>
      </c>
      <c r="N848" s="16">
        <v>233.0</v>
      </c>
      <c r="O848" s="17"/>
      <c r="P848" s="18">
        <v>41752.73159722222</v>
      </c>
      <c r="Q848" s="1" t="s">
        <v>2987</v>
      </c>
      <c r="R848" s="14"/>
      <c r="S848" s="14"/>
      <c r="T848" s="14"/>
      <c r="U848" s="19" t="str">
        <f>HYPERLINK("https://pbs.twimg.com/profile_images/1180955750962798594/g6vdWNBM.jpg","View")</f>
        <v>View</v>
      </c>
      <c r="V848" s="14"/>
      <c r="W848" s="14"/>
      <c r="X848" s="14"/>
      <c r="Y848" s="14"/>
      <c r="Z848" s="14"/>
    </row>
    <row r="849">
      <c r="A849" s="11">
        <v>43846.71747685185</v>
      </c>
      <c r="B849" s="12" t="str">
        <f>HYPERLINK("https://twitter.com/FLYTrainer01","@FLYTrainer01")</f>
        <v>@FLYTrainer01</v>
      </c>
      <c r="C849" s="1" t="s">
        <v>4167</v>
      </c>
      <c r="D849" s="1" t="s">
        <v>4168</v>
      </c>
      <c r="E849" s="12" t="str">
        <f>HYPERLINK("https://twitter.com/FLYTrainer01/status/1217932834574413824","1217932834574413824")</f>
        <v>1217932834574413824</v>
      </c>
      <c r="F849" s="13" t="s">
        <v>4169</v>
      </c>
      <c r="G849" s="14"/>
      <c r="H849" s="14"/>
      <c r="I849" s="15">
        <v>0.0</v>
      </c>
      <c r="J849" s="15">
        <v>0.0</v>
      </c>
      <c r="K849" s="12" t="str">
        <f t="shared" si="85"/>
        <v>Twitter for iPhone</v>
      </c>
      <c r="L849" s="16">
        <v>15601.0</v>
      </c>
      <c r="M849" s="16">
        <v>2652.0</v>
      </c>
      <c r="N849" s="16">
        <v>23.0</v>
      </c>
      <c r="O849" s="17"/>
      <c r="P849" s="18">
        <v>40606.564837962964</v>
      </c>
      <c r="Q849" s="1" t="s">
        <v>4170</v>
      </c>
      <c r="R849" s="1" t="s">
        <v>4171</v>
      </c>
      <c r="S849" s="13" t="s">
        <v>4172</v>
      </c>
      <c r="T849" s="14"/>
      <c r="U849" s="19" t="str">
        <f>HYPERLINK("https://pbs.twimg.com/profile_images/1217066082189697024/GY3jTfK1.jpg","View")</f>
        <v>View</v>
      </c>
      <c r="V849" s="14"/>
      <c r="W849" s="14"/>
      <c r="X849" s="14"/>
      <c r="Y849" s="14"/>
      <c r="Z849" s="14"/>
    </row>
    <row r="850">
      <c r="A850" s="11">
        <v>43846.71740740741</v>
      </c>
      <c r="B850" s="12" t="str">
        <f>HYPERLINK("https://twitter.com/TrainerXina","@TrainerXina")</f>
        <v>@TrainerXina</v>
      </c>
      <c r="C850" s="1" t="s">
        <v>4173</v>
      </c>
      <c r="D850" s="1" t="s">
        <v>4168</v>
      </c>
      <c r="E850" s="12" t="str">
        <f>HYPERLINK("https://twitter.com/TrainerXina/status/1217932807290396673","1217932807290396673")</f>
        <v>1217932807290396673</v>
      </c>
      <c r="F850" s="13" t="s">
        <v>4169</v>
      </c>
      <c r="G850" s="14"/>
      <c r="H850" s="14"/>
      <c r="I850" s="15">
        <v>0.0</v>
      </c>
      <c r="J850" s="15">
        <v>0.0</v>
      </c>
      <c r="K850" s="12" t="str">
        <f t="shared" si="85"/>
        <v>Twitter for iPhone</v>
      </c>
      <c r="L850" s="16">
        <v>3693.0</v>
      </c>
      <c r="M850" s="16">
        <v>3018.0</v>
      </c>
      <c r="N850" s="16">
        <v>7.0</v>
      </c>
      <c r="O850" s="17"/>
      <c r="P850" s="18">
        <v>42824.678518518514</v>
      </c>
      <c r="Q850" s="1" t="s">
        <v>4174</v>
      </c>
      <c r="R850" s="1" t="s">
        <v>4171</v>
      </c>
      <c r="S850" s="13" t="s">
        <v>4172</v>
      </c>
      <c r="T850" s="14"/>
      <c r="U850" s="19" t="str">
        <f>HYPERLINK("https://pbs.twimg.com/profile_images/1134237846947225601/tCjWlQ4E.png","View")</f>
        <v>View</v>
      </c>
      <c r="V850" s="14"/>
      <c r="W850" s="14"/>
      <c r="X850" s="14"/>
      <c r="Y850" s="14"/>
      <c r="Z850" s="14"/>
    </row>
    <row r="851">
      <c r="A851" s="11">
        <v>43846.715092592596</v>
      </c>
      <c r="B851" s="12" t="str">
        <f>HYPERLINK("https://twitter.com/CassandraReport","@CassandraReport")</f>
        <v>@CassandraReport</v>
      </c>
      <c r="C851" s="1" t="s">
        <v>4175</v>
      </c>
      <c r="D851" s="1" t="s">
        <v>4176</v>
      </c>
      <c r="E851" s="12" t="str">
        <f>HYPERLINK("https://twitter.com/CassandraReport/status/1217931971055276033","1217931971055276033")</f>
        <v>1217931971055276033</v>
      </c>
      <c r="F851" s="13" t="s">
        <v>4177</v>
      </c>
      <c r="G851" s="14"/>
      <c r="H851" s="14"/>
      <c r="I851" s="15">
        <v>1.0</v>
      </c>
      <c r="J851" s="15">
        <v>0.0</v>
      </c>
      <c r="K851" s="12" t="str">
        <f>HYPERLINK("https://mobile.twitter.com","Twitter Web App")</f>
        <v>Twitter Web App</v>
      </c>
      <c r="L851" s="16">
        <v>8697.0</v>
      </c>
      <c r="M851" s="16">
        <v>1396.0</v>
      </c>
      <c r="N851" s="16">
        <v>580.0</v>
      </c>
      <c r="O851" s="17"/>
      <c r="P851" s="18">
        <v>40031.613587962966</v>
      </c>
      <c r="Q851" s="1" t="s">
        <v>4178</v>
      </c>
      <c r="R851" s="1" t="s">
        <v>4179</v>
      </c>
      <c r="S851" s="13" t="s">
        <v>4180</v>
      </c>
      <c r="T851" s="14"/>
      <c r="U851" s="19" t="str">
        <f>HYPERLINK("https://pbs.twimg.com/profile_images/1201568937844125702/UI0j6KI9.jpg","View")</f>
        <v>View</v>
      </c>
      <c r="V851" s="14"/>
      <c r="W851" s="14"/>
      <c r="X851" s="14"/>
      <c r="Y851" s="14"/>
      <c r="Z851" s="14"/>
    </row>
    <row r="852">
      <c r="A852" s="11">
        <v>43846.71277777778</v>
      </c>
      <c r="B852" s="12" t="str">
        <f>HYPERLINK("https://twitter.com/BearwoodMind","@BearwoodMind")</f>
        <v>@BearwoodMind</v>
      </c>
      <c r="C852" s="1" t="s">
        <v>4181</v>
      </c>
      <c r="D852" s="1" t="s">
        <v>4182</v>
      </c>
      <c r="E852" s="12" t="str">
        <f>HYPERLINK("https://twitter.com/BearwoodMind/status/1217931131242323968","1217931131242323968")</f>
        <v>1217931131242323968</v>
      </c>
      <c r="F852" s="14"/>
      <c r="G852" s="13" t="s">
        <v>4183</v>
      </c>
      <c r="H852" s="14"/>
      <c r="I852" s="15">
        <v>0.0</v>
      </c>
      <c r="J852" s="15">
        <v>2.0</v>
      </c>
      <c r="K852" s="12" t="str">
        <f>HYPERLINK("http://twitter.com/download/android","Twitter for Android")</f>
        <v>Twitter for Android</v>
      </c>
      <c r="L852" s="16">
        <v>58.0</v>
      </c>
      <c r="M852" s="16">
        <v>79.0</v>
      </c>
      <c r="N852" s="16">
        <v>0.0</v>
      </c>
      <c r="O852" s="17"/>
      <c r="P852" s="18">
        <v>42410.418958333335</v>
      </c>
      <c r="Q852" s="14"/>
      <c r="R852" s="1">
        <v>1.214291464E9</v>
      </c>
      <c r="S852" s="14"/>
      <c r="T852" s="14"/>
      <c r="U852" s="19" t="str">
        <f>HYPERLINK("https://pbs.twimg.com/profile_images/697436303252721664/QyUlhEwP.png","View")</f>
        <v>View</v>
      </c>
      <c r="V852" s="14"/>
      <c r="W852" s="14"/>
      <c r="X852" s="14"/>
      <c r="Y852" s="14"/>
      <c r="Z852" s="14"/>
    </row>
    <row r="853">
      <c r="A853" s="11">
        <v>43846.71090277778</v>
      </c>
      <c r="B853" s="12" t="str">
        <f>HYPERLINK("https://twitter.com/Wellness_Orbit","@Wellness_Orbit")</f>
        <v>@Wellness_Orbit</v>
      </c>
      <c r="C853" s="1" t="s">
        <v>4184</v>
      </c>
      <c r="D853" s="1" t="s">
        <v>4185</v>
      </c>
      <c r="E853" s="12" t="str">
        <f>HYPERLINK("https://twitter.com/Wellness_Orbit/status/1217930452394221568","1217930452394221568")</f>
        <v>1217930452394221568</v>
      </c>
      <c r="F853" s="13" t="s">
        <v>4186</v>
      </c>
      <c r="G853" s="13" t="s">
        <v>4187</v>
      </c>
      <c r="H853" s="14"/>
      <c r="I853" s="15">
        <v>0.0</v>
      </c>
      <c r="J853" s="15">
        <v>1.0</v>
      </c>
      <c r="K853" s="12" t="str">
        <f>HYPERLINK("https://mobile.twitter.com","Twitter Web App")</f>
        <v>Twitter Web App</v>
      </c>
      <c r="L853" s="16">
        <v>1868.0</v>
      </c>
      <c r="M853" s="16">
        <v>4864.0</v>
      </c>
      <c r="N853" s="16">
        <v>13.0</v>
      </c>
      <c r="O853" s="17"/>
      <c r="P853" s="18">
        <v>42748.75420138889</v>
      </c>
      <c r="Q853" s="14"/>
      <c r="R853" s="1" t="s">
        <v>4188</v>
      </c>
      <c r="S853" s="13" t="s">
        <v>4189</v>
      </c>
      <c r="T853" s="14"/>
      <c r="U853" s="19" t="str">
        <f>HYPERLINK("https://pbs.twimg.com/profile_images/1152339235388755968/xWq9HR5r.jpg","View")</f>
        <v>View</v>
      </c>
      <c r="V853" s="14"/>
      <c r="W853" s="14"/>
      <c r="X853" s="14"/>
      <c r="Y853" s="14"/>
      <c r="Z853" s="14"/>
    </row>
    <row r="854">
      <c r="A854" s="11">
        <v>43846.71052083334</v>
      </c>
      <c r="B854" s="12" t="str">
        <f>HYPERLINK("https://twitter.com/ThePathOfMe","@ThePathOfMe")</f>
        <v>@ThePathOfMe</v>
      </c>
      <c r="C854" s="1" t="s">
        <v>931</v>
      </c>
      <c r="D854" s="1" t="s">
        <v>4190</v>
      </c>
      <c r="E854" s="12" t="str">
        <f>HYPERLINK("https://twitter.com/ThePathOfMe/status/1217930312929497091","1217930312929497091")</f>
        <v>1217930312929497091</v>
      </c>
      <c r="F854" s="13" t="s">
        <v>4191</v>
      </c>
      <c r="G854" s="14"/>
      <c r="H854" s="14"/>
      <c r="I854" s="15">
        <v>0.0</v>
      </c>
      <c r="J854" s="15">
        <v>0.0</v>
      </c>
      <c r="K854" s="12" t="str">
        <f>HYPERLINK("https://www.socialoomph.com","SocialOomph")</f>
        <v>SocialOomph</v>
      </c>
      <c r="L854" s="16">
        <v>13129.0</v>
      </c>
      <c r="M854" s="16">
        <v>11638.0</v>
      </c>
      <c r="N854" s="16">
        <v>580.0</v>
      </c>
      <c r="O854" s="17"/>
      <c r="P854" s="18">
        <v>41567.04141203704</v>
      </c>
      <c r="Q854" s="1" t="s">
        <v>934</v>
      </c>
      <c r="R854" s="1" t="s">
        <v>935</v>
      </c>
      <c r="S854" s="13" t="s">
        <v>936</v>
      </c>
      <c r="T854" s="14"/>
      <c r="U854" s="19" t="str">
        <f>HYPERLINK("https://pbs.twimg.com/profile_images/1088560942126952449/0WtZpiss.jpg","View")</f>
        <v>View</v>
      </c>
      <c r="V854" s="14"/>
      <c r="W854" s="14"/>
      <c r="X854" s="14"/>
      <c r="Y854" s="14"/>
      <c r="Z854" s="14"/>
    </row>
    <row r="855">
      <c r="A855" s="11">
        <v>43846.71042824074</v>
      </c>
      <c r="B855" s="12" t="str">
        <f>HYPERLINK("https://twitter.com/BoironUSA","@BoironUSA")</f>
        <v>@BoironUSA</v>
      </c>
      <c r="C855" s="1" t="s">
        <v>1694</v>
      </c>
      <c r="D855" s="1" t="s">
        <v>4192</v>
      </c>
      <c r="E855" s="12" t="str">
        <f>HYPERLINK("https://twitter.com/BoironUSA/status/1217930279303761921","1217930279303761921")</f>
        <v>1217930279303761921</v>
      </c>
      <c r="F855" s="13" t="s">
        <v>4193</v>
      </c>
      <c r="G855" s="14"/>
      <c r="H855" s="14"/>
      <c r="I855" s="15">
        <v>0.0</v>
      </c>
      <c r="J855" s="15">
        <v>0.0</v>
      </c>
      <c r="K855" s="12" t="str">
        <f>HYPERLINK("https://sproutsocial.com","Sprout Social")</f>
        <v>Sprout Social</v>
      </c>
      <c r="L855" s="16">
        <v>12012.0</v>
      </c>
      <c r="M855" s="16">
        <v>419.0</v>
      </c>
      <c r="N855" s="16">
        <v>313.0</v>
      </c>
      <c r="O855" s="20" t="s">
        <v>38</v>
      </c>
      <c r="P855" s="18">
        <v>39963.09447916667</v>
      </c>
      <c r="Q855" s="1" t="s">
        <v>1698</v>
      </c>
      <c r="R855" s="1" t="s">
        <v>1699</v>
      </c>
      <c r="S855" s="13" t="s">
        <v>1700</v>
      </c>
      <c r="T855" s="14"/>
      <c r="U855" s="19" t="str">
        <f>HYPERLINK("https://pbs.twimg.com/profile_images/378800000044570512/793423b7f9b447772b20a25ce82946ca.jpeg","View")</f>
        <v>View</v>
      </c>
      <c r="V855" s="14"/>
      <c r="W855" s="14"/>
      <c r="X855" s="14"/>
      <c r="Y855" s="14"/>
      <c r="Z855" s="14"/>
    </row>
    <row r="856">
      <c r="A856" s="11">
        <v>43846.69798611111</v>
      </c>
      <c r="B856" s="12" t="str">
        <f>HYPERLINK("https://twitter.com/BellaOasis","@BellaOasis")</f>
        <v>@BellaOasis</v>
      </c>
      <c r="C856" s="1" t="s">
        <v>4194</v>
      </c>
      <c r="D856" s="1" t="s">
        <v>4195</v>
      </c>
      <c r="E856" s="12" t="str">
        <f>HYPERLINK("https://twitter.com/BellaOasis/status/1217925769722302465","1217925769722302465")</f>
        <v>1217925769722302465</v>
      </c>
      <c r="F856" s="14"/>
      <c r="G856" s="13" t="s">
        <v>4196</v>
      </c>
      <c r="H856" s="14"/>
      <c r="I856" s="15">
        <v>0.0</v>
      </c>
      <c r="J856" s="15">
        <v>0.0</v>
      </c>
      <c r="K856" s="12" t="str">
        <f>HYPERLINK("https://www.hootsuite.com","Hootsuite Inc.")</f>
        <v>Hootsuite Inc.</v>
      </c>
      <c r="L856" s="16">
        <v>87.0</v>
      </c>
      <c r="M856" s="16">
        <v>68.0</v>
      </c>
      <c r="N856" s="16">
        <v>2.0</v>
      </c>
      <c r="O856" s="17"/>
      <c r="P856" s="18">
        <v>40905.39822916667</v>
      </c>
      <c r="Q856" s="1" t="s">
        <v>4197</v>
      </c>
      <c r="R856" s="1" t="s">
        <v>4198</v>
      </c>
      <c r="S856" s="13" t="s">
        <v>4199</v>
      </c>
      <c r="T856" s="14"/>
      <c r="U856" s="19" t="str">
        <f>HYPERLINK("https://pbs.twimg.com/profile_images/1719622437/bo_twitter_profile.jpg","View")</f>
        <v>View</v>
      </c>
      <c r="V856" s="14"/>
      <c r="W856" s="14"/>
      <c r="X856" s="14"/>
      <c r="Y856" s="14"/>
      <c r="Z856" s="14"/>
    </row>
    <row r="857">
      <c r="A857" s="11">
        <v>43846.693240740744</v>
      </c>
      <c r="B857" s="12" t="str">
        <f>HYPERLINK("https://twitter.com/trafficjam_app","@trafficjam_app")</f>
        <v>@trafficjam_app</v>
      </c>
      <c r="C857" s="1" t="s">
        <v>1251</v>
      </c>
      <c r="D857" s="1" t="s">
        <v>4200</v>
      </c>
      <c r="E857" s="12" t="str">
        <f>HYPERLINK("https://twitter.com/trafficjam_app/status/1217924050871341057","1217924050871341057")</f>
        <v>1217924050871341057</v>
      </c>
      <c r="F857" s="13" t="s">
        <v>1253</v>
      </c>
      <c r="G857" s="13" t="s">
        <v>4201</v>
      </c>
      <c r="H857" s="14"/>
      <c r="I857" s="15">
        <v>2.0</v>
      </c>
      <c r="J857" s="15">
        <v>0.0</v>
      </c>
      <c r="K857" s="12" t="str">
        <f>HYPERLINK("https://zapier.com/","Zapier.com")</f>
        <v>Zapier.com</v>
      </c>
      <c r="L857" s="16">
        <v>113.0</v>
      </c>
      <c r="M857" s="16">
        <v>50.0</v>
      </c>
      <c r="N857" s="16">
        <v>1.0</v>
      </c>
      <c r="O857" s="17"/>
      <c r="P857" s="18">
        <v>42994.542708333334</v>
      </c>
      <c r="Q857" s="1" t="s">
        <v>1255</v>
      </c>
      <c r="R857" s="1" t="s">
        <v>1256</v>
      </c>
      <c r="S857" s="13" t="s">
        <v>1257</v>
      </c>
      <c r="T857" s="14"/>
      <c r="U857" s="19" t="str">
        <f>HYPERLINK("https://pbs.twimg.com/profile_images/1020242156571766786/l1YKw5xD.jpg","View")</f>
        <v>View</v>
      </c>
      <c r="V857" s="14"/>
      <c r="W857" s="14"/>
      <c r="X857" s="14"/>
      <c r="Y857" s="14"/>
      <c r="Z857" s="14"/>
    </row>
    <row r="858">
      <c r="A858" s="11">
        <v>43846.692870370374</v>
      </c>
      <c r="B858" s="12" t="str">
        <f>HYPERLINK("https://twitter.com/CP_Parenting","@CP_Parenting")</f>
        <v>@CP_Parenting</v>
      </c>
      <c r="C858" s="1" t="s">
        <v>4202</v>
      </c>
      <c r="D858" s="1" t="s">
        <v>4203</v>
      </c>
      <c r="E858" s="12" t="str">
        <f>HYPERLINK("https://twitter.com/CP_Parenting/status/1217923918276845569","1217923918276845569")</f>
        <v>1217923918276845569</v>
      </c>
      <c r="F858" s="13" t="s">
        <v>4204</v>
      </c>
      <c r="G858" s="13" t="s">
        <v>4205</v>
      </c>
      <c r="H858" s="14"/>
      <c r="I858" s="15">
        <v>0.0</v>
      </c>
      <c r="J858" s="15">
        <v>0.0</v>
      </c>
      <c r="K858" s="12" t="str">
        <f>HYPERLINK("https://missinglettr.com","Missinglettr")</f>
        <v>Missinglettr</v>
      </c>
      <c r="L858" s="16">
        <v>300.0</v>
      </c>
      <c r="M858" s="16">
        <v>695.0</v>
      </c>
      <c r="N858" s="16">
        <v>18.0</v>
      </c>
      <c r="O858" s="17"/>
      <c r="P858" s="18">
        <v>42527.97224537037</v>
      </c>
      <c r="Q858" s="1" t="s">
        <v>2416</v>
      </c>
      <c r="R858" s="1" t="s">
        <v>4206</v>
      </c>
      <c r="S858" s="13" t="s">
        <v>4207</v>
      </c>
      <c r="T858" s="14"/>
      <c r="U858" s="19" t="str">
        <f>HYPERLINK("https://pbs.twimg.com/profile_images/744283965435981824/sqnuKA74.jpg","View")</f>
        <v>View</v>
      </c>
      <c r="V858" s="14"/>
      <c r="W858" s="14"/>
      <c r="X858" s="14"/>
      <c r="Y858" s="14"/>
      <c r="Z858" s="14"/>
    </row>
    <row r="859">
      <c r="A859" s="11">
        <v>43846.683495370366</v>
      </c>
      <c r="B859" s="12" t="str">
        <f>HYPERLINK("https://twitter.com/GermanyNewsinUK","@GermanyNewsinUK")</f>
        <v>@GermanyNewsinUK</v>
      </c>
      <c r="C859" s="1" t="s">
        <v>4208</v>
      </c>
      <c r="D859" s="1" t="s">
        <v>4209</v>
      </c>
      <c r="E859" s="12" t="str">
        <f>HYPERLINK("https://twitter.com/GermanyNewsinUK/status/1217920519372189708","1217920519372189708")</f>
        <v>1217920519372189708</v>
      </c>
      <c r="F859" s="14"/>
      <c r="G859" s="13" t="s">
        <v>4210</v>
      </c>
      <c r="H859" s="14"/>
      <c r="I859" s="15">
        <v>0.0</v>
      </c>
      <c r="J859" s="15">
        <v>1.0</v>
      </c>
      <c r="K859" s="12" t="str">
        <f>HYPERLINK("https://www.socialoomph.com","SocialOomph")</f>
        <v>SocialOomph</v>
      </c>
      <c r="L859" s="16">
        <v>296.0</v>
      </c>
      <c r="M859" s="16">
        <v>101.0</v>
      </c>
      <c r="N859" s="16">
        <v>13.0</v>
      </c>
      <c r="O859" s="17"/>
      <c r="P859" s="18">
        <v>40580.33604166667</v>
      </c>
      <c r="Q859" s="1" t="s">
        <v>624</v>
      </c>
      <c r="R859" s="1" t="s">
        <v>4211</v>
      </c>
      <c r="S859" s="14"/>
      <c r="T859" s="14"/>
      <c r="U859" s="19" t="str">
        <f>HYPERLINK("https://pbs.twimg.com/profile_images/966422841179672581/mtAo_NHd.jpg","View")</f>
        <v>View</v>
      </c>
      <c r="V859" s="14"/>
      <c r="W859" s="14"/>
      <c r="X859" s="14"/>
      <c r="Y859" s="14"/>
      <c r="Z859" s="14"/>
    </row>
    <row r="860">
      <c r="A860" s="11">
        <v>43846.68164351852</v>
      </c>
      <c r="B860" s="12" t="str">
        <f>HYPERLINK("https://twitter.com/STLCCce","@STLCCce")</f>
        <v>@STLCCce</v>
      </c>
      <c r="C860" s="1" t="s">
        <v>4212</v>
      </c>
      <c r="D860" s="1" t="s">
        <v>4213</v>
      </c>
      <c r="E860" s="12" t="str">
        <f>HYPERLINK("https://twitter.com/STLCCce/status/1217919850309246976","1217919850309246976")</f>
        <v>1217919850309246976</v>
      </c>
      <c r="F860" s="13" t="s">
        <v>4214</v>
      </c>
      <c r="G860" s="13" t="s">
        <v>4215</v>
      </c>
      <c r="H860" s="14"/>
      <c r="I860" s="15">
        <v>2.0</v>
      </c>
      <c r="J860" s="15">
        <v>0.0</v>
      </c>
      <c r="K860" s="12" t="str">
        <f>HYPERLINK("https://mobile.twitter.com","Twitter Web App")</f>
        <v>Twitter Web App</v>
      </c>
      <c r="L860" s="16">
        <v>368.0</v>
      </c>
      <c r="M860" s="16">
        <v>33.0</v>
      </c>
      <c r="N860" s="16">
        <v>15.0</v>
      </c>
      <c r="O860" s="17"/>
      <c r="P860" s="18">
        <v>41010.62314814815</v>
      </c>
      <c r="Q860" s="1" t="s">
        <v>4216</v>
      </c>
      <c r="R860" s="1" t="s">
        <v>4217</v>
      </c>
      <c r="S860" s="13" t="s">
        <v>4218</v>
      </c>
      <c r="T860" s="14"/>
      <c r="U860" s="19" t="str">
        <f>HYPERLINK("https://pbs.twimg.com/profile_images/1207039321540153344/JKJ5thkj.jpg","View")</f>
        <v>View</v>
      </c>
      <c r="V860" s="14"/>
      <c r="W860" s="14"/>
      <c r="X860" s="14"/>
      <c r="Y860" s="14"/>
      <c r="Z860" s="14"/>
    </row>
    <row r="861">
      <c r="A861" s="11">
        <v>43846.68064814815</v>
      </c>
      <c r="B861" s="12" t="str">
        <f>HYPERLINK("https://twitter.com/AnxietyUK","@AnxietyUK")</f>
        <v>@AnxietyUK</v>
      </c>
      <c r="C861" s="1" t="s">
        <v>1420</v>
      </c>
      <c r="D861" s="1" t="s">
        <v>1421</v>
      </c>
      <c r="E861" s="12" t="str">
        <f>HYPERLINK("https://twitter.com/AnxietyUK/status/1217919490106830848","1217919490106830848")</f>
        <v>1217919490106830848</v>
      </c>
      <c r="F861" s="13" t="s">
        <v>1422</v>
      </c>
      <c r="G861" s="13" t="s">
        <v>4219</v>
      </c>
      <c r="H861" s="14"/>
      <c r="I861" s="15">
        <v>8.0</v>
      </c>
      <c r="J861" s="15">
        <v>14.0</v>
      </c>
      <c r="K861" s="12" t="str">
        <f>HYPERLINK("https://www.hootsuite.com","Hootsuite Inc.")</f>
        <v>Hootsuite Inc.</v>
      </c>
      <c r="L861" s="16">
        <v>130198.0</v>
      </c>
      <c r="M861" s="16">
        <v>2538.0</v>
      </c>
      <c r="N861" s="16">
        <v>1114.0</v>
      </c>
      <c r="O861" s="17"/>
      <c r="P861" s="18">
        <v>39854.57107638889</v>
      </c>
      <c r="Q861" s="1" t="s">
        <v>1423</v>
      </c>
      <c r="R861" s="1" t="s">
        <v>1424</v>
      </c>
      <c r="S861" s="13" t="s">
        <v>1425</v>
      </c>
      <c r="T861" s="14"/>
      <c r="U861" s="19" t="str">
        <f>HYPERLINK("https://pbs.twimg.com/profile_images/1184032569148485632/ARtaFKKO.jpg","View")</f>
        <v>View</v>
      </c>
      <c r="V861" s="14"/>
      <c r="W861" s="14"/>
      <c r="X861" s="14"/>
      <c r="Y861" s="14"/>
      <c r="Z861" s="14"/>
    </row>
    <row r="862">
      <c r="A862" s="11">
        <v>43846.68056712963</v>
      </c>
      <c r="B862" s="12" t="str">
        <f>HYPERLINK("https://twitter.com/TrainingMindful","@TrainingMindful")</f>
        <v>@TrainingMindful</v>
      </c>
      <c r="C862" s="1" t="s">
        <v>94</v>
      </c>
      <c r="D862" s="1" t="s">
        <v>4220</v>
      </c>
      <c r="E862" s="12" t="str">
        <f>HYPERLINK("https://twitter.com/TrainingMindful/status/1217919459219902470","1217919459219902470")</f>
        <v>1217919459219902470</v>
      </c>
      <c r="F862" s="13" t="s">
        <v>4221</v>
      </c>
      <c r="G862" s="14"/>
      <c r="H862" s="14"/>
      <c r="I862" s="15">
        <v>0.0</v>
      </c>
      <c r="J862" s="15">
        <v>3.0</v>
      </c>
      <c r="K862" s="12" t="str">
        <f>HYPERLINK("https://www.socialoomph.com","SocialOomph")</f>
        <v>SocialOomph</v>
      </c>
      <c r="L862" s="16">
        <v>185303.0</v>
      </c>
      <c r="M862" s="16">
        <v>43980.0</v>
      </c>
      <c r="N862" s="16">
        <v>2800.0</v>
      </c>
      <c r="O862" s="17"/>
      <c r="P862" s="18">
        <v>41286.039305555554</v>
      </c>
      <c r="Q862" s="1" t="s">
        <v>97</v>
      </c>
      <c r="R862" s="1" t="s">
        <v>98</v>
      </c>
      <c r="S862" s="13" t="s">
        <v>99</v>
      </c>
      <c r="T862" s="14"/>
      <c r="U862" s="19" t="str">
        <f>HYPERLINK("https://pbs.twimg.com/profile_images/566526924059459584/gdMxDA9x.jpeg","View")</f>
        <v>View</v>
      </c>
      <c r="V862" s="14"/>
      <c r="W862" s="14"/>
      <c r="X862" s="14"/>
      <c r="Y862" s="14"/>
      <c r="Z862" s="14"/>
    </row>
    <row r="863">
      <c r="A863" s="11">
        <v>43846.680555555555</v>
      </c>
      <c r="B863" s="12" t="str">
        <f>HYPERLINK("https://twitter.com/PowerLibrary","@PowerLibrary")</f>
        <v>@PowerLibrary</v>
      </c>
      <c r="C863" s="1" t="s">
        <v>4222</v>
      </c>
      <c r="D863" s="1" t="s">
        <v>4223</v>
      </c>
      <c r="E863" s="12" t="str">
        <f>HYPERLINK("https://twitter.com/PowerLibrary/status/1217919453838618636","1217919453838618636")</f>
        <v>1217919453838618636</v>
      </c>
      <c r="F863" s="13" t="s">
        <v>4224</v>
      </c>
      <c r="G863" s="13" t="s">
        <v>4225</v>
      </c>
      <c r="H863" s="14"/>
      <c r="I863" s="15">
        <v>0.0</v>
      </c>
      <c r="J863" s="15">
        <v>0.0</v>
      </c>
      <c r="K863" s="12" t="str">
        <f>HYPERLINK("https://about.twitter.com/products/tweetdeck","TweetDeck")</f>
        <v>TweetDeck</v>
      </c>
      <c r="L863" s="16">
        <v>669.0</v>
      </c>
      <c r="M863" s="16">
        <v>478.0</v>
      </c>
      <c r="N863" s="16">
        <v>16.0</v>
      </c>
      <c r="O863" s="17"/>
      <c r="P863" s="18">
        <v>41190.59506944445</v>
      </c>
      <c r="Q863" s="1" t="s">
        <v>4226</v>
      </c>
      <c r="R863" s="1" t="s">
        <v>4227</v>
      </c>
      <c r="S863" s="13" t="s">
        <v>4228</v>
      </c>
      <c r="T863" s="14"/>
      <c r="U863" s="19" t="str">
        <f>HYPERLINK("https://pbs.twimg.com/profile_images/455702892104536064/RtrvOHQx.png","View")</f>
        <v>View</v>
      </c>
      <c r="V863" s="14"/>
      <c r="W863" s="14"/>
      <c r="X863" s="14"/>
      <c r="Y863" s="14"/>
      <c r="Z863" s="14"/>
    </row>
    <row r="864">
      <c r="A864" s="11">
        <v>43846.676250000004</v>
      </c>
      <c r="B864" s="12" t="str">
        <f t="shared" ref="B864:B865" si="86">HYPERLINK("https://twitter.com/colbenjamin","@colbenjamin")</f>
        <v>@colbenjamin</v>
      </c>
      <c r="C864" s="1" t="s">
        <v>4229</v>
      </c>
      <c r="D864" s="1" t="s">
        <v>4230</v>
      </c>
      <c r="E864" s="12" t="str">
        <f>HYPERLINK("https://twitter.com/colbenjamin/status/1217917896069984257","1217917896069984257")</f>
        <v>1217917896069984257</v>
      </c>
      <c r="F864" s="13" t="s">
        <v>4231</v>
      </c>
      <c r="G864" s="14"/>
      <c r="H864" s="14"/>
      <c r="I864" s="15">
        <v>0.0</v>
      </c>
      <c r="J864" s="15">
        <v>0.0</v>
      </c>
      <c r="K864" s="12" t="str">
        <f t="shared" ref="K864:K865" si="87">HYPERLINK("https://mobile.twitter.com","Twitter Web App")</f>
        <v>Twitter Web App</v>
      </c>
      <c r="L864" s="16">
        <v>43653.0</v>
      </c>
      <c r="M864" s="16">
        <v>48010.0</v>
      </c>
      <c r="N864" s="16">
        <v>677.0</v>
      </c>
      <c r="O864" s="17"/>
      <c r="P864" s="18">
        <v>39999.49814814815</v>
      </c>
      <c r="Q864" s="1" t="s">
        <v>533</v>
      </c>
      <c r="R864" s="1" t="s">
        <v>4232</v>
      </c>
      <c r="S864" s="13" t="s">
        <v>4233</v>
      </c>
      <c r="T864" s="14"/>
      <c r="U864" s="19" t="str">
        <f t="shared" ref="U864:U865" si="88">HYPERLINK("https://pbs.twimg.com/profile_images/978259613039476737/9aHgb0ke.jpg","View")</f>
        <v>View</v>
      </c>
      <c r="V864" s="14"/>
      <c r="W864" s="14"/>
      <c r="X864" s="14"/>
      <c r="Y864" s="14"/>
      <c r="Z864" s="14"/>
    </row>
    <row r="865">
      <c r="A865" s="11">
        <v>43846.67554398148</v>
      </c>
      <c r="B865" s="12" t="str">
        <f t="shared" si="86"/>
        <v>@colbenjamin</v>
      </c>
      <c r="C865" s="1" t="s">
        <v>4229</v>
      </c>
      <c r="D865" s="1" t="s">
        <v>4234</v>
      </c>
      <c r="E865" s="12" t="str">
        <f>HYPERLINK("https://twitter.com/colbenjamin/status/1217917636748685314","1217917636748685314")</f>
        <v>1217917636748685314</v>
      </c>
      <c r="F865" s="13" t="s">
        <v>4231</v>
      </c>
      <c r="G865" s="14"/>
      <c r="H865" s="14"/>
      <c r="I865" s="15">
        <v>0.0</v>
      </c>
      <c r="J865" s="15">
        <v>0.0</v>
      </c>
      <c r="K865" s="12" t="str">
        <f t="shared" si="87"/>
        <v>Twitter Web App</v>
      </c>
      <c r="L865" s="16">
        <v>43653.0</v>
      </c>
      <c r="M865" s="16">
        <v>48010.0</v>
      </c>
      <c r="N865" s="16">
        <v>677.0</v>
      </c>
      <c r="O865" s="17"/>
      <c r="P865" s="18">
        <v>39999.49814814815</v>
      </c>
      <c r="Q865" s="1" t="s">
        <v>533</v>
      </c>
      <c r="R865" s="1" t="s">
        <v>4232</v>
      </c>
      <c r="S865" s="13" t="s">
        <v>4233</v>
      </c>
      <c r="T865" s="14"/>
      <c r="U865" s="19" t="str">
        <f t="shared" si="88"/>
        <v>View</v>
      </c>
      <c r="V865" s="14"/>
      <c r="W865" s="14"/>
      <c r="X865" s="14"/>
      <c r="Y865" s="14"/>
      <c r="Z865" s="14"/>
    </row>
    <row r="866">
      <c r="A866" s="11">
        <v>43846.67364583333</v>
      </c>
      <c r="B866" s="12" t="str">
        <f>HYPERLINK("https://twitter.com/levittmike","@levittmike")</f>
        <v>@levittmike</v>
      </c>
      <c r="C866" s="1" t="s">
        <v>4235</v>
      </c>
      <c r="D866" s="1" t="s">
        <v>4236</v>
      </c>
      <c r="E866" s="12" t="str">
        <f>HYPERLINK("https://twitter.com/levittmike/status/1217916948937355285","1217916948937355285")</f>
        <v>1217916948937355285</v>
      </c>
      <c r="F866" s="13" t="s">
        <v>4237</v>
      </c>
      <c r="G866" s="13" t="s">
        <v>4238</v>
      </c>
      <c r="H866" s="14"/>
      <c r="I866" s="15">
        <v>1.0</v>
      </c>
      <c r="J866" s="15">
        <v>1.0</v>
      </c>
      <c r="K866" s="12" t="str">
        <f>HYPERLINK("https://buffer.com","Buffer")</f>
        <v>Buffer</v>
      </c>
      <c r="L866" s="16">
        <v>7286.0</v>
      </c>
      <c r="M866" s="16">
        <v>8010.0</v>
      </c>
      <c r="N866" s="16">
        <v>156.0</v>
      </c>
      <c r="O866" s="17"/>
      <c r="P866" s="18">
        <v>39922.80341435185</v>
      </c>
      <c r="Q866" s="1" t="s">
        <v>4239</v>
      </c>
      <c r="R866" s="1" t="s">
        <v>2221</v>
      </c>
      <c r="S866" s="13" t="s">
        <v>2222</v>
      </c>
      <c r="T866" s="14"/>
      <c r="U866" s="19" t="str">
        <f>HYPERLINK("https://pbs.twimg.com/profile_images/914647442481655809/iIzLIZzI.jpg","View")</f>
        <v>View</v>
      </c>
      <c r="V866" s="14"/>
      <c r="W866" s="14"/>
      <c r="X866" s="14"/>
      <c r="Y866" s="14"/>
      <c r="Z866" s="14"/>
    </row>
    <row r="867">
      <c r="A867" s="11">
        <v>43846.67171296296</v>
      </c>
      <c r="B867" s="12" t="str">
        <f>HYPERLINK("https://twitter.com/MichaelPanar1","@MichaelPanar1")</f>
        <v>@MichaelPanar1</v>
      </c>
      <c r="C867" s="1" t="s">
        <v>4240</v>
      </c>
      <c r="D867" s="1" t="s">
        <v>4241</v>
      </c>
      <c r="E867" s="12" t="str">
        <f>HYPERLINK("https://twitter.com/MichaelPanar1/status/1217916250522898432","1217916250522898432")</f>
        <v>1217916250522898432</v>
      </c>
      <c r="F867" s="14"/>
      <c r="G867" s="14"/>
      <c r="H867" s="14"/>
      <c r="I867" s="15">
        <v>0.0</v>
      </c>
      <c r="J867" s="15">
        <v>0.0</v>
      </c>
      <c r="K867" s="12" t="str">
        <f t="shared" ref="K867:K868" si="89">HYPERLINK("https://mobile.twitter.com","Twitter Web App")</f>
        <v>Twitter Web App</v>
      </c>
      <c r="L867" s="16">
        <v>13240.0</v>
      </c>
      <c r="M867" s="16">
        <v>14210.0</v>
      </c>
      <c r="N867" s="16">
        <v>199.0</v>
      </c>
      <c r="O867" s="17"/>
      <c r="P867" s="18">
        <v>40932.64283564815</v>
      </c>
      <c r="Q867" s="1" t="s">
        <v>4226</v>
      </c>
      <c r="R867" s="1" t="s">
        <v>4242</v>
      </c>
      <c r="S867" s="13" t="s">
        <v>4243</v>
      </c>
      <c r="T867" s="14"/>
      <c r="U867" s="19" t="str">
        <f>HYPERLINK("https://pbs.twimg.com/profile_images/658647692357275648/QrmnJXEo.jpg","View")</f>
        <v>View</v>
      </c>
      <c r="V867" s="14"/>
      <c r="W867" s="14"/>
      <c r="X867" s="14"/>
      <c r="Y867" s="14"/>
      <c r="Z867" s="14"/>
    </row>
    <row r="868">
      <c r="A868" s="11">
        <v>43846.67054398148</v>
      </c>
      <c r="B868" s="12" t="str">
        <f>HYPERLINK("https://twitter.com/csuitenetwork","@csuitenetwork")</f>
        <v>@csuitenetwork</v>
      </c>
      <c r="C868" s="1" t="s">
        <v>4244</v>
      </c>
      <c r="D868" s="1" t="s">
        <v>4245</v>
      </c>
      <c r="E868" s="12" t="str">
        <f>HYPERLINK("https://twitter.com/csuitenetwork/status/1217915826117853184","1217915826117853184")</f>
        <v>1217915826117853184</v>
      </c>
      <c r="F868" s="13" t="s">
        <v>4246</v>
      </c>
      <c r="G868" s="14"/>
      <c r="H868" s="14"/>
      <c r="I868" s="15">
        <v>3.0</v>
      </c>
      <c r="J868" s="15">
        <v>2.0</v>
      </c>
      <c r="K868" s="12" t="str">
        <f t="shared" si="89"/>
        <v>Twitter Web App</v>
      </c>
      <c r="L868" s="16">
        <v>44309.0</v>
      </c>
      <c r="M868" s="16">
        <v>21204.0</v>
      </c>
      <c r="N868" s="16">
        <v>468.0</v>
      </c>
      <c r="O868" s="20" t="s">
        <v>38</v>
      </c>
      <c r="P868" s="18">
        <v>41563.58261574074</v>
      </c>
      <c r="Q868" s="1" t="s">
        <v>809</v>
      </c>
      <c r="R868" s="1" t="s">
        <v>4247</v>
      </c>
      <c r="S868" s="13" t="s">
        <v>4248</v>
      </c>
      <c r="T868" s="14"/>
      <c r="U868" s="19" t="str">
        <f>HYPERLINK("https://pbs.twimg.com/profile_images/1115730173171658752/XCxSIbDj.png","View")</f>
        <v>View</v>
      </c>
      <c r="V868" s="14"/>
      <c r="W868" s="14"/>
      <c r="X868" s="14"/>
      <c r="Y868" s="14"/>
      <c r="Z868" s="14"/>
    </row>
    <row r="869">
      <c r="A869" s="11">
        <v>43846.67030092592</v>
      </c>
      <c r="B869" s="12" t="str">
        <f>HYPERLINK("https://twitter.com/thingscansuck","@thingscansuck")</f>
        <v>@thingscansuck</v>
      </c>
      <c r="C869" s="1" t="s">
        <v>4249</v>
      </c>
      <c r="D869" s="1" t="s">
        <v>4250</v>
      </c>
      <c r="E869" s="12" t="str">
        <f>HYPERLINK("https://twitter.com/thingscansuck/status/1217915738876534784","1217915738876534784")</f>
        <v>1217915738876534784</v>
      </c>
      <c r="F869" s="14"/>
      <c r="G869" s="13" t="s">
        <v>4251</v>
      </c>
      <c r="H869" s="14"/>
      <c r="I869" s="15">
        <v>0.0</v>
      </c>
      <c r="J869" s="15">
        <v>0.0</v>
      </c>
      <c r="K869" s="12" t="str">
        <f>HYPERLINK("https://www.hootsuite.com","Hootsuite Inc.")</f>
        <v>Hootsuite Inc.</v>
      </c>
      <c r="L869" s="16">
        <v>51.0</v>
      </c>
      <c r="M869" s="16">
        <v>92.0</v>
      </c>
      <c r="N869" s="16">
        <v>0.0</v>
      </c>
      <c r="O869" s="17"/>
      <c r="P869" s="18">
        <v>42921.76700231481</v>
      </c>
      <c r="Q869" s="14"/>
      <c r="R869" s="1" t="s">
        <v>4252</v>
      </c>
      <c r="S869" s="13" t="s">
        <v>4253</v>
      </c>
      <c r="T869" s="14"/>
      <c r="U869" s="19" t="str">
        <f>HYPERLINK("https://pbs.twimg.com/profile_images/903719645391142912/mHWeYCxJ.jpg","View")</f>
        <v>View</v>
      </c>
      <c r="V869" s="14"/>
      <c r="W869" s="14"/>
      <c r="X869" s="14"/>
      <c r="Y869" s="14"/>
      <c r="Z869" s="14"/>
    </row>
    <row r="870">
      <c r="A870" s="11">
        <v>43846.66898148148</v>
      </c>
      <c r="B870" s="12" t="str">
        <f>HYPERLINK("https://twitter.com/judycroon","@judycroon")</f>
        <v>@judycroon</v>
      </c>
      <c r="C870" s="1" t="s">
        <v>4254</v>
      </c>
      <c r="D870" s="21" t="s">
        <v>4255</v>
      </c>
      <c r="E870" s="12" t="str">
        <f>HYPERLINK("https://twitter.com/judycroon/status/1217915260927127554","1217915260927127554")</f>
        <v>1217915260927127554</v>
      </c>
      <c r="F870" s="13" t="s">
        <v>4256</v>
      </c>
      <c r="G870" s="13" t="s">
        <v>4257</v>
      </c>
      <c r="H870" s="14"/>
      <c r="I870" s="15">
        <v>0.0</v>
      </c>
      <c r="J870" s="15">
        <v>1.0</v>
      </c>
      <c r="K870" s="12" t="str">
        <f t="shared" ref="K870:K871" si="90">HYPERLINK("https://mobile.twitter.com","Twitter Web App")</f>
        <v>Twitter Web App</v>
      </c>
      <c r="L870" s="16">
        <v>1432.0</v>
      </c>
      <c r="M870" s="16">
        <v>2374.0</v>
      </c>
      <c r="N870" s="16">
        <v>38.0</v>
      </c>
      <c r="O870" s="17"/>
      <c r="P870" s="18">
        <v>40564.72662037037</v>
      </c>
      <c r="Q870" s="1" t="s">
        <v>727</v>
      </c>
      <c r="R870" s="1" t="s">
        <v>4258</v>
      </c>
      <c r="S870" s="13" t="s">
        <v>4259</v>
      </c>
      <c r="T870" s="14"/>
      <c r="U870" s="19" t="str">
        <f>HYPERLINK("https://pbs.twimg.com/profile_images/916438491700928512/KroRAd8j.jpg","View")</f>
        <v>View</v>
      </c>
      <c r="V870" s="14"/>
      <c r="W870" s="14"/>
      <c r="X870" s="14"/>
      <c r="Y870" s="14"/>
      <c r="Z870" s="14"/>
    </row>
    <row r="871">
      <c r="A871" s="11">
        <v>43846.66788194445</v>
      </c>
      <c r="B871" s="12" t="str">
        <f>HYPERLINK("https://twitter.com/HempStaff","@HempStaff")</f>
        <v>@HempStaff</v>
      </c>
      <c r="C871" s="1" t="s">
        <v>4260</v>
      </c>
      <c r="D871" s="1" t="s">
        <v>4261</v>
      </c>
      <c r="E871" s="12" t="str">
        <f>HYPERLINK("https://twitter.com/HempStaff/status/1217914861935611904","1217914861935611904")</f>
        <v>1217914861935611904</v>
      </c>
      <c r="F871" s="13" t="s">
        <v>4262</v>
      </c>
      <c r="G871" s="14"/>
      <c r="H871" s="14"/>
      <c r="I871" s="15">
        <v>0.0</v>
      </c>
      <c r="J871" s="15">
        <v>0.0</v>
      </c>
      <c r="K871" s="12" t="str">
        <f t="shared" si="90"/>
        <v>Twitter Web App</v>
      </c>
      <c r="L871" s="16">
        <v>9086.0</v>
      </c>
      <c r="M871" s="16">
        <v>345.0</v>
      </c>
      <c r="N871" s="16">
        <v>59.0</v>
      </c>
      <c r="O871" s="20" t="s">
        <v>38</v>
      </c>
      <c r="P871" s="18">
        <v>41816.83295138889</v>
      </c>
      <c r="Q871" s="14"/>
      <c r="R871" s="1" t="s">
        <v>4263</v>
      </c>
      <c r="S871" s="13" t="s">
        <v>4264</v>
      </c>
      <c r="T871" s="14"/>
      <c r="U871" s="19" t="str">
        <f>HYPERLINK("https://pbs.twimg.com/profile_images/1009065374992789504/ESZ1CpYr.jpg","View")</f>
        <v>View</v>
      </c>
      <c r="V871" s="14"/>
      <c r="W871" s="14"/>
      <c r="X871" s="14"/>
      <c r="Y871" s="14"/>
      <c r="Z871" s="14"/>
    </row>
    <row r="872">
      <c r="A872" s="11">
        <v>43846.66763888889</v>
      </c>
      <c r="B872" s="12" t="str">
        <f>HYPERLINK("https://twitter.com/RedwayHR","@RedwayHR")</f>
        <v>@RedwayHR</v>
      </c>
      <c r="C872" s="1" t="s">
        <v>4265</v>
      </c>
      <c r="D872" s="1" t="s">
        <v>4266</v>
      </c>
      <c r="E872" s="12" t="str">
        <f>HYPERLINK("https://twitter.com/RedwayHR/status/1217914771862847488","1217914771862847488")</f>
        <v>1217914771862847488</v>
      </c>
      <c r="F872" s="13" t="s">
        <v>4267</v>
      </c>
      <c r="G872" s="13" t="s">
        <v>4268</v>
      </c>
      <c r="H872" s="14"/>
      <c r="I872" s="15">
        <v>0.0</v>
      </c>
      <c r="J872" s="15">
        <v>0.0</v>
      </c>
      <c r="K872" s="12" t="str">
        <f t="shared" ref="K872:K873" si="91">HYPERLINK("https://www.hootsuite.com","Hootsuite Inc.")</f>
        <v>Hootsuite Inc.</v>
      </c>
      <c r="L872" s="16">
        <v>188.0</v>
      </c>
      <c r="M872" s="16">
        <v>218.0</v>
      </c>
      <c r="N872" s="16">
        <v>7.0</v>
      </c>
      <c r="O872" s="17"/>
      <c r="P872" s="18">
        <v>41374.669710648144</v>
      </c>
      <c r="Q872" s="1" t="s">
        <v>1270</v>
      </c>
      <c r="R872" s="1" t="s">
        <v>4269</v>
      </c>
      <c r="S872" s="13" t="s">
        <v>4270</v>
      </c>
      <c r="T872" s="14"/>
      <c r="U872" s="19" t="str">
        <f>HYPERLINK("https://pbs.twimg.com/profile_images/1197536035120521218/E04eAkgX.jpg","View")</f>
        <v>View</v>
      </c>
      <c r="V872" s="14"/>
      <c r="W872" s="14"/>
      <c r="X872" s="14"/>
      <c r="Y872" s="14"/>
      <c r="Z872" s="14"/>
    </row>
    <row r="873">
      <c r="A873" s="11">
        <v>43846.66743055556</v>
      </c>
      <c r="B873" s="12" t="str">
        <f>HYPERLINK("https://twitter.com/AmyNowak12","@AmyNowak12")</f>
        <v>@AmyNowak12</v>
      </c>
      <c r="C873" s="1" t="s">
        <v>4271</v>
      </c>
      <c r="D873" s="1" t="s">
        <v>4272</v>
      </c>
      <c r="E873" s="12" t="str">
        <f>HYPERLINK("https://twitter.com/AmyNowak12/status/1217914699280453632","1217914699280453632")</f>
        <v>1217914699280453632</v>
      </c>
      <c r="F873" s="13" t="s">
        <v>4273</v>
      </c>
      <c r="G873" s="13" t="s">
        <v>4274</v>
      </c>
      <c r="H873" s="14"/>
      <c r="I873" s="15">
        <v>0.0</v>
      </c>
      <c r="J873" s="15">
        <v>1.0</v>
      </c>
      <c r="K873" s="12" t="str">
        <f t="shared" si="91"/>
        <v>Hootsuite Inc.</v>
      </c>
      <c r="L873" s="16">
        <v>0.0</v>
      </c>
      <c r="M873" s="16">
        <v>0.0</v>
      </c>
      <c r="N873" s="16">
        <v>0.0</v>
      </c>
      <c r="O873" s="17"/>
      <c r="P873" s="18">
        <v>43617.79797453704</v>
      </c>
      <c r="Q873" s="14"/>
      <c r="R873" s="1" t="s">
        <v>4275</v>
      </c>
      <c r="S873" s="13" t="s">
        <v>4276</v>
      </c>
      <c r="T873" s="14"/>
      <c r="U873" s="19" t="str">
        <f>HYPERLINK("https://pbs.twimg.com/profile_images/1145753916396564481/vNsS0NGz.png","View")</f>
        <v>View</v>
      </c>
      <c r="V873" s="14"/>
      <c r="W873" s="14"/>
      <c r="X873" s="14"/>
      <c r="Y873" s="14"/>
      <c r="Z873" s="14"/>
    </row>
    <row r="874">
      <c r="A874" s="11">
        <v>43846.66728009259</v>
      </c>
      <c r="B874" s="12" t="str">
        <f>HYPERLINK("https://twitter.com/J_Ferraro_LCSW","@J_Ferraro_LCSW")</f>
        <v>@J_Ferraro_LCSW</v>
      </c>
      <c r="C874" s="1" t="s">
        <v>4277</v>
      </c>
      <c r="D874" s="1" t="s">
        <v>4278</v>
      </c>
      <c r="E874" s="12" t="str">
        <f>HYPERLINK("https://twitter.com/J_Ferraro_LCSW/status/1217914642699300864","1217914642699300864")</f>
        <v>1217914642699300864</v>
      </c>
      <c r="F874" s="13" t="s">
        <v>4279</v>
      </c>
      <c r="G874" s="13" t="s">
        <v>4280</v>
      </c>
      <c r="H874" s="14"/>
      <c r="I874" s="15">
        <v>0.0</v>
      </c>
      <c r="J874" s="15">
        <v>0.0</v>
      </c>
      <c r="K874" s="12" t="str">
        <f>HYPERLINK("https://buffer.com","Buffer")</f>
        <v>Buffer</v>
      </c>
      <c r="L874" s="16">
        <v>1294.0</v>
      </c>
      <c r="M874" s="16">
        <v>966.0</v>
      </c>
      <c r="N874" s="16">
        <v>247.0</v>
      </c>
      <c r="O874" s="17"/>
      <c r="P874" s="18">
        <v>39981.01886574074</v>
      </c>
      <c r="Q874" s="1" t="s">
        <v>4281</v>
      </c>
      <c r="R874" s="1" t="s">
        <v>4282</v>
      </c>
      <c r="S874" s="13" t="s">
        <v>4283</v>
      </c>
      <c r="T874" s="14"/>
      <c r="U874" s="19" t="str">
        <f>HYPERLINK("https://pbs.twimg.com/profile_images/1036006434184605698/0tiizpmO.jpg","View")</f>
        <v>View</v>
      </c>
      <c r="V874" s="14"/>
      <c r="W874" s="14"/>
      <c r="X874" s="14"/>
      <c r="Y874" s="14"/>
      <c r="Z874" s="14"/>
    </row>
    <row r="875">
      <c r="A875" s="11">
        <v>43846.66715277778</v>
      </c>
      <c r="B875" s="12" t="str">
        <f>HYPERLINK("https://twitter.com/mindful__change","@mindful__change")</f>
        <v>@mindful__change</v>
      </c>
      <c r="C875" s="1" t="s">
        <v>3984</v>
      </c>
      <c r="D875" s="1" t="s">
        <v>4284</v>
      </c>
      <c r="E875" s="12" t="str">
        <f>HYPERLINK("https://twitter.com/mindful__change/status/1217914598298398720","1217914598298398720")</f>
        <v>1217914598298398720</v>
      </c>
      <c r="F875" s="13" t="s">
        <v>3986</v>
      </c>
      <c r="G875" s="14"/>
      <c r="H875" s="14"/>
      <c r="I875" s="15">
        <v>0.0</v>
      </c>
      <c r="J875" s="15">
        <v>0.0</v>
      </c>
      <c r="K875" s="12" t="str">
        <f>HYPERLINK("https://www.hootsuite.com","Hootsuite Inc.")</f>
        <v>Hootsuite Inc.</v>
      </c>
      <c r="L875" s="16">
        <v>851.0</v>
      </c>
      <c r="M875" s="16">
        <v>529.0</v>
      </c>
      <c r="N875" s="16">
        <v>275.0</v>
      </c>
      <c r="O875" s="17"/>
      <c r="P875" s="18">
        <v>41533.62846064815</v>
      </c>
      <c r="Q875" s="1" t="s">
        <v>3987</v>
      </c>
      <c r="R875" s="1" t="s">
        <v>3988</v>
      </c>
      <c r="S875" s="13" t="s">
        <v>3989</v>
      </c>
      <c r="T875" s="14"/>
      <c r="U875" s="19" t="str">
        <f>HYPERLINK("https://pbs.twimg.com/profile_images/378800000469036908/5b8eb5af621e8ea4b3d9f6a0e5a27b16.jpeg","View")</f>
        <v>View</v>
      </c>
      <c r="V875" s="14"/>
      <c r="W875" s="14"/>
      <c r="X875" s="14"/>
      <c r="Y875" s="14"/>
      <c r="Z875" s="14"/>
    </row>
    <row r="876">
      <c r="A876" s="11">
        <v>43846.66715277778</v>
      </c>
      <c r="B876" s="12" t="str">
        <f>HYPERLINK("https://twitter.com/TerraHealth_","@TerraHealth_")</f>
        <v>@TerraHealth_</v>
      </c>
      <c r="C876" s="1" t="s">
        <v>4285</v>
      </c>
      <c r="D876" s="1" t="s">
        <v>4286</v>
      </c>
      <c r="E876" s="12" t="str">
        <f>HYPERLINK("https://twitter.com/TerraHealth_/status/1217914595978903553","1217914595978903553")</f>
        <v>1217914595978903553</v>
      </c>
      <c r="F876" s="14"/>
      <c r="G876" s="13" t="s">
        <v>4287</v>
      </c>
      <c r="H876" s="14"/>
      <c r="I876" s="15">
        <v>0.0</v>
      </c>
      <c r="J876" s="15">
        <v>0.0</v>
      </c>
      <c r="K876" s="12" t="str">
        <f>HYPERLINK("https://buffer.com","Buffer")</f>
        <v>Buffer</v>
      </c>
      <c r="L876" s="16">
        <v>75.0</v>
      </c>
      <c r="M876" s="16">
        <v>118.0</v>
      </c>
      <c r="N876" s="16">
        <v>0.0</v>
      </c>
      <c r="O876" s="17"/>
      <c r="P876" s="18">
        <v>43619.27994212963</v>
      </c>
      <c r="Q876" s="14"/>
      <c r="R876" s="1" t="s">
        <v>4288</v>
      </c>
      <c r="S876" s="13" t="s">
        <v>4289</v>
      </c>
      <c r="T876" s="14"/>
      <c r="U876" s="19" t="str">
        <f>HYPERLINK("https://pbs.twimg.com/profile_images/1138034149032435712/iKu1R_NX.png","View")</f>
        <v>View</v>
      </c>
      <c r="V876" s="14"/>
      <c r="W876" s="14"/>
      <c r="X876" s="14"/>
      <c r="Y876" s="14"/>
      <c r="Z876" s="14"/>
    </row>
    <row r="877">
      <c r="A877" s="11">
        <v>43846.663263888884</v>
      </c>
      <c r="B877" s="12" t="str">
        <f>HYPERLINK("https://twitter.com/Glister_Online","@Glister_Online")</f>
        <v>@Glister_Online</v>
      </c>
      <c r="C877" s="1" t="s">
        <v>4290</v>
      </c>
      <c r="D877" s="1" t="s">
        <v>4291</v>
      </c>
      <c r="E877" s="12" t="str">
        <f>HYPERLINK("https://twitter.com/Glister_Online/status/1217913189511376915","1217913189511376915")</f>
        <v>1217913189511376915</v>
      </c>
      <c r="F877" s="13" t="s">
        <v>4292</v>
      </c>
      <c r="G877" s="13" t="s">
        <v>4293</v>
      </c>
      <c r="H877" s="14"/>
      <c r="I877" s="15">
        <v>0.0</v>
      </c>
      <c r="J877" s="15">
        <v>0.0</v>
      </c>
      <c r="K877" s="12" t="str">
        <f>HYPERLINK("https://www.hootsuite.com","Hootsuite Inc.")</f>
        <v>Hootsuite Inc.</v>
      </c>
      <c r="L877" s="16">
        <v>4262.0</v>
      </c>
      <c r="M877" s="16">
        <v>4112.0</v>
      </c>
      <c r="N877" s="16">
        <v>74.0</v>
      </c>
      <c r="O877" s="17"/>
      <c r="P877" s="18">
        <v>41831.43193287037</v>
      </c>
      <c r="Q877" s="1" t="s">
        <v>4294</v>
      </c>
      <c r="R877" s="1" t="s">
        <v>4295</v>
      </c>
      <c r="S877" s="13" t="s">
        <v>4296</v>
      </c>
      <c r="T877" s="14"/>
      <c r="U877" s="19" t="str">
        <f>HYPERLINK("https://pbs.twimg.com/profile_images/892796643153776640/SS0-wZpJ.jpg","View")</f>
        <v>View</v>
      </c>
      <c r="V877" s="14"/>
      <c r="W877" s="14"/>
      <c r="X877" s="14"/>
      <c r="Y877" s="14"/>
      <c r="Z877" s="14"/>
    </row>
    <row r="878">
      <c r="A878" s="11">
        <v>43846.66266203704</v>
      </c>
      <c r="B878" s="12" t="str">
        <f>HYPERLINK("https://twitter.com/ZKidsTherapy","@ZKidsTherapy")</f>
        <v>@ZKidsTherapy</v>
      </c>
      <c r="C878" s="1" t="s">
        <v>4297</v>
      </c>
      <c r="D878" s="1" t="s">
        <v>4298</v>
      </c>
      <c r="E878" s="12" t="str">
        <f>HYPERLINK("https://twitter.com/ZKidsTherapy/status/1217912969323057154","1217912969323057154")</f>
        <v>1217912969323057154</v>
      </c>
      <c r="F878" s="13" t="s">
        <v>4299</v>
      </c>
      <c r="G878" s="13" t="s">
        <v>4300</v>
      </c>
      <c r="H878" s="14"/>
      <c r="I878" s="15">
        <v>0.0</v>
      </c>
      <c r="J878" s="15">
        <v>1.0</v>
      </c>
      <c r="K878" s="12" t="str">
        <f>HYPERLINK("http://twitter.com/download/android","Twitter for Android")</f>
        <v>Twitter for Android</v>
      </c>
      <c r="L878" s="16">
        <v>55.0</v>
      </c>
      <c r="M878" s="16">
        <v>40.0</v>
      </c>
      <c r="N878" s="16">
        <v>0.0</v>
      </c>
      <c r="O878" s="17"/>
      <c r="P878" s="18">
        <v>42857.601747685185</v>
      </c>
      <c r="Q878" s="1" t="s">
        <v>4301</v>
      </c>
      <c r="R878" s="1" t="s">
        <v>4302</v>
      </c>
      <c r="S878" s="13" t="s">
        <v>4303</v>
      </c>
      <c r="T878" s="14"/>
      <c r="U878" s="19" t="str">
        <f>HYPERLINK("https://pbs.twimg.com/profile_images/859476053877809153/8OVidRN7.jpg","View")</f>
        <v>View</v>
      </c>
      <c r="V878" s="14"/>
      <c r="W878" s="14"/>
      <c r="X878" s="14"/>
      <c r="Y878" s="14"/>
      <c r="Z878" s="14"/>
    </row>
    <row r="879">
      <c r="A879" s="11">
        <v>43846.66085648148</v>
      </c>
      <c r="B879" s="12" t="str">
        <f>HYPERLINK("https://twitter.com/ukkar_tweets","@ukkar_tweets")</f>
        <v>@ukkar_tweets</v>
      </c>
      <c r="C879" s="1" t="s">
        <v>4304</v>
      </c>
      <c r="D879" s="1" t="s">
        <v>4305</v>
      </c>
      <c r="E879" s="12" t="str">
        <f>HYPERLINK("https://twitter.com/ukkar_tweets/status/1217912315481333760","1217912315481333760")</f>
        <v>1217912315481333760</v>
      </c>
      <c r="F879" s="13" t="s">
        <v>4306</v>
      </c>
      <c r="G879" s="14"/>
      <c r="H879" s="14"/>
      <c r="I879" s="15">
        <v>0.0</v>
      </c>
      <c r="J879" s="15">
        <v>0.0</v>
      </c>
      <c r="K879" s="12" t="str">
        <f>HYPERLINK("http://twitter.com","Twitter Web Client")</f>
        <v>Twitter Web Client</v>
      </c>
      <c r="L879" s="16">
        <v>104.0</v>
      </c>
      <c r="M879" s="16">
        <v>135.0</v>
      </c>
      <c r="N879" s="16">
        <v>7.0</v>
      </c>
      <c r="O879" s="17"/>
      <c r="P879" s="18">
        <v>40004.77496527778</v>
      </c>
      <c r="Q879" s="14"/>
      <c r="R879" s="1" t="s">
        <v>4307</v>
      </c>
      <c r="S879" s="13" t="s">
        <v>4308</v>
      </c>
      <c r="T879" s="14"/>
      <c r="U879" s="19" t="str">
        <f>HYPERLINK("https://pbs.twimg.com/profile_images/1214908275906318336/aUGwCAeP.jpg","View")</f>
        <v>View</v>
      </c>
      <c r="V879" s="14"/>
      <c r="W879" s="14"/>
      <c r="X879" s="14"/>
      <c r="Y879" s="14"/>
      <c r="Z879" s="14"/>
    </row>
    <row r="880">
      <c r="A880" s="11">
        <v>43846.66070601852</v>
      </c>
      <c r="B880" s="12" t="str">
        <f>HYPERLINK("https://twitter.com/22getready","@22getready")</f>
        <v>@22getready</v>
      </c>
      <c r="C880" s="1" t="s">
        <v>4309</v>
      </c>
      <c r="D880" s="1" t="s">
        <v>4310</v>
      </c>
      <c r="E880" s="12" t="str">
        <f>HYPERLINK("https://twitter.com/22getready/status/1217912262100430848","1217912262100430848")</f>
        <v>1217912262100430848</v>
      </c>
      <c r="F880" s="14"/>
      <c r="G880" s="14"/>
      <c r="H880" s="14"/>
      <c r="I880" s="15">
        <v>0.0</v>
      </c>
      <c r="J880" s="15">
        <v>0.0</v>
      </c>
      <c r="K880" s="12" t="str">
        <f>HYPERLINK("http://twitter.com/download/android","Twitter for Android")</f>
        <v>Twitter for Android</v>
      </c>
      <c r="L880" s="16">
        <v>23.0</v>
      </c>
      <c r="M880" s="16">
        <v>85.0</v>
      </c>
      <c r="N880" s="16">
        <v>0.0</v>
      </c>
      <c r="O880" s="17"/>
      <c r="P880" s="18">
        <v>43814.48967592593</v>
      </c>
      <c r="Q880" s="14"/>
      <c r="R880" s="1" t="s">
        <v>4311</v>
      </c>
      <c r="S880" s="14"/>
      <c r="T880" s="14"/>
      <c r="U880" s="19" t="str">
        <f>HYPERLINK("https://pbs.twimg.com/profile_images/1207118220752310273/qH17RGAk.jpg","View")</f>
        <v>View</v>
      </c>
      <c r="V880" s="14"/>
      <c r="W880" s="14"/>
      <c r="X880" s="14"/>
      <c r="Y880" s="14"/>
      <c r="Z880" s="14"/>
    </row>
    <row r="881">
      <c r="A881" s="11">
        <v>43846.65885416667</v>
      </c>
      <c r="B881" s="12" t="str">
        <f>HYPERLINK("https://twitter.com/SandraG_TX","@SandraG_TX")</f>
        <v>@SandraG_TX</v>
      </c>
      <c r="C881" s="1" t="s">
        <v>4312</v>
      </c>
      <c r="D881" s="1" t="s">
        <v>4313</v>
      </c>
      <c r="E881" s="12" t="str">
        <f>HYPERLINK("https://twitter.com/SandraG_TX/status/1217911590349090817","1217911590349090817")</f>
        <v>1217911590349090817</v>
      </c>
      <c r="F881" s="13" t="s">
        <v>4314</v>
      </c>
      <c r="G881" s="13" t="s">
        <v>4315</v>
      </c>
      <c r="H881" s="14"/>
      <c r="I881" s="15">
        <v>0.0</v>
      </c>
      <c r="J881" s="15">
        <v>1.0</v>
      </c>
      <c r="K881" s="12" t="str">
        <f>HYPERLINK("http://www.edgetheory.com","EdgeTheory")</f>
        <v>EdgeTheory</v>
      </c>
      <c r="L881" s="16">
        <v>10.0</v>
      </c>
      <c r="M881" s="16">
        <v>36.0</v>
      </c>
      <c r="N881" s="16">
        <v>0.0</v>
      </c>
      <c r="O881" s="17"/>
      <c r="P881" s="18">
        <v>41034.517060185186</v>
      </c>
      <c r="Q881" s="1" t="s">
        <v>56</v>
      </c>
      <c r="R881" s="14"/>
      <c r="S881" s="13" t="s">
        <v>4316</v>
      </c>
      <c r="T881" s="14"/>
      <c r="U881" s="20" t="s">
        <v>202</v>
      </c>
      <c r="V881" s="14"/>
      <c r="W881" s="14"/>
      <c r="X881" s="14"/>
      <c r="Y881" s="14"/>
      <c r="Z881" s="14"/>
    </row>
    <row r="882">
      <c r="A882" s="11">
        <v>43846.658483796295</v>
      </c>
      <c r="B882" s="12" t="str">
        <f>HYPERLINK("https://twitter.com/andytallent","@andytallent")</f>
        <v>@andytallent</v>
      </c>
      <c r="C882" s="1" t="s">
        <v>4317</v>
      </c>
      <c r="D882" s="1" t="s">
        <v>4318</v>
      </c>
      <c r="E882" s="12" t="str">
        <f>HYPERLINK("https://twitter.com/andytallent/status/1217911457691643904","1217911457691643904")</f>
        <v>1217911457691643904</v>
      </c>
      <c r="F882" s="13" t="s">
        <v>4319</v>
      </c>
      <c r="G882" s="14"/>
      <c r="H882" s="14"/>
      <c r="I882" s="15">
        <v>0.0</v>
      </c>
      <c r="J882" s="15">
        <v>1.0</v>
      </c>
      <c r="K882" s="12" t="str">
        <f>HYPERLINK("https://www.hootsuite.com","Hootsuite Inc.")</f>
        <v>Hootsuite Inc.</v>
      </c>
      <c r="L882" s="16">
        <v>2436.0</v>
      </c>
      <c r="M882" s="16">
        <v>1895.0</v>
      </c>
      <c r="N882" s="16">
        <v>59.0</v>
      </c>
      <c r="O882" s="17"/>
      <c r="P882" s="18">
        <v>40073.32150462963</v>
      </c>
      <c r="Q882" s="1" t="s">
        <v>4320</v>
      </c>
      <c r="R882" s="1" t="s">
        <v>4321</v>
      </c>
      <c r="S882" s="13" t="s">
        <v>4322</v>
      </c>
      <c r="T882" s="14"/>
      <c r="U882" s="19" t="str">
        <f>HYPERLINK("https://pbs.twimg.com/profile_images/1010596561741639681/xfIxRYY1.jpg","View")</f>
        <v>View</v>
      </c>
      <c r="V882" s="14"/>
      <c r="W882" s="14"/>
      <c r="X882" s="14"/>
      <c r="Y882" s="14"/>
      <c r="Z882" s="14"/>
    </row>
    <row r="883">
      <c r="A883" s="11">
        <v>43846.65184027777</v>
      </c>
      <c r="B883" s="12" t="str">
        <f>HYPERLINK("https://twitter.com/CGestures","@CGestures")</f>
        <v>@CGestures</v>
      </c>
      <c r="C883" s="1" t="s">
        <v>4323</v>
      </c>
      <c r="D883" s="1" t="s">
        <v>4324</v>
      </c>
      <c r="E883" s="12" t="str">
        <f>HYPERLINK("https://twitter.com/CGestures/status/1217909047669809152","1217909047669809152")</f>
        <v>1217909047669809152</v>
      </c>
      <c r="F883" s="14"/>
      <c r="G883" s="13" t="s">
        <v>4325</v>
      </c>
      <c r="H883" s="14"/>
      <c r="I883" s="15">
        <v>0.0</v>
      </c>
      <c r="J883" s="15">
        <v>0.0</v>
      </c>
      <c r="K883" s="12" t="str">
        <f>HYPERLINK("https://mobile.twitter.com","Twitter Web App")</f>
        <v>Twitter Web App</v>
      </c>
      <c r="L883" s="16">
        <v>10.0</v>
      </c>
      <c r="M883" s="16">
        <v>27.0</v>
      </c>
      <c r="N883" s="16">
        <v>0.0</v>
      </c>
      <c r="O883" s="17"/>
      <c r="P883" s="18">
        <v>43537.48407407408</v>
      </c>
      <c r="Q883" s="14"/>
      <c r="R883" s="1" t="s">
        <v>4326</v>
      </c>
      <c r="S883" s="14"/>
      <c r="T883" s="14"/>
      <c r="U883" s="19" t="str">
        <f>HYPERLINK("https://pbs.twimg.com/profile_images/1105855494797881345/BV1QZwZO.jpg","View")</f>
        <v>View</v>
      </c>
      <c r="V883" s="14"/>
      <c r="W883" s="14"/>
      <c r="X883" s="14"/>
      <c r="Y883" s="14"/>
      <c r="Z883" s="14"/>
    </row>
    <row r="884">
      <c r="A884" s="11">
        <v>43846.64876157408</v>
      </c>
      <c r="B884" s="12" t="str">
        <f>HYPERLINK("https://twitter.com/hanna_higher","@hanna_higher")</f>
        <v>@hanna_higher</v>
      </c>
      <c r="C884" s="1" t="s">
        <v>4327</v>
      </c>
      <c r="D884" s="1" t="s">
        <v>4328</v>
      </c>
      <c r="E884" s="12" t="str">
        <f>HYPERLINK("https://twitter.com/hanna_higher/status/1217907932077199366","1217907932077199366")</f>
        <v>1217907932077199366</v>
      </c>
      <c r="F884" s="13" t="s">
        <v>4329</v>
      </c>
      <c r="G884" s="14"/>
      <c r="H884" s="14"/>
      <c r="I884" s="15">
        <v>0.0</v>
      </c>
      <c r="J884" s="15">
        <v>1.0</v>
      </c>
      <c r="K884" s="12" t="str">
        <f>HYPERLINK("https://coschedule.com","CoSchedule")</f>
        <v>CoSchedule</v>
      </c>
      <c r="L884" s="16">
        <v>32623.0</v>
      </c>
      <c r="M884" s="16">
        <v>22884.0</v>
      </c>
      <c r="N884" s="16">
        <v>321.0</v>
      </c>
      <c r="O884" s="17"/>
      <c r="P884" s="18">
        <v>42464.42574074074</v>
      </c>
      <c r="Q884" s="1" t="s">
        <v>1493</v>
      </c>
      <c r="R884" s="1" t="s">
        <v>4330</v>
      </c>
      <c r="S884" s="13" t="s">
        <v>4331</v>
      </c>
      <c r="T884" s="14"/>
      <c r="U884" s="19" t="str">
        <f>HYPERLINK("https://pbs.twimg.com/profile_images/1170703917379928066/9Wzw-O1O.jpg","View")</f>
        <v>View</v>
      </c>
      <c r="V884" s="14"/>
      <c r="W884" s="14"/>
      <c r="X884" s="14"/>
      <c r="Y884" s="14"/>
      <c r="Z884" s="14"/>
    </row>
    <row r="885">
      <c r="A885" s="11">
        <v>43846.64621527778</v>
      </c>
      <c r="B885" s="12" t="str">
        <f>HYPERLINK("https://twitter.com/_Oakwood","@_Oakwood")</f>
        <v>@_Oakwood</v>
      </c>
      <c r="C885" s="1" t="s">
        <v>4332</v>
      </c>
      <c r="D885" s="1" t="s">
        <v>4333</v>
      </c>
      <c r="E885" s="12" t="str">
        <f>HYPERLINK("https://twitter.com/_Oakwood/status/1217907011087675402","1217907011087675402")</f>
        <v>1217907011087675402</v>
      </c>
      <c r="F885" s="13" t="s">
        <v>4334</v>
      </c>
      <c r="G885" s="14"/>
      <c r="H885" s="14"/>
      <c r="I885" s="15">
        <v>0.0</v>
      </c>
      <c r="J885" s="15">
        <v>1.0</v>
      </c>
      <c r="K885" s="12" t="str">
        <f>HYPERLINK("https://www.hootsuite.com","Hootsuite Inc.")</f>
        <v>Hootsuite Inc.</v>
      </c>
      <c r="L885" s="16">
        <v>199.0</v>
      </c>
      <c r="M885" s="16">
        <v>145.0</v>
      </c>
      <c r="N885" s="16">
        <v>1.0</v>
      </c>
      <c r="O885" s="17"/>
      <c r="P885" s="18">
        <v>42025.40583333334</v>
      </c>
      <c r="Q885" s="1" t="s">
        <v>263</v>
      </c>
      <c r="R885" s="1" t="s">
        <v>4335</v>
      </c>
      <c r="S885" s="13" t="s">
        <v>4336</v>
      </c>
      <c r="T885" s="14"/>
      <c r="U885" s="19" t="str">
        <f>HYPERLINK("https://pbs.twimg.com/profile_images/1089892368470458368/dqTCpv9s.jpg","View")</f>
        <v>View</v>
      </c>
      <c r="V885" s="14"/>
      <c r="W885" s="14"/>
      <c r="X885" s="14"/>
      <c r="Y885" s="14"/>
      <c r="Z885" s="14"/>
    </row>
    <row r="886">
      <c r="A886" s="11">
        <v>43846.64444444445</v>
      </c>
      <c r="B886" s="12" t="str">
        <f>HYPERLINK("https://twitter.com/MatthewLiberty","@MatthewLiberty")</f>
        <v>@MatthewLiberty</v>
      </c>
      <c r="C886" s="1" t="s">
        <v>4337</v>
      </c>
      <c r="D886" s="1" t="s">
        <v>4338</v>
      </c>
      <c r="E886" s="12" t="str">
        <f>HYPERLINK("https://twitter.com/MatthewLiberty/status/1217906367396118528","1217906367396118528")</f>
        <v>1217906367396118528</v>
      </c>
      <c r="F886" s="13" t="s">
        <v>4339</v>
      </c>
      <c r="G886" s="14"/>
      <c r="H886" s="14"/>
      <c r="I886" s="15">
        <v>0.0</v>
      </c>
      <c r="J886" s="15">
        <v>0.0</v>
      </c>
      <c r="K886" s="12" t="str">
        <f>HYPERLINK("https://about.twitter.com/products/tweetdeck","TweetDeck")</f>
        <v>TweetDeck</v>
      </c>
      <c r="L886" s="16">
        <v>11711.0</v>
      </c>
      <c r="M886" s="16">
        <v>10962.0</v>
      </c>
      <c r="N886" s="16">
        <v>1116.0</v>
      </c>
      <c r="O886" s="17"/>
      <c r="P886" s="18">
        <v>39856.539456018516</v>
      </c>
      <c r="Q886" s="1" t="s">
        <v>4340</v>
      </c>
      <c r="R886" s="1" t="s">
        <v>4341</v>
      </c>
      <c r="S886" s="13" t="s">
        <v>4342</v>
      </c>
      <c r="T886" s="14"/>
      <c r="U886" s="19" t="str">
        <f>HYPERLINK("https://pbs.twimg.com/profile_images/726509851233423360/HqPRqyAx.jpg","View")</f>
        <v>View</v>
      </c>
      <c r="V886" s="14"/>
      <c r="W886" s="14"/>
      <c r="X886" s="14"/>
      <c r="Y886" s="14"/>
      <c r="Z886" s="14"/>
    </row>
    <row r="887">
      <c r="A887" s="11">
        <v>43846.63888888889</v>
      </c>
      <c r="B887" s="12" t="str">
        <f>HYPERLINK("https://twitter.com/TrainingMindful","@TrainingMindful")</f>
        <v>@TrainingMindful</v>
      </c>
      <c r="C887" s="1" t="s">
        <v>94</v>
      </c>
      <c r="D887" s="1" t="s">
        <v>4343</v>
      </c>
      <c r="E887" s="12" t="str">
        <f>HYPERLINK("https://twitter.com/TrainingMindful/status/1217904354545545216","1217904354545545216")</f>
        <v>1217904354545545216</v>
      </c>
      <c r="F887" s="13" t="s">
        <v>96</v>
      </c>
      <c r="G887" s="14"/>
      <c r="H887" s="14"/>
      <c r="I887" s="15">
        <v>1.0</v>
      </c>
      <c r="J887" s="15">
        <v>1.0</v>
      </c>
      <c r="K887" s="12" t="str">
        <f>HYPERLINK("https://www.socialoomph.com","SocialOomph")</f>
        <v>SocialOomph</v>
      </c>
      <c r="L887" s="16">
        <v>185303.0</v>
      </c>
      <c r="M887" s="16">
        <v>43980.0</v>
      </c>
      <c r="N887" s="16">
        <v>2800.0</v>
      </c>
      <c r="O887" s="17"/>
      <c r="P887" s="18">
        <v>41286.039305555554</v>
      </c>
      <c r="Q887" s="1" t="s">
        <v>97</v>
      </c>
      <c r="R887" s="1" t="s">
        <v>98</v>
      </c>
      <c r="S887" s="13" t="s">
        <v>99</v>
      </c>
      <c r="T887" s="14"/>
      <c r="U887" s="19" t="str">
        <f>HYPERLINK("https://pbs.twimg.com/profile_images/566526924059459584/gdMxDA9x.jpeg","View")</f>
        <v>View</v>
      </c>
      <c r="V887" s="14"/>
      <c r="W887" s="14"/>
      <c r="X887" s="14"/>
      <c r="Y887" s="14"/>
      <c r="Z887" s="14"/>
    </row>
    <row r="888">
      <c r="A888" s="11">
        <v>43846.63418981481</v>
      </c>
      <c r="B888" s="12" t="str">
        <f>HYPERLINK("https://twitter.com/MoneyMaxii","@MoneyMaxii")</f>
        <v>@MoneyMaxii</v>
      </c>
      <c r="C888" s="1" t="s">
        <v>4344</v>
      </c>
      <c r="D888" s="1" t="s">
        <v>4345</v>
      </c>
      <c r="E888" s="12" t="str">
        <f>HYPERLINK("https://twitter.com/MoneyMaxii/status/1217902653608472577","1217902653608472577")</f>
        <v>1217902653608472577</v>
      </c>
      <c r="F888" s="14"/>
      <c r="G888" s="14"/>
      <c r="H888" s="14"/>
      <c r="I888" s="15">
        <v>0.0</v>
      </c>
      <c r="J888" s="15">
        <v>0.0</v>
      </c>
      <c r="K888" s="12" t="str">
        <f>HYPERLINK("http://twitter.com/download/iphone","Twitter for iPhone")</f>
        <v>Twitter for iPhone</v>
      </c>
      <c r="L888" s="16">
        <v>205.0</v>
      </c>
      <c r="M888" s="16">
        <v>412.0</v>
      </c>
      <c r="N888" s="16">
        <v>3.0</v>
      </c>
      <c r="O888" s="17"/>
      <c r="P888" s="18">
        <v>40134.76167824074</v>
      </c>
      <c r="Q888" s="1" t="s">
        <v>4346</v>
      </c>
      <c r="R888" s="1" t="s">
        <v>4347</v>
      </c>
      <c r="S888" s="13" t="s">
        <v>4348</v>
      </c>
      <c r="T888" s="14"/>
      <c r="U888" s="19" t="str">
        <f>HYPERLINK("https://pbs.twimg.com/profile_images/1198412407934205952/dOORnyYN.jpg","View")</f>
        <v>View</v>
      </c>
      <c r="V888" s="14"/>
      <c r="W888" s="14"/>
      <c r="X888" s="14"/>
      <c r="Y888" s="14"/>
      <c r="Z888" s="14"/>
    </row>
    <row r="889">
      <c r="A889" s="11">
        <v>43846.630625000005</v>
      </c>
      <c r="B889" s="12" t="str">
        <f>HYPERLINK("https://twitter.com/DIY_hypno","@DIY_hypno")</f>
        <v>@DIY_hypno</v>
      </c>
      <c r="C889" s="1" t="s">
        <v>485</v>
      </c>
      <c r="D889" s="1" t="s">
        <v>4349</v>
      </c>
      <c r="E889" s="12" t="str">
        <f>HYPERLINK("https://twitter.com/DIY_hypno/status/1217901361540616192","1217901361540616192")</f>
        <v>1217901361540616192</v>
      </c>
      <c r="F889" s="14"/>
      <c r="G889" s="13" t="s">
        <v>4350</v>
      </c>
      <c r="H889" s="14"/>
      <c r="I889" s="15">
        <v>0.0</v>
      </c>
      <c r="J889" s="15">
        <v>2.0</v>
      </c>
      <c r="K889" s="12" t="str">
        <f>HYPERLINK("https://mobile.twitter.com","Twitter Web App")</f>
        <v>Twitter Web App</v>
      </c>
      <c r="L889" s="16">
        <v>4.0</v>
      </c>
      <c r="M889" s="16">
        <v>89.0</v>
      </c>
      <c r="N889" s="16">
        <v>0.0</v>
      </c>
      <c r="O889" s="17"/>
      <c r="P889" s="18">
        <v>43757.51458333334</v>
      </c>
      <c r="Q889" s="1" t="s">
        <v>488</v>
      </c>
      <c r="R889" s="1" t="s">
        <v>489</v>
      </c>
      <c r="S889" s="13" t="s">
        <v>490</v>
      </c>
      <c r="T889" s="14"/>
      <c r="U889" s="19" t="str">
        <f>HYPERLINK("https://pbs.twimg.com/profile_images/1217447132627636225/Qu_7M7aP.jpg","View")</f>
        <v>View</v>
      </c>
      <c r="V889" s="14"/>
      <c r="W889" s="14"/>
      <c r="X889" s="14"/>
      <c r="Y889" s="14"/>
      <c r="Z889" s="14"/>
    </row>
    <row r="890">
      <c r="A890" s="11">
        <v>43846.63061342592</v>
      </c>
      <c r="B890" s="12" t="str">
        <f>HYPERLINK("https://twitter.com/GleeYoga","@GleeYoga")</f>
        <v>@GleeYoga</v>
      </c>
      <c r="C890" s="1" t="s">
        <v>4351</v>
      </c>
      <c r="D890" s="1" t="s">
        <v>4352</v>
      </c>
      <c r="E890" s="12" t="str">
        <f>HYPERLINK("https://twitter.com/GleeYoga/status/1217901354628157440","1217901354628157440")</f>
        <v>1217901354628157440</v>
      </c>
      <c r="F890" s="13" t="s">
        <v>4353</v>
      </c>
      <c r="G890" s="13" t="s">
        <v>4354</v>
      </c>
      <c r="H890" s="14"/>
      <c r="I890" s="15">
        <v>0.0</v>
      </c>
      <c r="J890" s="15">
        <v>0.0</v>
      </c>
      <c r="K890" s="12" t="str">
        <f>HYPERLINK("https://dlvrit.com/","dlvr.it")</f>
        <v>dlvr.it</v>
      </c>
      <c r="L890" s="16">
        <v>1551.0</v>
      </c>
      <c r="M890" s="16">
        <v>24.0</v>
      </c>
      <c r="N890" s="16">
        <v>126.0</v>
      </c>
      <c r="O890" s="17"/>
      <c r="P890" s="18">
        <v>42505.1422337963</v>
      </c>
      <c r="Q890" s="1" t="s">
        <v>928</v>
      </c>
      <c r="R890" s="1" t="s">
        <v>4355</v>
      </c>
      <c r="S890" s="13" t="s">
        <v>4356</v>
      </c>
      <c r="T890" s="14"/>
      <c r="U890" s="19" t="str">
        <f>HYPERLINK("https://pbs.twimg.com/profile_images/731750901778513921/mHNyQ2EL.jpg","View")</f>
        <v>View</v>
      </c>
      <c r="V890" s="14"/>
      <c r="W890" s="14"/>
      <c r="X890" s="14"/>
      <c r="Y890" s="14"/>
      <c r="Z890" s="14"/>
    </row>
    <row r="891">
      <c r="A891" s="11">
        <v>43846.62987268518</v>
      </c>
      <c r="B891" s="12" t="str">
        <f>HYPERLINK("https://twitter.com/GarlandVance","@GarlandVance")</f>
        <v>@GarlandVance</v>
      </c>
      <c r="C891" s="1" t="s">
        <v>2132</v>
      </c>
      <c r="D891" s="1" t="s">
        <v>4357</v>
      </c>
      <c r="E891" s="12" t="str">
        <f>HYPERLINK("https://twitter.com/GarlandVance/status/1217901086742327296","1217901086742327296")</f>
        <v>1217901086742327296</v>
      </c>
      <c r="F891" s="13" t="s">
        <v>4358</v>
      </c>
      <c r="G891" s="14"/>
      <c r="H891" s="14"/>
      <c r="I891" s="15">
        <v>0.0</v>
      </c>
      <c r="J891" s="15">
        <v>0.0</v>
      </c>
      <c r="K891" s="12" t="str">
        <f>HYPERLINK("https://coschedule.com","CoSchedule")</f>
        <v>CoSchedule</v>
      </c>
      <c r="L891" s="16">
        <v>7551.0</v>
      </c>
      <c r="M891" s="16">
        <v>2894.0</v>
      </c>
      <c r="N891" s="16">
        <v>34.0</v>
      </c>
      <c r="O891" s="17"/>
      <c r="P891" s="18">
        <v>40174.59726851852</v>
      </c>
      <c r="Q891" s="1" t="s">
        <v>2135</v>
      </c>
      <c r="R891" s="1" t="s">
        <v>2136</v>
      </c>
      <c r="S891" s="13" t="s">
        <v>2137</v>
      </c>
      <c r="T891" s="14"/>
      <c r="U891" s="19" t="str">
        <f>HYPERLINK("https://pbs.twimg.com/profile_images/723172806058369025/Jz4o6CKX.jpg","View")</f>
        <v>View</v>
      </c>
      <c r="V891" s="14"/>
      <c r="W891" s="14"/>
      <c r="X891" s="14"/>
      <c r="Y891" s="14"/>
      <c r="Z891" s="14"/>
    </row>
    <row r="892">
      <c r="A892" s="11">
        <v>43846.62981481482</v>
      </c>
      <c r="B892" s="12" t="str">
        <f>HYPERLINK("https://twitter.com/PHCOE","@PHCOE")</f>
        <v>@PHCOE</v>
      </c>
      <c r="C892" s="1" t="s">
        <v>4359</v>
      </c>
      <c r="D892" s="1" t="s">
        <v>4360</v>
      </c>
      <c r="E892" s="12" t="str">
        <f>HYPERLINK("https://twitter.com/PHCOE/status/1217901064822968320","1217901064822968320")</f>
        <v>1217901064822968320</v>
      </c>
      <c r="F892" s="13" t="s">
        <v>4361</v>
      </c>
      <c r="G892" s="13" t="s">
        <v>4362</v>
      </c>
      <c r="H892" s="14"/>
      <c r="I892" s="15">
        <v>1.0</v>
      </c>
      <c r="J892" s="15">
        <v>4.0</v>
      </c>
      <c r="K892" s="12" t="str">
        <f>HYPERLINK("https://mobile.twitter.com","Twitter Web App")</f>
        <v>Twitter Web App</v>
      </c>
      <c r="L892" s="16">
        <v>17973.0</v>
      </c>
      <c r="M892" s="16">
        <v>667.0</v>
      </c>
      <c r="N892" s="16">
        <v>469.0</v>
      </c>
      <c r="O892" s="20" t="s">
        <v>38</v>
      </c>
      <c r="P892" s="18">
        <v>40198.57798611111</v>
      </c>
      <c r="Q892" s="1" t="s">
        <v>4363</v>
      </c>
      <c r="R892" s="1" t="s">
        <v>4364</v>
      </c>
      <c r="S892" s="13" t="s">
        <v>4365</v>
      </c>
      <c r="T892" s="14"/>
      <c r="U892" s="19" t="str">
        <f>HYPERLINK("https://pbs.twimg.com/profile_images/1178734443135197185/VzKXddLS.jpg","View")</f>
        <v>View</v>
      </c>
      <c r="V892" s="14"/>
      <c r="W892" s="14"/>
      <c r="X892" s="14"/>
      <c r="Y892" s="14"/>
      <c r="Z892" s="14"/>
    </row>
    <row r="893">
      <c r="A893" s="11">
        <v>43846.62608796296</v>
      </c>
      <c r="B893" s="12" t="str">
        <f>HYPERLINK("https://twitter.com/ServantGroupInt","@ServantGroupInt")</f>
        <v>@ServantGroupInt</v>
      </c>
      <c r="C893" s="1" t="s">
        <v>4366</v>
      </c>
      <c r="D893" s="1" t="s">
        <v>4367</v>
      </c>
      <c r="E893" s="12" t="str">
        <f>HYPERLINK("https://twitter.com/ServantGroupInt/status/1217899717029453824","1217899717029453824")</f>
        <v>1217899717029453824</v>
      </c>
      <c r="F893" s="14"/>
      <c r="G893" s="13" t="s">
        <v>4368</v>
      </c>
      <c r="H893" s="14"/>
      <c r="I893" s="15">
        <v>0.0</v>
      </c>
      <c r="J893" s="15">
        <v>1.0</v>
      </c>
      <c r="K893" s="12" t="str">
        <f>HYPERLINK("https://www.later.com","LaterMedia")</f>
        <v>LaterMedia</v>
      </c>
      <c r="L893" s="16">
        <v>101.0</v>
      </c>
      <c r="M893" s="16">
        <v>50.0</v>
      </c>
      <c r="N893" s="16">
        <v>3.0</v>
      </c>
      <c r="O893" s="17"/>
      <c r="P893" s="18">
        <v>40612.39329861111</v>
      </c>
      <c r="Q893" s="14"/>
      <c r="R893" s="1" t="s">
        <v>4369</v>
      </c>
      <c r="S893" s="13" t="s">
        <v>4370</v>
      </c>
      <c r="T893" s="14"/>
      <c r="U893" s="19" t="str">
        <f>HYPERLINK("https://pbs.twimg.com/profile_images/511859075638775809/xZ4BVSCm.png","View")</f>
        <v>View</v>
      </c>
      <c r="V893" s="14"/>
      <c r="W893" s="14"/>
      <c r="X893" s="14"/>
      <c r="Y893" s="14"/>
      <c r="Z893" s="14"/>
    </row>
    <row r="894">
      <c r="A894" s="11">
        <v>43846.625914351855</v>
      </c>
      <c r="B894" s="12" t="str">
        <f>HYPERLINK("https://twitter.com/mindspacemayo","@mindspacemayo")</f>
        <v>@mindspacemayo</v>
      </c>
      <c r="C894" s="1" t="s">
        <v>4371</v>
      </c>
      <c r="D894" s="1" t="s">
        <v>4372</v>
      </c>
      <c r="E894" s="12" t="str">
        <f>HYPERLINK("https://twitter.com/mindspacemayo/status/1217899654291107840","1217899654291107840")</f>
        <v>1217899654291107840</v>
      </c>
      <c r="F894" s="14"/>
      <c r="G894" s="13" t="s">
        <v>4373</v>
      </c>
      <c r="H894" s="14"/>
      <c r="I894" s="15">
        <v>1.0</v>
      </c>
      <c r="J894" s="15">
        <v>4.0</v>
      </c>
      <c r="K894" s="12" t="str">
        <f>HYPERLINK("https://www.hootsuite.com","Hootsuite Inc.")</f>
        <v>Hootsuite Inc.</v>
      </c>
      <c r="L894" s="16">
        <v>2691.0</v>
      </c>
      <c r="M894" s="16">
        <v>3.0</v>
      </c>
      <c r="N894" s="16">
        <v>40.0</v>
      </c>
      <c r="O894" s="17"/>
      <c r="P894" s="18">
        <v>41849.49858796296</v>
      </c>
      <c r="Q894" s="1" t="s">
        <v>4374</v>
      </c>
      <c r="R894" s="1" t="s">
        <v>4375</v>
      </c>
      <c r="S894" s="13" t="s">
        <v>4376</v>
      </c>
      <c r="T894" s="14"/>
      <c r="U894" s="19" t="str">
        <f>HYPERLINK("https://pbs.twimg.com/profile_images/1145730843450716160/qpzUCgNB.jpg","View")</f>
        <v>View</v>
      </c>
      <c r="V894" s="14"/>
      <c r="W894" s="14"/>
      <c r="X894" s="14"/>
      <c r="Y894" s="14"/>
      <c r="Z894" s="14"/>
    </row>
    <row r="895">
      <c r="A895" s="11">
        <v>43846.62560185185</v>
      </c>
      <c r="B895" s="12" t="str">
        <f>HYPERLINK("https://twitter.com/RochesterThera1","@RochesterThera1")</f>
        <v>@RochesterThera1</v>
      </c>
      <c r="C895" s="1" t="s">
        <v>4377</v>
      </c>
      <c r="D895" s="1" t="s">
        <v>4378</v>
      </c>
      <c r="E895" s="12" t="str">
        <f>HYPERLINK("https://twitter.com/RochesterThera1/status/1217899538045984769","1217899538045984769")</f>
        <v>1217899538045984769</v>
      </c>
      <c r="F895" s="14"/>
      <c r="G895" s="13" t="s">
        <v>4379</v>
      </c>
      <c r="H895" s="14"/>
      <c r="I895" s="15">
        <v>0.0</v>
      </c>
      <c r="J895" s="15">
        <v>0.0</v>
      </c>
      <c r="K895" s="12" t="str">
        <f>HYPERLINK("https://smarterqueue.com","SmarterQueue")</f>
        <v>SmarterQueue</v>
      </c>
      <c r="L895" s="16">
        <v>25.0</v>
      </c>
      <c r="M895" s="16">
        <v>92.0</v>
      </c>
      <c r="N895" s="16">
        <v>0.0</v>
      </c>
      <c r="O895" s="17"/>
      <c r="P895" s="18">
        <v>43179.810335648144</v>
      </c>
      <c r="Q895" s="1" t="s">
        <v>4380</v>
      </c>
      <c r="R895" s="1" t="s">
        <v>4381</v>
      </c>
      <c r="S895" s="13" t="s">
        <v>4382</v>
      </c>
      <c r="T895" s="14"/>
      <c r="U895" s="19" t="str">
        <f>HYPERLINK("https://pbs.twimg.com/profile_images/1152980874482372608/KXarzpWx.jpg","View")</f>
        <v>View</v>
      </c>
      <c r="V895" s="14"/>
      <c r="W895" s="14"/>
      <c r="X895" s="14"/>
      <c r="Y895" s="14"/>
      <c r="Z895" s="14"/>
    </row>
    <row r="896">
      <c r="A896" s="11">
        <v>43846.625555555554</v>
      </c>
      <c r="B896" s="12" t="str">
        <f>HYPERLINK("https://twitter.com/IreneWhatley","@IreneWhatley")</f>
        <v>@IreneWhatley</v>
      </c>
      <c r="C896" s="1" t="s">
        <v>2160</v>
      </c>
      <c r="D896" s="1" t="s">
        <v>4383</v>
      </c>
      <c r="E896" s="12" t="str">
        <f>HYPERLINK("https://twitter.com/IreneWhatley/status/1217899524703825920","1217899524703825920")</f>
        <v>1217899524703825920</v>
      </c>
      <c r="F896" s="13" t="s">
        <v>4384</v>
      </c>
      <c r="G896" s="13" t="s">
        <v>4385</v>
      </c>
      <c r="H896" s="14"/>
      <c r="I896" s="15">
        <v>0.0</v>
      </c>
      <c r="J896" s="15">
        <v>0.0</v>
      </c>
      <c r="K896" s="12" t="str">
        <f>HYPERLINK("http://www.shopcity.com","ShopCity.com Posts")</f>
        <v>ShopCity.com Posts</v>
      </c>
      <c r="L896" s="16">
        <v>687.0</v>
      </c>
      <c r="M896" s="16">
        <v>864.0</v>
      </c>
      <c r="N896" s="16">
        <v>32.0</v>
      </c>
      <c r="O896" s="17"/>
      <c r="P896" s="18">
        <v>41879.57592592593</v>
      </c>
      <c r="Q896" s="1" t="s">
        <v>2164</v>
      </c>
      <c r="R896" s="1" t="s">
        <v>2165</v>
      </c>
      <c r="S896" s="13" t="s">
        <v>2166</v>
      </c>
      <c r="T896" s="14"/>
      <c r="U896" s="19" t="str">
        <f>HYPERLINK("https://pbs.twimg.com/profile_images/528200208341938176/3LAmhF4u.png","View")</f>
        <v>View</v>
      </c>
      <c r="V896" s="14"/>
      <c r="W896" s="14"/>
      <c r="X896" s="14"/>
      <c r="Y896" s="14"/>
      <c r="Z896" s="14"/>
    </row>
    <row r="897">
      <c r="A897" s="11">
        <v>43846.62521990741</v>
      </c>
      <c r="B897" s="12" t="str">
        <f>HYPERLINK("https://twitter.com/askk2","@askk2")</f>
        <v>@askk2</v>
      </c>
      <c r="C897" s="1" t="s">
        <v>4386</v>
      </c>
      <c r="D897" s="1" t="s">
        <v>4387</v>
      </c>
      <c r="E897" s="12" t="str">
        <f>HYPERLINK("https://twitter.com/askk2/status/1217899403761147904","1217899403761147904")</f>
        <v>1217899403761147904</v>
      </c>
      <c r="F897" s="13" t="s">
        <v>4388</v>
      </c>
      <c r="G897" s="13" t="s">
        <v>4389</v>
      </c>
      <c r="H897" s="14"/>
      <c r="I897" s="15">
        <v>1.0</v>
      </c>
      <c r="J897" s="15">
        <v>1.0</v>
      </c>
      <c r="K897" s="12" t="str">
        <f>HYPERLINK("https://buffer.com","Buffer")</f>
        <v>Buffer</v>
      </c>
      <c r="L897" s="16">
        <v>1342.0</v>
      </c>
      <c r="M897" s="16">
        <v>1400.0</v>
      </c>
      <c r="N897" s="16">
        <v>325.0</v>
      </c>
      <c r="O897" s="17"/>
      <c r="P897" s="18">
        <v>40522.41869212963</v>
      </c>
      <c r="Q897" s="1" t="s">
        <v>809</v>
      </c>
      <c r="R897" s="1" t="s">
        <v>4390</v>
      </c>
      <c r="S897" s="13" t="s">
        <v>4391</v>
      </c>
      <c r="T897" s="14"/>
      <c r="U897" s="19" t="str">
        <f>HYPERLINK("https://pbs.twimg.com/profile_images/636240363280297984/OKiBNcOd.png","View")</f>
        <v>View</v>
      </c>
      <c r="V897" s="14"/>
      <c r="W897" s="14"/>
      <c r="X897" s="14"/>
      <c r="Y897" s="14"/>
      <c r="Z897" s="14"/>
    </row>
    <row r="898">
      <c r="A898" s="11">
        <v>43846.62515046296</v>
      </c>
      <c r="B898" s="12" t="str">
        <f>HYPERLINK("https://twitter.com/Tap_In2_U","@Tap_In2_U")</f>
        <v>@Tap_In2_U</v>
      </c>
      <c r="C898" s="1" t="s">
        <v>1576</v>
      </c>
      <c r="D898" s="1" t="s">
        <v>4392</v>
      </c>
      <c r="E898" s="12" t="str">
        <f>HYPERLINK("https://twitter.com/Tap_In2_U/status/1217899378427551747","1217899378427551747")</f>
        <v>1217899378427551747</v>
      </c>
      <c r="F898" s="13" t="s">
        <v>3916</v>
      </c>
      <c r="G898" s="14"/>
      <c r="H898" s="14"/>
      <c r="I898" s="15">
        <v>0.0</v>
      </c>
      <c r="J898" s="15">
        <v>1.0</v>
      </c>
      <c r="K898" s="12" t="str">
        <f>HYPERLINK("https://www.socialoomph.com","SocialOomph")</f>
        <v>SocialOomph</v>
      </c>
      <c r="L898" s="16">
        <v>21140.0</v>
      </c>
      <c r="M898" s="16">
        <v>24508.0</v>
      </c>
      <c r="N898" s="16">
        <v>429.0</v>
      </c>
      <c r="O898" s="17"/>
      <c r="P898" s="18">
        <v>40340.859293981484</v>
      </c>
      <c r="Q898" s="1" t="s">
        <v>1579</v>
      </c>
      <c r="R898" s="1" t="s">
        <v>1580</v>
      </c>
      <c r="S898" s="13" t="s">
        <v>1581</v>
      </c>
      <c r="T898" s="14"/>
      <c r="U898" s="19" t="str">
        <f>HYPERLINK("https://pbs.twimg.com/profile_images/981805531/law-gold-thought-radiate.jpg","View")</f>
        <v>View</v>
      </c>
      <c r="V898" s="14"/>
      <c r="W898" s="14"/>
      <c r="X898" s="14"/>
      <c r="Y898" s="14"/>
      <c r="Z898" s="14"/>
    </row>
    <row r="899">
      <c r="A899" s="11">
        <v>43846.62430555555</v>
      </c>
      <c r="B899" s="12" t="str">
        <f>HYPERLINK("https://twitter.com/LauraEvansUYP","@LauraEvansUYP")</f>
        <v>@LauraEvansUYP</v>
      </c>
      <c r="C899" s="1" t="s">
        <v>4393</v>
      </c>
      <c r="D899" s="1" t="s">
        <v>4394</v>
      </c>
      <c r="E899" s="12" t="str">
        <f>HYPERLINK("https://twitter.com/LauraEvansUYP/status/1217899069676367873","1217899069676367873")</f>
        <v>1217899069676367873</v>
      </c>
      <c r="F899" s="13" t="s">
        <v>4395</v>
      </c>
      <c r="G899" s="14"/>
      <c r="H899" s="14"/>
      <c r="I899" s="15">
        <v>0.0</v>
      </c>
      <c r="J899" s="15">
        <v>0.0</v>
      </c>
      <c r="K899" s="12" t="str">
        <f t="shared" ref="K899:K900" si="92">HYPERLINK("https://buffer.com","Buffer")</f>
        <v>Buffer</v>
      </c>
      <c r="L899" s="16">
        <v>736.0</v>
      </c>
      <c r="M899" s="16">
        <v>791.0</v>
      </c>
      <c r="N899" s="16">
        <v>56.0</v>
      </c>
      <c r="O899" s="17"/>
      <c r="P899" s="18">
        <v>41784.342939814815</v>
      </c>
      <c r="Q899" s="1" t="s">
        <v>4396</v>
      </c>
      <c r="R899" s="1" t="s">
        <v>4397</v>
      </c>
      <c r="S899" s="13" t="s">
        <v>4398</v>
      </c>
      <c r="T899" s="14"/>
      <c r="U899" s="19" t="str">
        <f>HYPERLINK("https://pbs.twimg.com/profile_images/895757600834424833/Jw-bGlK2.jpg","View")</f>
        <v>View</v>
      </c>
      <c r="V899" s="14"/>
      <c r="W899" s="14"/>
      <c r="X899" s="14"/>
      <c r="Y899" s="14"/>
      <c r="Z899" s="14"/>
    </row>
    <row r="900">
      <c r="A900" s="11">
        <v>43846.61809027778</v>
      </c>
      <c r="B900" s="12" t="str">
        <f>HYPERLINK("https://twitter.com/ElPasoHealthIns","@ElPasoHealthIns")</f>
        <v>@ElPasoHealthIns</v>
      </c>
      <c r="C900" s="1" t="s">
        <v>4399</v>
      </c>
      <c r="D900" s="1" t="s">
        <v>2975</v>
      </c>
      <c r="E900" s="12" t="str">
        <f>HYPERLINK("https://twitter.com/ElPasoHealthIns/status/1217896817012158471","1217896817012158471")</f>
        <v>1217896817012158471</v>
      </c>
      <c r="F900" s="13" t="s">
        <v>4400</v>
      </c>
      <c r="G900" s="13" t="s">
        <v>4401</v>
      </c>
      <c r="H900" s="14"/>
      <c r="I900" s="15">
        <v>1.0</v>
      </c>
      <c r="J900" s="15">
        <v>0.0</v>
      </c>
      <c r="K900" s="12" t="str">
        <f t="shared" si="92"/>
        <v>Buffer</v>
      </c>
      <c r="L900" s="16">
        <v>366.0</v>
      </c>
      <c r="M900" s="16">
        <v>1597.0</v>
      </c>
      <c r="N900" s="16">
        <v>19.0</v>
      </c>
      <c r="O900" s="17"/>
      <c r="P900" s="18">
        <v>41554.777037037034</v>
      </c>
      <c r="Q900" s="1" t="s">
        <v>4402</v>
      </c>
      <c r="R900" s="1" t="s">
        <v>4403</v>
      </c>
      <c r="S900" s="13" t="s">
        <v>4404</v>
      </c>
      <c r="T900" s="14"/>
      <c r="U900" s="19" t="str">
        <f>HYPERLINK("https://pbs.twimg.com/profile_images/378800000565704026/22a385d8f9a12c41f647a358f05a7e70.jpeg","View")</f>
        <v>View</v>
      </c>
      <c r="V900" s="14"/>
      <c r="W900" s="14"/>
      <c r="X900" s="14"/>
      <c r="Y900" s="14"/>
      <c r="Z900" s="14"/>
    </row>
    <row r="901">
      <c r="A901" s="11">
        <v>43846.61462962963</v>
      </c>
      <c r="B901" s="12" t="str">
        <f>HYPERLINK("https://twitter.com/modernonsocial","@modernonsocial")</f>
        <v>@modernonsocial</v>
      </c>
      <c r="C901" s="1" t="s">
        <v>4405</v>
      </c>
      <c r="D901" s="1" t="s">
        <v>4406</v>
      </c>
      <c r="E901" s="12" t="str">
        <f>HYPERLINK("https://twitter.com/modernonsocial/status/1217895563317972992","1217895563317972992")</f>
        <v>1217895563317972992</v>
      </c>
      <c r="F901" s="14"/>
      <c r="G901" s="14"/>
      <c r="H901" s="14"/>
      <c r="I901" s="15">
        <v>0.0</v>
      </c>
      <c r="J901" s="15">
        <v>0.0</v>
      </c>
      <c r="K901" s="12" t="str">
        <f>HYPERLINK("https://www.hootsuite.com","Hootsuite Inc.")</f>
        <v>Hootsuite Inc.</v>
      </c>
      <c r="L901" s="16">
        <v>3382.0</v>
      </c>
      <c r="M901" s="16">
        <v>118.0</v>
      </c>
      <c r="N901" s="16">
        <v>16.0</v>
      </c>
      <c r="O901" s="17"/>
      <c r="P901" s="18">
        <v>43072.67818287037</v>
      </c>
      <c r="Q901" s="1" t="s">
        <v>56</v>
      </c>
      <c r="R901" s="1" t="s">
        <v>4407</v>
      </c>
      <c r="S901" s="13" t="s">
        <v>4408</v>
      </c>
      <c r="T901" s="14"/>
      <c r="U901" s="19" t="str">
        <f>HYPERLINK("https://pbs.twimg.com/profile_images/937430616215375872/tdUxISHx.jpg","View")</f>
        <v>View</v>
      </c>
      <c r="V901" s="14"/>
      <c r="W901" s="14"/>
      <c r="X901" s="14"/>
      <c r="Y901" s="14"/>
      <c r="Z901" s="14"/>
    </row>
    <row r="902">
      <c r="A902" s="11">
        <v>43846.61459490741</v>
      </c>
      <c r="B902" s="12" t="str">
        <f>HYPERLINK("https://twitter.com/DivergentCIO","@DivergentCIO")</f>
        <v>@DivergentCIO</v>
      </c>
      <c r="C902" s="1" t="s">
        <v>536</v>
      </c>
      <c r="D902" s="1" t="s">
        <v>537</v>
      </c>
      <c r="E902" s="12" t="str">
        <f>HYPERLINK("https://twitter.com/DivergentCIO/status/1217895552010149893","1217895552010149893")</f>
        <v>1217895552010149893</v>
      </c>
      <c r="F902" s="13" t="s">
        <v>538</v>
      </c>
      <c r="G902" s="14"/>
      <c r="H902" s="14"/>
      <c r="I902" s="15">
        <v>1.0</v>
      </c>
      <c r="J902" s="15">
        <v>0.0</v>
      </c>
      <c r="K902" s="12" t="str">
        <f>HYPERLINK("https://buffer.com","Buffer")</f>
        <v>Buffer</v>
      </c>
      <c r="L902" s="16">
        <v>28703.0</v>
      </c>
      <c r="M902" s="16">
        <v>25615.0</v>
      </c>
      <c r="N902" s="16">
        <v>1729.0</v>
      </c>
      <c r="O902" s="17"/>
      <c r="P902" s="18">
        <v>42071.738854166666</v>
      </c>
      <c r="Q902" s="1" t="s">
        <v>539</v>
      </c>
      <c r="R902" s="1" t="s">
        <v>540</v>
      </c>
      <c r="S902" s="13" t="s">
        <v>541</v>
      </c>
      <c r="T902" s="14"/>
      <c r="U902" s="19" t="str">
        <f>HYPERLINK("https://pbs.twimg.com/profile_images/767507322583199745/rpfbzBzg.jpg","View")</f>
        <v>View</v>
      </c>
      <c r="V902" s="14"/>
      <c r="W902" s="14"/>
      <c r="X902" s="14"/>
      <c r="Y902" s="14"/>
      <c r="Z902" s="14"/>
    </row>
    <row r="903">
      <c r="A903" s="11">
        <v>43846.611192129625</v>
      </c>
      <c r="B903" s="12" t="str">
        <f>HYPERLINK("https://twitter.com/NatureRevEndo","@NatureRevEndo")</f>
        <v>@NatureRevEndo</v>
      </c>
      <c r="C903" s="1" t="s">
        <v>4409</v>
      </c>
      <c r="D903" s="1" t="s">
        <v>4410</v>
      </c>
      <c r="E903" s="12" t="str">
        <f>HYPERLINK("https://twitter.com/NatureRevEndo/status/1217894317290856448","1217894317290856448")</f>
        <v>1217894317290856448</v>
      </c>
      <c r="F903" s="13" t="s">
        <v>4411</v>
      </c>
      <c r="G903" s="13" t="s">
        <v>4412</v>
      </c>
      <c r="H903" s="14"/>
      <c r="I903" s="15">
        <v>13.0</v>
      </c>
      <c r="J903" s="15">
        <v>20.0</v>
      </c>
      <c r="K903" s="12" t="str">
        <f>HYPERLINK("https://www.hootsuite.com","Hootsuite Inc.")</f>
        <v>Hootsuite Inc.</v>
      </c>
      <c r="L903" s="16">
        <v>16094.0</v>
      </c>
      <c r="M903" s="16">
        <v>503.0</v>
      </c>
      <c r="N903" s="16">
        <v>473.0</v>
      </c>
      <c r="O903" s="20" t="s">
        <v>38</v>
      </c>
      <c r="P903" s="18">
        <v>40457.26467592592</v>
      </c>
      <c r="Q903" s="1" t="s">
        <v>342</v>
      </c>
      <c r="R903" s="1" t="s">
        <v>4413</v>
      </c>
      <c r="S903" s="13" t="s">
        <v>4414</v>
      </c>
      <c r="T903" s="14"/>
      <c r="U903" s="19" t="str">
        <f>HYPERLINK("https://pbs.twimg.com/profile_images/1187309249967394818/gassmUHH.jpg","View")</f>
        <v>View</v>
      </c>
      <c r="V903" s="14"/>
      <c r="W903" s="14"/>
      <c r="X903" s="14"/>
      <c r="Y903" s="14"/>
      <c r="Z903" s="14"/>
    </row>
    <row r="904">
      <c r="A904" s="11">
        <v>43846.610555555555</v>
      </c>
      <c r="B904" s="12" t="str">
        <f>HYPERLINK("https://twitter.com/kimcanhomes","@kimcanhomes")</f>
        <v>@kimcanhomes</v>
      </c>
      <c r="C904" s="1" t="s">
        <v>4415</v>
      </c>
      <c r="D904" s="1" t="s">
        <v>4416</v>
      </c>
      <c r="E904" s="12" t="str">
        <f>HYPERLINK("https://twitter.com/kimcanhomes/status/1217894086348283905","1217894086348283905")</f>
        <v>1217894086348283905</v>
      </c>
      <c r="F904" s="13" t="s">
        <v>4417</v>
      </c>
      <c r="G904" s="13" t="s">
        <v>4418</v>
      </c>
      <c r="H904" s="14"/>
      <c r="I904" s="15">
        <v>0.0</v>
      </c>
      <c r="J904" s="15">
        <v>0.0</v>
      </c>
      <c r="K904" s="12" t="str">
        <f>HYPERLINK("https://www.socialjukebox.com","The Social Jukebox")</f>
        <v>The Social Jukebox</v>
      </c>
      <c r="L904" s="16">
        <v>2893.0</v>
      </c>
      <c r="M904" s="16">
        <v>4377.0</v>
      </c>
      <c r="N904" s="16">
        <v>128.0</v>
      </c>
      <c r="O904" s="17"/>
      <c r="P904" s="18">
        <v>40516.884780092594</v>
      </c>
      <c r="Q904" s="1" t="s">
        <v>4419</v>
      </c>
      <c r="R904" s="1" t="s">
        <v>4420</v>
      </c>
      <c r="S904" s="13" t="s">
        <v>4421</v>
      </c>
      <c r="T904" s="14"/>
      <c r="U904" s="19" t="str">
        <f>HYPERLINK("https://pbs.twimg.com/profile_images/692753473453080578/7_CtdxkB.jpg","View")</f>
        <v>View</v>
      </c>
      <c r="V904" s="14"/>
      <c r="W904" s="14"/>
      <c r="X904" s="14"/>
      <c r="Y904" s="14"/>
      <c r="Z904" s="14"/>
    </row>
    <row r="905">
      <c r="A905" s="11">
        <v>43846.609444444446</v>
      </c>
      <c r="B905" s="12" t="str">
        <f>HYPERLINK("https://twitter.com/MelissaBenaroya","@MelissaBenaroya")</f>
        <v>@MelissaBenaroya</v>
      </c>
      <c r="C905" s="1" t="s">
        <v>4422</v>
      </c>
      <c r="D905" s="1" t="s">
        <v>4423</v>
      </c>
      <c r="E905" s="12" t="str">
        <f>HYPERLINK("https://twitter.com/MelissaBenaroya/status/1217893683397382144","1217893683397382144")</f>
        <v>1217893683397382144</v>
      </c>
      <c r="F905" s="13" t="s">
        <v>4424</v>
      </c>
      <c r="G905" s="13" t="s">
        <v>4425</v>
      </c>
      <c r="H905" s="14"/>
      <c r="I905" s="15">
        <v>0.0</v>
      </c>
      <c r="J905" s="15">
        <v>0.0</v>
      </c>
      <c r="K905" s="12" t="str">
        <f>HYPERLINK("https://missinglettr.com","Missinglettr")</f>
        <v>Missinglettr</v>
      </c>
      <c r="L905" s="16">
        <v>133.0</v>
      </c>
      <c r="M905" s="16">
        <v>149.0</v>
      </c>
      <c r="N905" s="16">
        <v>2.0</v>
      </c>
      <c r="O905" s="17"/>
      <c r="P905" s="18">
        <v>42117.57614583333</v>
      </c>
      <c r="Q905" s="1" t="s">
        <v>2416</v>
      </c>
      <c r="R905" s="1" t="s">
        <v>4426</v>
      </c>
      <c r="S905" s="13" t="s">
        <v>4427</v>
      </c>
      <c r="T905" s="14"/>
      <c r="U905" s="19" t="str">
        <f>HYPERLINK("https://pbs.twimg.com/profile_images/816655236307689472/ccFdZYep.jpg","View")</f>
        <v>View</v>
      </c>
      <c r="V905" s="14"/>
      <c r="W905" s="14"/>
      <c r="X905" s="14"/>
      <c r="Y905" s="14"/>
      <c r="Z905" s="14"/>
    </row>
    <row r="906">
      <c r="A906" s="11">
        <v>43846.60769675926</v>
      </c>
      <c r="B906" s="12" t="str">
        <f>HYPERLINK("https://twitter.com/ARK_crystals","@ARK_crystals")</f>
        <v>@ARK_crystals</v>
      </c>
      <c r="C906" s="1" t="s">
        <v>4428</v>
      </c>
      <c r="D906" s="1" t="s">
        <v>4429</v>
      </c>
      <c r="E906" s="12" t="str">
        <f>HYPERLINK("https://twitter.com/ARK_crystals/status/1217893053551300608","1217893053551300608")</f>
        <v>1217893053551300608</v>
      </c>
      <c r="F906" s="13" t="s">
        <v>4430</v>
      </c>
      <c r="G906" s="13" t="s">
        <v>4431</v>
      </c>
      <c r="H906" s="14"/>
      <c r="I906" s="15">
        <v>0.0</v>
      </c>
      <c r="J906" s="15">
        <v>0.0</v>
      </c>
      <c r="K906" s="12" t="str">
        <f>HYPERLINK("https://www.hootsuite.com","Hootsuite Inc.")</f>
        <v>Hootsuite Inc.</v>
      </c>
      <c r="L906" s="16">
        <v>566.0</v>
      </c>
      <c r="M906" s="16">
        <v>111.0</v>
      </c>
      <c r="N906" s="16">
        <v>2.0</v>
      </c>
      <c r="O906" s="17"/>
      <c r="P906" s="18">
        <v>43200.79318287037</v>
      </c>
      <c r="Q906" s="14"/>
      <c r="R906" s="1" t="s">
        <v>4432</v>
      </c>
      <c r="S906" s="13" t="s">
        <v>4433</v>
      </c>
      <c r="T906" s="14"/>
      <c r="U906" s="19" t="str">
        <f>HYPERLINK("https://pbs.twimg.com/profile_images/1113489661328994304/X0dIilDw.png","View")</f>
        <v>View</v>
      </c>
      <c r="V906" s="14"/>
      <c r="W906" s="14"/>
      <c r="X906" s="14"/>
      <c r="Y906" s="14"/>
      <c r="Z906" s="14"/>
    </row>
    <row r="907">
      <c r="A907" s="11">
        <v>43846.60695601851</v>
      </c>
      <c r="B907" s="12" t="str">
        <f>HYPERLINK("https://twitter.com/ReCalmXR","@ReCalmXR")</f>
        <v>@ReCalmXR</v>
      </c>
      <c r="C907" s="1" t="s">
        <v>4434</v>
      </c>
      <c r="D907" s="1" t="s">
        <v>4435</v>
      </c>
      <c r="E907" s="12" t="str">
        <f>HYPERLINK("https://twitter.com/ReCalmXR/status/1217892784226623490","1217892784226623490")</f>
        <v>1217892784226623490</v>
      </c>
      <c r="F907" s="13" t="s">
        <v>4436</v>
      </c>
      <c r="G907" s="13" t="s">
        <v>4437</v>
      </c>
      <c r="H907" s="14"/>
      <c r="I907" s="15">
        <v>0.0</v>
      </c>
      <c r="J907" s="15">
        <v>0.0</v>
      </c>
      <c r="K907" s="12" t="str">
        <f>HYPERLINK("https://buffer.com","Buffer")</f>
        <v>Buffer</v>
      </c>
      <c r="L907" s="16">
        <v>965.0</v>
      </c>
      <c r="M907" s="16">
        <v>251.0</v>
      </c>
      <c r="N907" s="16">
        <v>0.0</v>
      </c>
      <c r="O907" s="17"/>
      <c r="P907" s="18">
        <v>42814.47083333333</v>
      </c>
      <c r="Q907" s="14"/>
      <c r="R907" s="1" t="s">
        <v>4438</v>
      </c>
      <c r="S907" s="14"/>
      <c r="T907" s="14"/>
      <c r="U907" s="19" t="str">
        <f>HYPERLINK("https://pbs.twimg.com/profile_images/948938615270199296/zYZqSpc2.jpg","View")</f>
        <v>View</v>
      </c>
      <c r="V907" s="14"/>
      <c r="W907" s="14"/>
      <c r="X907" s="14"/>
      <c r="Y907" s="14"/>
      <c r="Z907" s="14"/>
    </row>
    <row r="908">
      <c r="A908" s="11">
        <v>43846.606840277775</v>
      </c>
      <c r="B908" s="12" t="str">
        <f>HYPERLINK("https://twitter.com/jacquehawk","@jacquehawk")</f>
        <v>@jacquehawk</v>
      </c>
      <c r="C908" s="1" t="s">
        <v>4439</v>
      </c>
      <c r="D908" s="1" t="s">
        <v>4440</v>
      </c>
      <c r="E908" s="12" t="str">
        <f>HYPERLINK("https://twitter.com/jacquehawk/status/1217892740786094080","1217892740786094080")</f>
        <v>1217892740786094080</v>
      </c>
      <c r="F908" s="13" t="s">
        <v>4441</v>
      </c>
      <c r="G908" s="14"/>
      <c r="H908" s="14"/>
      <c r="I908" s="15">
        <v>0.0</v>
      </c>
      <c r="J908" s="15">
        <v>1.0</v>
      </c>
      <c r="K908" s="12" t="str">
        <f>HYPERLINK("http://twitter.com/download/iphone","Twitter for iPhone")</f>
        <v>Twitter for iPhone</v>
      </c>
      <c r="L908" s="16">
        <v>219.0</v>
      </c>
      <c r="M908" s="16">
        <v>466.0</v>
      </c>
      <c r="N908" s="16">
        <v>19.0</v>
      </c>
      <c r="O908" s="17"/>
      <c r="P908" s="18">
        <v>40712.05695601852</v>
      </c>
      <c r="Q908" s="1" t="s">
        <v>1782</v>
      </c>
      <c r="R908" s="1" t="s">
        <v>4442</v>
      </c>
      <c r="S908" s="13" t="s">
        <v>4443</v>
      </c>
      <c r="T908" s="14"/>
      <c r="U908" s="19" t="str">
        <f>HYPERLINK("https://pbs.twimg.com/profile_images/666004432375562240/5r0BENW6.jpg","View")</f>
        <v>View</v>
      </c>
      <c r="V908" s="14"/>
      <c r="W908" s="14"/>
      <c r="X908" s="14"/>
      <c r="Y908" s="14"/>
      <c r="Z908" s="14"/>
    </row>
    <row r="909">
      <c r="A909" s="11">
        <v>43846.60460648148</v>
      </c>
      <c r="B909" s="12" t="str">
        <f>HYPERLINK("https://twitter.com/costartupandgo","@costartupandgo")</f>
        <v>@costartupandgo</v>
      </c>
      <c r="C909" s="1" t="s">
        <v>4444</v>
      </c>
      <c r="D909" s="1" t="s">
        <v>4445</v>
      </c>
      <c r="E909" s="12" t="str">
        <f>HYPERLINK("https://twitter.com/costartupandgo/status/1217891931935645696","1217891931935645696")</f>
        <v>1217891931935645696</v>
      </c>
      <c r="F909" s="13" t="s">
        <v>4446</v>
      </c>
      <c r="G909" s="14"/>
      <c r="H909" s="14"/>
      <c r="I909" s="15">
        <v>0.0</v>
      </c>
      <c r="J909" s="15">
        <v>0.0</v>
      </c>
      <c r="K909" s="12" t="str">
        <f>HYPERLINK("https://www.hootsuite.com","Hootsuite Inc.")</f>
        <v>Hootsuite Inc.</v>
      </c>
      <c r="L909" s="16">
        <v>575.0</v>
      </c>
      <c r="M909" s="16">
        <v>442.0</v>
      </c>
      <c r="N909" s="16">
        <v>303.0</v>
      </c>
      <c r="O909" s="17"/>
      <c r="P909" s="18">
        <v>42441.35994212963</v>
      </c>
      <c r="Q909" s="1" t="s">
        <v>268</v>
      </c>
      <c r="R909" s="1" t="s">
        <v>4447</v>
      </c>
      <c r="S909" s="13" t="s">
        <v>4448</v>
      </c>
      <c r="T909" s="14"/>
      <c r="U909" s="19" t="str">
        <f>HYPERLINK("https://pbs.twimg.com/profile_images/880360755949948929/EeOMWd75.jpg","View")</f>
        <v>View</v>
      </c>
      <c r="V909" s="14"/>
      <c r="W909" s="14"/>
      <c r="X909" s="14"/>
      <c r="Y909" s="14"/>
      <c r="Z909" s="14"/>
    </row>
    <row r="910">
      <c r="A910" s="11">
        <v>43846.60439814815</v>
      </c>
      <c r="B910" s="12" t="str">
        <f>HYPERLINK("https://twitter.com/RevenueMechanic","@RevenueMechanic")</f>
        <v>@RevenueMechanic</v>
      </c>
      <c r="C910" s="1" t="s">
        <v>4449</v>
      </c>
      <c r="D910" s="1" t="s">
        <v>4450</v>
      </c>
      <c r="E910" s="12" t="str">
        <f>HYPERLINK("https://twitter.com/RevenueMechanic/status/1217891856295563273","1217891856295563273")</f>
        <v>1217891856295563273</v>
      </c>
      <c r="F910" s="13" t="s">
        <v>4451</v>
      </c>
      <c r="G910" s="13" t="s">
        <v>4452</v>
      </c>
      <c r="H910" s="14"/>
      <c r="I910" s="15">
        <v>0.0</v>
      </c>
      <c r="J910" s="15">
        <v>0.0</v>
      </c>
      <c r="K910" s="12" t="str">
        <f>HYPERLINK("https://smarterqueue.com","SmarterQueue")</f>
        <v>SmarterQueue</v>
      </c>
      <c r="L910" s="16">
        <v>1934.0</v>
      </c>
      <c r="M910" s="16">
        <v>1980.0</v>
      </c>
      <c r="N910" s="16">
        <v>463.0</v>
      </c>
      <c r="O910" s="17"/>
      <c r="P910" s="18">
        <v>39889.810057870374</v>
      </c>
      <c r="Q910" s="1" t="s">
        <v>4453</v>
      </c>
      <c r="R910" s="1" t="s">
        <v>4454</v>
      </c>
      <c r="S910" s="13" t="s">
        <v>4455</v>
      </c>
      <c r="T910" s="14"/>
      <c r="U910" s="19" t="str">
        <f>HYPERLINK("https://pbs.twimg.com/profile_images/667027285845807104/PpoeKoBo.jpg","View")</f>
        <v>View</v>
      </c>
      <c r="V910" s="14"/>
      <c r="W910" s="14"/>
      <c r="X910" s="14"/>
      <c r="Y910" s="14"/>
      <c r="Z910" s="14"/>
    </row>
    <row r="911">
      <c r="A911" s="11">
        <v>43846.60425925926</v>
      </c>
      <c r="B911" s="12" t="str">
        <f>HYPERLINK("https://twitter.com/OfficeMassageCo","@OfficeMassageCo")</f>
        <v>@OfficeMassageCo</v>
      </c>
      <c r="C911" s="1" t="s">
        <v>4456</v>
      </c>
      <c r="D911" s="1" t="s">
        <v>4457</v>
      </c>
      <c r="E911" s="12" t="str">
        <f>HYPERLINK("https://twitter.com/OfficeMassageCo/status/1217891807754719232","1217891807754719232")</f>
        <v>1217891807754719232</v>
      </c>
      <c r="F911" s="13" t="s">
        <v>4458</v>
      </c>
      <c r="G911" s="13" t="s">
        <v>4459</v>
      </c>
      <c r="H911" s="14"/>
      <c r="I911" s="15">
        <v>0.0</v>
      </c>
      <c r="J911" s="15">
        <v>0.0</v>
      </c>
      <c r="K911" s="12" t="str">
        <f>HYPERLINK("http://postplanner.com","Post Planner Inc.")</f>
        <v>Post Planner Inc.</v>
      </c>
      <c r="L911" s="16">
        <v>2639.0</v>
      </c>
      <c r="M911" s="16">
        <v>1842.0</v>
      </c>
      <c r="N911" s="16">
        <v>63.0</v>
      </c>
      <c r="O911" s="17"/>
      <c r="P911" s="18">
        <v>41655.43261574074</v>
      </c>
      <c r="Q911" s="1" t="s">
        <v>4460</v>
      </c>
      <c r="R911" s="1" t="s">
        <v>4461</v>
      </c>
      <c r="S911" s="13" t="s">
        <v>4462</v>
      </c>
      <c r="T911" s="14"/>
      <c r="U911" s="19" t="str">
        <f>HYPERLINK("https://pbs.twimg.com/profile_images/1135508036347465728/V4gqPndS.png","View")</f>
        <v>View</v>
      </c>
      <c r="V911" s="14"/>
      <c r="W911" s="14"/>
      <c r="X911" s="14"/>
      <c r="Y911" s="14"/>
      <c r="Z911" s="14"/>
    </row>
    <row r="912">
      <c r="A912" s="11">
        <v>43846.60423611111</v>
      </c>
      <c r="B912" s="12" t="str">
        <f>HYPERLINK("https://twitter.com/garethmurphyIE","@garethmurphyIE")</f>
        <v>@garethmurphyIE</v>
      </c>
      <c r="C912" s="1" t="s">
        <v>4463</v>
      </c>
      <c r="D912" s="1" t="s">
        <v>4464</v>
      </c>
      <c r="E912" s="12" t="str">
        <f>HYPERLINK("https://twitter.com/garethmurphyIE/status/1217891799206891520","1217891799206891520")</f>
        <v>1217891799206891520</v>
      </c>
      <c r="F912" s="1" t="s">
        <v>4465</v>
      </c>
      <c r="G912" s="14"/>
      <c r="H912" s="14"/>
      <c r="I912" s="15">
        <v>0.0</v>
      </c>
      <c r="J912" s="15">
        <v>6.0</v>
      </c>
      <c r="K912" s="12" t="str">
        <f>HYPERLINK("http://twitter.com/download/iphone","Twitter for iPhone")</f>
        <v>Twitter for iPhone</v>
      </c>
      <c r="L912" s="16">
        <v>866.0</v>
      </c>
      <c r="M912" s="16">
        <v>935.0</v>
      </c>
      <c r="N912" s="16">
        <v>13.0</v>
      </c>
      <c r="O912" s="17"/>
      <c r="P912" s="18">
        <v>42290.47041666666</v>
      </c>
      <c r="Q912" s="14"/>
      <c r="R912" s="1" t="s">
        <v>4466</v>
      </c>
      <c r="S912" s="13" t="s">
        <v>4467</v>
      </c>
      <c r="T912" s="14"/>
      <c r="U912" s="19" t="str">
        <f>HYPERLINK("https://pbs.twimg.com/profile_images/1146685559605202950/tLj5TEUc.jpg","View")</f>
        <v>View</v>
      </c>
      <c r="V912" s="14"/>
      <c r="W912" s="14"/>
      <c r="X912" s="14"/>
      <c r="Y912" s="14"/>
      <c r="Z912" s="14"/>
    </row>
    <row r="913">
      <c r="A913" s="11">
        <v>43846.59028935185</v>
      </c>
      <c r="B913" s="12" t="str">
        <f>HYPERLINK("https://twitter.com/DivergentCIO","@DivergentCIO")</f>
        <v>@DivergentCIO</v>
      </c>
      <c r="C913" s="1" t="s">
        <v>536</v>
      </c>
      <c r="D913" s="1" t="s">
        <v>571</v>
      </c>
      <c r="E913" s="12" t="str">
        <f>HYPERLINK("https://twitter.com/DivergentCIO/status/1217886744076595201","1217886744076595201")</f>
        <v>1217886744076595201</v>
      </c>
      <c r="F913" s="13" t="s">
        <v>572</v>
      </c>
      <c r="G913" s="14"/>
      <c r="H913" s="14"/>
      <c r="I913" s="15">
        <v>0.0</v>
      </c>
      <c r="J913" s="15">
        <v>1.0</v>
      </c>
      <c r="K913" s="12" t="str">
        <f>HYPERLINK("https://buffer.com","Buffer")</f>
        <v>Buffer</v>
      </c>
      <c r="L913" s="16">
        <v>28703.0</v>
      </c>
      <c r="M913" s="16">
        <v>25615.0</v>
      </c>
      <c r="N913" s="16">
        <v>1729.0</v>
      </c>
      <c r="O913" s="17"/>
      <c r="P913" s="18">
        <v>42071.738854166666</v>
      </c>
      <c r="Q913" s="1" t="s">
        <v>539</v>
      </c>
      <c r="R913" s="1" t="s">
        <v>540</v>
      </c>
      <c r="S913" s="13" t="s">
        <v>541</v>
      </c>
      <c r="T913" s="14"/>
      <c r="U913" s="19" t="str">
        <f>HYPERLINK("https://pbs.twimg.com/profile_images/767507322583199745/rpfbzBzg.jpg","View")</f>
        <v>View</v>
      </c>
      <c r="V913" s="14"/>
      <c r="W913" s="14"/>
      <c r="X913" s="14"/>
      <c r="Y913" s="14"/>
      <c r="Z913" s="14"/>
    </row>
    <row r="914">
      <c r="A914" s="11">
        <v>43846.58806712963</v>
      </c>
      <c r="B914" s="12" t="str">
        <f>HYPERLINK("https://twitter.com/yourMomentSQ","@yourMomentSQ")</f>
        <v>@yourMomentSQ</v>
      </c>
      <c r="C914" s="1" t="s">
        <v>4468</v>
      </c>
      <c r="D914" s="1" t="s">
        <v>4469</v>
      </c>
      <c r="E914" s="12" t="str">
        <f>HYPERLINK("https://twitter.com/yourMomentSQ/status/1217885936798691328","1217885936798691328")</f>
        <v>1217885936798691328</v>
      </c>
      <c r="F914" s="1" t="s">
        <v>4470</v>
      </c>
      <c r="G914" s="14"/>
      <c r="H914" s="14"/>
      <c r="I914" s="15">
        <v>0.0</v>
      </c>
      <c r="J914" s="15">
        <v>0.0</v>
      </c>
      <c r="K914" s="12" t="str">
        <f>HYPERLINK("http://instagram.com","Instagram")</f>
        <v>Instagram</v>
      </c>
      <c r="L914" s="16">
        <v>252.0</v>
      </c>
      <c r="M914" s="16">
        <v>407.0</v>
      </c>
      <c r="N914" s="16">
        <v>5.0</v>
      </c>
      <c r="O914" s="17"/>
      <c r="P914" s="18">
        <v>43157.15659722222</v>
      </c>
      <c r="Q914" s="1" t="s">
        <v>4471</v>
      </c>
      <c r="R914" s="1" t="s">
        <v>4472</v>
      </c>
      <c r="S914" s="13" t="s">
        <v>4473</v>
      </c>
      <c r="T914" s="14"/>
      <c r="U914" s="19" t="str">
        <f>HYPERLINK("https://pbs.twimg.com/profile_images/1207102096958349313/66bKmIIY.jpg","View")</f>
        <v>View</v>
      </c>
      <c r="V914" s="14"/>
      <c r="W914" s="14"/>
      <c r="X914" s="14"/>
      <c r="Y914" s="14"/>
      <c r="Z914" s="14"/>
    </row>
    <row r="915">
      <c r="A915" s="11">
        <v>43846.586863425924</v>
      </c>
      <c r="B915" s="12" t="str">
        <f>HYPERLINK("https://twitter.com/Sneurofeedback","@Sneurofeedback")</f>
        <v>@Sneurofeedback</v>
      </c>
      <c r="C915" s="1" t="s">
        <v>4474</v>
      </c>
      <c r="D915" s="1" t="s">
        <v>4475</v>
      </c>
      <c r="E915" s="12" t="str">
        <f>HYPERLINK("https://twitter.com/Sneurofeedback/status/1217885502281523205","1217885502281523205")</f>
        <v>1217885502281523205</v>
      </c>
      <c r="F915" s="13" t="s">
        <v>4476</v>
      </c>
      <c r="G915" s="13" t="s">
        <v>4477</v>
      </c>
      <c r="H915" s="14"/>
      <c r="I915" s="15">
        <v>0.0</v>
      </c>
      <c r="J915" s="15">
        <v>4.0</v>
      </c>
      <c r="K915" s="12" t="str">
        <f>HYPERLINK("https://www.hootsuite.com","Hootsuite Inc.")</f>
        <v>Hootsuite Inc.</v>
      </c>
      <c r="L915" s="16">
        <v>250.0</v>
      </c>
      <c r="M915" s="16">
        <v>67.0</v>
      </c>
      <c r="N915" s="16">
        <v>20.0</v>
      </c>
      <c r="O915" s="17"/>
      <c r="P915" s="18">
        <v>42078.529328703706</v>
      </c>
      <c r="Q915" s="1" t="s">
        <v>132</v>
      </c>
      <c r="R915" s="1" t="s">
        <v>4478</v>
      </c>
      <c r="S915" s="13" t="s">
        <v>4479</v>
      </c>
      <c r="T915" s="14"/>
      <c r="U915" s="19" t="str">
        <f>HYPERLINK("https://pbs.twimg.com/profile_images/577543392923504640/VbJVpYS2.png","View")</f>
        <v>View</v>
      </c>
      <c r="V915" s="14"/>
      <c r="W915" s="14"/>
      <c r="X915" s="14"/>
      <c r="Y915" s="14"/>
      <c r="Z915" s="14"/>
    </row>
    <row r="916">
      <c r="A916" s="11">
        <v>43846.586597222224</v>
      </c>
      <c r="B916" s="12" t="str">
        <f>HYPERLINK("https://twitter.com/TeenTipsLtd","@TeenTipsLtd")</f>
        <v>@TeenTipsLtd</v>
      </c>
      <c r="C916" s="1" t="s">
        <v>4480</v>
      </c>
      <c r="D916" s="1" t="s">
        <v>4481</v>
      </c>
      <c r="E916" s="12" t="str">
        <f>HYPERLINK("https://twitter.com/TeenTipsLtd/status/1217885405426659334","1217885405426659334")</f>
        <v>1217885405426659334</v>
      </c>
      <c r="F916" s="14"/>
      <c r="G916" s="14"/>
      <c r="H916" s="14"/>
      <c r="I916" s="15">
        <v>1.0</v>
      </c>
      <c r="J916" s="15">
        <v>1.0</v>
      </c>
      <c r="K916" s="12" t="str">
        <f>HYPERLINK("http://twitter.com/download/iphone","Twitter for iPhone")</f>
        <v>Twitter for iPhone</v>
      </c>
      <c r="L916" s="16">
        <v>353.0</v>
      </c>
      <c r="M916" s="16">
        <v>1102.0</v>
      </c>
      <c r="N916" s="16">
        <v>1.0</v>
      </c>
      <c r="O916" s="17"/>
      <c r="P916" s="18">
        <v>43258.307708333334</v>
      </c>
      <c r="Q916" s="14"/>
      <c r="R916" s="1" t="s">
        <v>4482</v>
      </c>
      <c r="S916" s="13" t="s">
        <v>4483</v>
      </c>
      <c r="T916" s="14"/>
      <c r="U916" s="19" t="str">
        <f>HYPERLINK("https://pbs.twimg.com/profile_images/1004687389825085440/xwAQq5BZ.jpg","View")</f>
        <v>View</v>
      </c>
      <c r="V916" s="14"/>
      <c r="W916" s="14"/>
      <c r="X916" s="14"/>
      <c r="Y916" s="14"/>
      <c r="Z916" s="14"/>
    </row>
    <row r="917">
      <c r="A917" s="11">
        <v>43846.585497685184</v>
      </c>
      <c r="B917" s="12" t="str">
        <f>HYPERLINK("https://twitter.com/neuroflowlive","@neuroflowlive")</f>
        <v>@neuroflowlive</v>
      </c>
      <c r="C917" s="1" t="s">
        <v>2288</v>
      </c>
      <c r="D917" s="1" t="s">
        <v>4484</v>
      </c>
      <c r="E917" s="12" t="str">
        <f>HYPERLINK("https://twitter.com/neuroflowlive/status/1217885008322617349","1217885008322617349")</f>
        <v>1217885008322617349</v>
      </c>
      <c r="F917" s="14"/>
      <c r="G917" s="13" t="s">
        <v>4485</v>
      </c>
      <c r="H917" s="14"/>
      <c r="I917" s="15">
        <v>1.0</v>
      </c>
      <c r="J917" s="15">
        <v>5.0</v>
      </c>
      <c r="K917" s="12" t="str">
        <f>HYPERLINK("http://www.hubspot.com/","HubSpot")</f>
        <v>HubSpot</v>
      </c>
      <c r="L917" s="16">
        <v>888.0</v>
      </c>
      <c r="M917" s="16">
        <v>1447.0</v>
      </c>
      <c r="N917" s="16">
        <v>16.0</v>
      </c>
      <c r="O917" s="17"/>
      <c r="P917" s="18">
        <v>42802.66462962963</v>
      </c>
      <c r="Q917" s="1" t="s">
        <v>2015</v>
      </c>
      <c r="R917" s="1" t="s">
        <v>2291</v>
      </c>
      <c r="S917" s="13" t="s">
        <v>2292</v>
      </c>
      <c r="T917" s="14"/>
      <c r="U917" s="19" t="str">
        <f>HYPERLINK("https://pbs.twimg.com/profile_images/1048386258378973184/mkvdztzj.jpg","View")</f>
        <v>View</v>
      </c>
      <c r="V917" s="14"/>
      <c r="W917" s="14"/>
      <c r="X917" s="14"/>
      <c r="Y917" s="14"/>
      <c r="Z917" s="14"/>
    </row>
    <row r="918">
      <c r="A918" s="11">
        <v>43846.58489583334</v>
      </c>
      <c r="B918" s="12" t="str">
        <f>HYPERLINK("https://twitter.com/BreathworksMind","@BreathworksMind")</f>
        <v>@BreathworksMind</v>
      </c>
      <c r="C918" s="1" t="s">
        <v>4486</v>
      </c>
      <c r="D918" s="1" t="s">
        <v>4487</v>
      </c>
      <c r="E918" s="12" t="str">
        <f>HYPERLINK("https://twitter.com/BreathworksMind/status/1217884790696894464","1217884790696894464")</f>
        <v>1217884790696894464</v>
      </c>
      <c r="F918" s="13" t="s">
        <v>4488</v>
      </c>
      <c r="G918" s="13" t="s">
        <v>4489</v>
      </c>
      <c r="H918" s="14"/>
      <c r="I918" s="15">
        <v>1.0</v>
      </c>
      <c r="J918" s="15">
        <v>1.0</v>
      </c>
      <c r="K918" s="12" t="str">
        <f>HYPERLINK("https://www.hootsuite.com","Hootsuite Inc.")</f>
        <v>Hootsuite Inc.</v>
      </c>
      <c r="L918" s="16">
        <v>7059.0</v>
      </c>
      <c r="M918" s="16">
        <v>4420.0</v>
      </c>
      <c r="N918" s="16">
        <v>208.0</v>
      </c>
      <c r="O918" s="17"/>
      <c r="P918" s="18">
        <v>40408.34365740741</v>
      </c>
      <c r="Q918" s="1" t="s">
        <v>4490</v>
      </c>
      <c r="R918" s="1" t="s">
        <v>4491</v>
      </c>
      <c r="S918" s="13" t="s">
        <v>4492</v>
      </c>
      <c r="T918" s="14"/>
      <c r="U918" s="19" t="str">
        <f>HYPERLINK("https://pbs.twimg.com/profile_images/1083027264328122369/dhFnKBTc.jpg","View")</f>
        <v>View</v>
      </c>
      <c r="V918" s="14"/>
      <c r="W918" s="14"/>
      <c r="X918" s="14"/>
      <c r="Y918" s="14"/>
      <c r="Z918" s="14"/>
    </row>
    <row r="919">
      <c r="A919" s="11">
        <v>43846.583923611106</v>
      </c>
      <c r="B919" s="12" t="str">
        <f>HYPERLINK("https://twitter.com/GuyStuffAdvice","@GuyStuffAdvice")</f>
        <v>@GuyStuffAdvice</v>
      </c>
      <c r="C919" s="1" t="s">
        <v>4493</v>
      </c>
      <c r="D919" s="1" t="s">
        <v>4494</v>
      </c>
      <c r="E919" s="12" t="str">
        <f>HYPERLINK("https://twitter.com/GuyStuffAdvice/status/1217884438434062338","1217884438434062338")</f>
        <v>1217884438434062338</v>
      </c>
      <c r="F919" s="13" t="s">
        <v>4495</v>
      </c>
      <c r="G919" s="14"/>
      <c r="H919" s="14"/>
      <c r="I919" s="15">
        <v>0.0</v>
      </c>
      <c r="J919" s="15">
        <v>0.0</v>
      </c>
      <c r="K919" s="12" t="str">
        <f>HYPERLINK("http://www.hubspot.com/","HubSpot")</f>
        <v>HubSpot</v>
      </c>
      <c r="L919" s="16">
        <v>3854.0</v>
      </c>
      <c r="M919" s="16">
        <v>35.0</v>
      </c>
      <c r="N919" s="16">
        <v>19.0</v>
      </c>
      <c r="O919" s="17"/>
      <c r="P919" s="18">
        <v>40347.45039351852</v>
      </c>
      <c r="Q919" s="1" t="s">
        <v>4496</v>
      </c>
      <c r="R919" s="1" t="s">
        <v>4497</v>
      </c>
      <c r="S919" s="13" t="s">
        <v>4498</v>
      </c>
      <c r="T919" s="14"/>
      <c r="U919" s="19" t="str">
        <f>HYPERLINK("https://pbs.twimg.com/profile_images/935251876702031874/_iz7PDpc.jpg","View")</f>
        <v>View</v>
      </c>
      <c r="V919" s="14"/>
      <c r="W919" s="14"/>
      <c r="X919" s="14"/>
      <c r="Y919" s="14"/>
      <c r="Z919" s="14"/>
    </row>
    <row r="920">
      <c r="A920" s="11">
        <v>43846.583773148144</v>
      </c>
      <c r="B920" s="12" t="str">
        <f>HYPERLINK("https://twitter.com/tuningelement","@tuningelement")</f>
        <v>@tuningelement</v>
      </c>
      <c r="C920" s="1" t="s">
        <v>4499</v>
      </c>
      <c r="D920" s="1" t="s">
        <v>4500</v>
      </c>
      <c r="E920" s="12" t="str">
        <f>HYPERLINK("https://twitter.com/tuningelement/status/1217884383740297218","1217884383740297218")</f>
        <v>1217884383740297218</v>
      </c>
      <c r="F920" s="13" t="s">
        <v>4501</v>
      </c>
      <c r="G920" s="13" t="s">
        <v>4502</v>
      </c>
      <c r="H920" s="14"/>
      <c r="I920" s="15">
        <v>0.0</v>
      </c>
      <c r="J920" s="15">
        <v>0.0</v>
      </c>
      <c r="K920" s="12" t="str">
        <f>HYPERLINK("https://eclincher.com","eClincher")</f>
        <v>eClincher</v>
      </c>
      <c r="L920" s="16">
        <v>70.0</v>
      </c>
      <c r="M920" s="16">
        <v>16.0</v>
      </c>
      <c r="N920" s="16">
        <v>2.0</v>
      </c>
      <c r="O920" s="17"/>
      <c r="P920" s="18">
        <v>40611.03233796296</v>
      </c>
      <c r="Q920" s="1" t="s">
        <v>4059</v>
      </c>
      <c r="R920" s="1" t="s">
        <v>4503</v>
      </c>
      <c r="S920" s="13" t="s">
        <v>4504</v>
      </c>
      <c r="T920" s="14"/>
      <c r="U920" s="19" t="str">
        <f>HYPERLINK("https://pbs.twimg.com/profile_images/755433945429270528/wyR2fEiw.jpg","View")</f>
        <v>View</v>
      </c>
      <c r="V920" s="14"/>
      <c r="W920" s="14"/>
      <c r="X920" s="14"/>
      <c r="Y920" s="14"/>
      <c r="Z920" s="14"/>
    </row>
    <row r="921">
      <c r="A921" s="11">
        <v>43846.583599537036</v>
      </c>
      <c r="B921" s="12" t="str">
        <f>HYPERLINK("https://twitter.com/AmcharaHealth","@AmcharaHealth")</f>
        <v>@AmcharaHealth</v>
      </c>
      <c r="C921" s="1" t="s">
        <v>4505</v>
      </c>
      <c r="D921" s="1" t="s">
        <v>4506</v>
      </c>
      <c r="E921" s="12" t="str">
        <f>HYPERLINK("https://twitter.com/AmcharaHealth/status/1217884318607060995","1217884318607060995")</f>
        <v>1217884318607060995</v>
      </c>
      <c r="F921" s="13" t="s">
        <v>4507</v>
      </c>
      <c r="G921" s="13" t="s">
        <v>4508</v>
      </c>
      <c r="H921" s="14"/>
      <c r="I921" s="15">
        <v>0.0</v>
      </c>
      <c r="J921" s="15">
        <v>0.0</v>
      </c>
      <c r="K921" s="12" t="str">
        <f>HYPERLINK("https://www.hootsuite.com","Hootsuite Inc.")</f>
        <v>Hootsuite Inc.</v>
      </c>
      <c r="L921" s="16">
        <v>2173.0</v>
      </c>
      <c r="M921" s="16">
        <v>4407.0</v>
      </c>
      <c r="N921" s="16">
        <v>43.0</v>
      </c>
      <c r="O921" s="17"/>
      <c r="P921" s="18">
        <v>40374.3759375</v>
      </c>
      <c r="Q921" s="14"/>
      <c r="R921" s="1" t="s">
        <v>4509</v>
      </c>
      <c r="S921" s="13" t="s">
        <v>4510</v>
      </c>
      <c r="T921" s="14"/>
      <c r="U921" s="19" t="str">
        <f>HYPERLINK("https://pbs.twimg.com/profile_images/1034809133399240704/gwBae_X0.jpg","View")</f>
        <v>View</v>
      </c>
      <c r="V921" s="14"/>
      <c r="W921" s="14"/>
      <c r="X921" s="14"/>
      <c r="Y921" s="14"/>
      <c r="Z921" s="14"/>
    </row>
    <row r="922">
      <c r="A922" s="11">
        <v>43846.57303240741</v>
      </c>
      <c r="B922" s="12" t="str">
        <f>HYPERLINK("https://twitter.com/tysonmultimedia","@tysonmultimedia")</f>
        <v>@tysonmultimedia</v>
      </c>
      <c r="C922" s="1" t="s">
        <v>4511</v>
      </c>
      <c r="D922" s="1" t="s">
        <v>4512</v>
      </c>
      <c r="E922" s="12" t="str">
        <f>HYPERLINK("https://twitter.com/tysonmultimedia/status/1217880491036004352","1217880491036004352")</f>
        <v>1217880491036004352</v>
      </c>
      <c r="F922" s="13" t="s">
        <v>4513</v>
      </c>
      <c r="G922" s="13" t="s">
        <v>4514</v>
      </c>
      <c r="H922" s="14"/>
      <c r="I922" s="15">
        <v>0.0</v>
      </c>
      <c r="J922" s="15">
        <v>0.0</v>
      </c>
      <c r="K922" s="12" t="str">
        <f>HYPERLINK("http://twitter.com/download/iphone","Twitter for iPhone")</f>
        <v>Twitter for iPhone</v>
      </c>
      <c r="L922" s="16">
        <v>75.0</v>
      </c>
      <c r="M922" s="16">
        <v>271.0</v>
      </c>
      <c r="N922" s="16">
        <v>7.0</v>
      </c>
      <c r="O922" s="17"/>
      <c r="P922" s="18">
        <v>42351.93436342593</v>
      </c>
      <c r="Q922" s="14"/>
      <c r="R922" s="14"/>
      <c r="S922" s="14"/>
      <c r="T922" s="14"/>
      <c r="U922" s="19" t="str">
        <f>HYPERLINK("https://pbs.twimg.com/profile_images/1015791565728567296/T1dtreYK.jpg","View")</f>
        <v>View</v>
      </c>
      <c r="V922" s="14"/>
      <c r="W922" s="14"/>
      <c r="X922" s="14"/>
      <c r="Y922" s="14"/>
      <c r="Z922" s="14"/>
    </row>
    <row r="923">
      <c r="A923" s="11">
        <v>43846.57303240741</v>
      </c>
      <c r="B923" s="12" t="str">
        <f>HYPERLINK("https://twitter.com/AccuWeight","@AccuWeight")</f>
        <v>@AccuWeight</v>
      </c>
      <c r="C923" s="1" t="s">
        <v>4515</v>
      </c>
      <c r="D923" s="1" t="s">
        <v>4516</v>
      </c>
      <c r="E923" s="12" t="str">
        <f>HYPERLINK("https://twitter.com/AccuWeight/status/1217880487924027394","1217880487924027394")</f>
        <v>1217880487924027394</v>
      </c>
      <c r="F923" s="13" t="s">
        <v>4517</v>
      </c>
      <c r="G923" s="13" t="s">
        <v>4518</v>
      </c>
      <c r="H923" s="14"/>
      <c r="I923" s="15">
        <v>0.0</v>
      </c>
      <c r="J923" s="15">
        <v>0.0</v>
      </c>
      <c r="K923" s="12" t="str">
        <f>HYPERLINK("https://www.hootsuite.com","Hootsuite Inc.")</f>
        <v>Hootsuite Inc.</v>
      </c>
      <c r="L923" s="16">
        <v>1083.0</v>
      </c>
      <c r="M923" s="16">
        <v>2461.0</v>
      </c>
      <c r="N923" s="16">
        <v>34.0</v>
      </c>
      <c r="O923" s="17"/>
      <c r="P923" s="18">
        <v>41108.03563657407</v>
      </c>
      <c r="Q923" s="1" t="s">
        <v>56</v>
      </c>
      <c r="R923" s="1" t="s">
        <v>4519</v>
      </c>
      <c r="S923" s="13" t="s">
        <v>4517</v>
      </c>
      <c r="T923" s="14"/>
      <c r="U923" s="19" t="str">
        <f>HYPERLINK("https://pbs.twimg.com/profile_images/1070985359994089472/ibQdmOTX.jpg","View")</f>
        <v>View</v>
      </c>
      <c r="V923" s="14"/>
      <c r="W923" s="14"/>
      <c r="X923" s="14"/>
      <c r="Y923" s="14"/>
      <c r="Z923" s="14"/>
    </row>
    <row r="924">
      <c r="A924" s="11">
        <v>43846.57266203704</v>
      </c>
      <c r="B924" s="12" t="str">
        <f>HYPERLINK("https://twitter.com/FENSorg","@FENSorg")</f>
        <v>@FENSorg</v>
      </c>
      <c r="C924" s="1" t="s">
        <v>4520</v>
      </c>
      <c r="D924" s="1" t="s">
        <v>4521</v>
      </c>
      <c r="E924" s="12" t="str">
        <f>HYPERLINK("https://twitter.com/FENSorg/status/1217880353324642304","1217880353324642304")</f>
        <v>1217880353324642304</v>
      </c>
      <c r="F924" s="13" t="s">
        <v>4522</v>
      </c>
      <c r="G924" s="13" t="s">
        <v>4523</v>
      </c>
      <c r="H924" s="14"/>
      <c r="I924" s="15">
        <v>16.0</v>
      </c>
      <c r="J924" s="15">
        <v>30.0</v>
      </c>
      <c r="K924" s="12" t="str">
        <f>HYPERLINK("https://mobile.twitter.com","Twitter Web App")</f>
        <v>Twitter Web App</v>
      </c>
      <c r="L924" s="16">
        <v>16685.0</v>
      </c>
      <c r="M924" s="16">
        <v>732.0</v>
      </c>
      <c r="N924" s="16">
        <v>293.0</v>
      </c>
      <c r="O924" s="17"/>
      <c r="P924" s="18">
        <v>40799.34732638889</v>
      </c>
      <c r="Q924" s="1" t="s">
        <v>4524</v>
      </c>
      <c r="R924" s="1" t="s">
        <v>4525</v>
      </c>
      <c r="S924" s="13" t="s">
        <v>4526</v>
      </c>
      <c r="T924" s="14"/>
      <c r="U924" s="19" t="str">
        <f>HYPERLINK("https://pbs.twimg.com/profile_images/876335147880247296/cUN3aJ8C.jpg","View")</f>
        <v>View</v>
      </c>
      <c r="V924" s="14"/>
      <c r="W924" s="14"/>
      <c r="X924" s="14"/>
      <c r="Y924" s="14"/>
      <c r="Z924" s="14"/>
    </row>
    <row r="925">
      <c r="A925" s="11">
        <v>43846.571481481486</v>
      </c>
      <c r="B925" s="12" t="str">
        <f>HYPERLINK("https://twitter.com/sportcareaccess","@sportcareaccess")</f>
        <v>@sportcareaccess</v>
      </c>
      <c r="C925" s="1" t="s">
        <v>4527</v>
      </c>
      <c r="D925" s="1" t="s">
        <v>4528</v>
      </c>
      <c r="E925" s="12" t="str">
        <f>HYPERLINK("https://twitter.com/sportcareaccess/status/1217879925765570566","1217879925765570566")</f>
        <v>1217879925765570566</v>
      </c>
      <c r="F925" s="14"/>
      <c r="G925" s="13" t="s">
        <v>4529</v>
      </c>
      <c r="H925" s="14"/>
      <c r="I925" s="15">
        <v>0.0</v>
      </c>
      <c r="J925" s="15">
        <v>0.0</v>
      </c>
      <c r="K925" s="12" t="str">
        <f>HYPERLINK("http://twitter.com/download/android","Twitter for Android")</f>
        <v>Twitter for Android</v>
      </c>
      <c r="L925" s="16">
        <v>23291.0</v>
      </c>
      <c r="M925" s="16">
        <v>10204.0</v>
      </c>
      <c r="N925" s="16">
        <v>0.0</v>
      </c>
      <c r="O925" s="17"/>
      <c r="P925" s="18">
        <v>41132.18597222222</v>
      </c>
      <c r="Q925" s="1" t="s">
        <v>268</v>
      </c>
      <c r="R925" s="1" t="s">
        <v>4530</v>
      </c>
      <c r="S925" s="13" t="s">
        <v>4531</v>
      </c>
      <c r="T925" s="14"/>
      <c r="U925" s="19" t="str">
        <f>HYPERLINK("https://pbs.twimg.com/profile_images/1092193880932564992/xlPmYoOP.jpg","View")</f>
        <v>View</v>
      </c>
      <c r="V925" s="14"/>
      <c r="W925" s="14"/>
      <c r="X925" s="14"/>
      <c r="Y925" s="14"/>
      <c r="Z925" s="14"/>
    </row>
    <row r="926">
      <c r="A926" s="11">
        <v>43846.569490740745</v>
      </c>
      <c r="B926" s="12" t="str">
        <f>HYPERLINK("https://twitter.com/TMNinja","@TMNinja")</f>
        <v>@TMNinja</v>
      </c>
      <c r="C926" s="1" t="s">
        <v>558</v>
      </c>
      <c r="D926" s="1" t="s">
        <v>559</v>
      </c>
      <c r="E926" s="12" t="str">
        <f>HYPERLINK("https://twitter.com/TMNinja/status/1217879206186692609","1217879206186692609")</f>
        <v>1217879206186692609</v>
      </c>
      <c r="F926" s="13" t="s">
        <v>560</v>
      </c>
      <c r="G926" s="13" t="s">
        <v>4532</v>
      </c>
      <c r="H926" s="14"/>
      <c r="I926" s="15">
        <v>1.0</v>
      </c>
      <c r="J926" s="15">
        <v>0.0</v>
      </c>
      <c r="K926" s="12" t="str">
        <f>HYPERLINK("https://buffer.com","Buffer")</f>
        <v>Buffer</v>
      </c>
      <c r="L926" s="16">
        <v>34405.0</v>
      </c>
      <c r="M926" s="16">
        <v>15405.0</v>
      </c>
      <c r="N926" s="16">
        <v>1884.0</v>
      </c>
      <c r="O926" s="20" t="s">
        <v>38</v>
      </c>
      <c r="P926" s="18">
        <v>39982.609548611115</v>
      </c>
      <c r="Q926" s="1" t="s">
        <v>550</v>
      </c>
      <c r="R926" s="1" t="s">
        <v>562</v>
      </c>
      <c r="S926" s="13" t="s">
        <v>563</v>
      </c>
      <c r="T926" s="14"/>
      <c r="U926" s="19" t="str">
        <f>HYPERLINK("https://pbs.twimg.com/profile_images/1734246631/Craig_BW_Headshot_small.jpg.jpg","View")</f>
        <v>View</v>
      </c>
      <c r="V926" s="14"/>
      <c r="W926" s="14"/>
      <c r="X926" s="14"/>
      <c r="Y926" s="14"/>
      <c r="Z926" s="14"/>
    </row>
    <row r="927">
      <c r="A927" s="11">
        <v>43846.566782407404</v>
      </c>
      <c r="B927" s="12" t="str">
        <f>HYPERLINK("https://twitter.com/_weightloss284","@_weightloss284")</f>
        <v>@_weightloss284</v>
      </c>
      <c r="C927" s="1" t="s">
        <v>1293</v>
      </c>
      <c r="D927" s="1" t="s">
        <v>4533</v>
      </c>
      <c r="E927" s="12" t="str">
        <f>HYPERLINK("https://twitter.com/_weightloss284/status/1217878224010711040","1217878224010711040")</f>
        <v>1217878224010711040</v>
      </c>
      <c r="F927" s="13" t="s">
        <v>4534</v>
      </c>
      <c r="G927" s="13" t="s">
        <v>4535</v>
      </c>
      <c r="H927" s="14"/>
      <c r="I927" s="15">
        <v>0.0</v>
      </c>
      <c r="J927" s="15">
        <v>0.0</v>
      </c>
      <c r="K927" s="12" t="str">
        <f>HYPERLINK("http://pachaworld.org/","Pachaworldmain")</f>
        <v>Pachaworldmain</v>
      </c>
      <c r="L927" s="16">
        <v>30740.0</v>
      </c>
      <c r="M927" s="16">
        <v>29150.0</v>
      </c>
      <c r="N927" s="16">
        <v>648.0</v>
      </c>
      <c r="O927" s="17"/>
      <c r="P927" s="18">
        <v>40811.433842592596</v>
      </c>
      <c r="Q927" s="1" t="s">
        <v>1297</v>
      </c>
      <c r="R927" s="1" t="s">
        <v>1298</v>
      </c>
      <c r="S927" s="13" t="s">
        <v>1299</v>
      </c>
      <c r="T927" s="14"/>
      <c r="U927" s="19" t="str">
        <f>HYPERLINK("https://pbs.twimg.com/profile_images/856213931802710018/G1Ag0eNK.jpg","View")</f>
        <v>View</v>
      </c>
      <c r="V927" s="14"/>
      <c r="W927" s="14"/>
      <c r="X927" s="14"/>
      <c r="Y927" s="14"/>
      <c r="Z927" s="14"/>
    </row>
    <row r="928">
      <c r="A928" s="11">
        <v>43846.566041666665</v>
      </c>
      <c r="B928" s="12" t="str">
        <f>HYPERLINK("https://twitter.com/philburmac","@philburmac")</f>
        <v>@philburmac</v>
      </c>
      <c r="C928" s="1" t="s">
        <v>4536</v>
      </c>
      <c r="D928" s="1" t="s">
        <v>4537</v>
      </c>
      <c r="E928" s="12" t="str">
        <f>HYPERLINK("https://twitter.com/philburmac/status/1217877955386511360","1217877955386511360")</f>
        <v>1217877955386511360</v>
      </c>
      <c r="F928" s="13" t="s">
        <v>4538</v>
      </c>
      <c r="G928" s="13" t="s">
        <v>4539</v>
      </c>
      <c r="H928" s="14"/>
      <c r="I928" s="15">
        <v>0.0</v>
      </c>
      <c r="J928" s="15">
        <v>4.0</v>
      </c>
      <c r="K928" s="12" t="str">
        <f>HYPERLINK("https://ifttt.com","IFTTT")</f>
        <v>IFTTT</v>
      </c>
      <c r="L928" s="16">
        <v>9.0</v>
      </c>
      <c r="M928" s="16">
        <v>93.0</v>
      </c>
      <c r="N928" s="16">
        <v>1.0</v>
      </c>
      <c r="O928" s="17"/>
      <c r="P928" s="18">
        <v>42860.39268518519</v>
      </c>
      <c r="Q928" s="1" t="s">
        <v>51</v>
      </c>
      <c r="R928" s="1" t="s">
        <v>4540</v>
      </c>
      <c r="S928" s="13" t="s">
        <v>4541</v>
      </c>
      <c r="T928" s="14"/>
      <c r="U928" s="19" t="str">
        <f>HYPERLINK("https://pbs.twimg.com/profile_images/1204918347491504128/Y8CZWHZ5.jpg","View")</f>
        <v>View</v>
      </c>
      <c r="V928" s="14"/>
      <c r="W928" s="14"/>
      <c r="X928" s="14"/>
      <c r="Y928" s="14"/>
      <c r="Z928" s="14"/>
    </row>
    <row r="929">
      <c r="A929" s="11">
        <v>43846.56601851852</v>
      </c>
      <c r="B929" s="12" t="str">
        <f>HYPERLINK("https://twitter.com/drbondhopson","@drbondhopson")</f>
        <v>@drbondhopson</v>
      </c>
      <c r="C929" s="1" t="s">
        <v>4542</v>
      </c>
      <c r="D929" s="1" t="s">
        <v>4543</v>
      </c>
      <c r="E929" s="12" t="str">
        <f>HYPERLINK("https://twitter.com/drbondhopson/status/1217877949640269824","1217877949640269824")</f>
        <v>1217877949640269824</v>
      </c>
      <c r="F929" s="13" t="s">
        <v>4544</v>
      </c>
      <c r="G929" s="13" t="s">
        <v>4545</v>
      </c>
      <c r="H929" s="14"/>
      <c r="I929" s="15">
        <v>0.0</v>
      </c>
      <c r="J929" s="15">
        <v>1.0</v>
      </c>
      <c r="K929" s="12" t="str">
        <f>HYPERLINK("https://www.hootsuite.com","Hootsuite Inc.")</f>
        <v>Hootsuite Inc.</v>
      </c>
      <c r="L929" s="16">
        <v>875.0</v>
      </c>
      <c r="M929" s="16">
        <v>987.0</v>
      </c>
      <c r="N929" s="16">
        <v>47.0</v>
      </c>
      <c r="O929" s="17"/>
      <c r="P929" s="18">
        <v>40533.51525462963</v>
      </c>
      <c r="Q929" s="1" t="s">
        <v>4546</v>
      </c>
      <c r="R929" s="1" t="s">
        <v>4547</v>
      </c>
      <c r="S929" s="13" t="s">
        <v>4548</v>
      </c>
      <c r="T929" s="14"/>
      <c r="U929" s="19" t="str">
        <f>HYPERLINK("https://pbs.twimg.com/profile_images/1311482235/Avatar_Picture_for_Twitter_page_JPEG.jpg","View")</f>
        <v>View</v>
      </c>
      <c r="V929" s="14"/>
      <c r="W929" s="14"/>
      <c r="X929" s="14"/>
      <c r="Y929" s="14"/>
      <c r="Z929" s="14"/>
    </row>
    <row r="930">
      <c r="A930" s="11">
        <v>43846.56252314815</v>
      </c>
      <c r="B930" s="12" t="str">
        <f>HYPERLINK("https://twitter.com/HerbalGardenFL","@HerbalGardenFL")</f>
        <v>@HerbalGardenFL</v>
      </c>
      <c r="C930" s="1" t="s">
        <v>1803</v>
      </c>
      <c r="D930" s="1" t="s">
        <v>4549</v>
      </c>
      <c r="E930" s="12" t="str">
        <f>HYPERLINK("https://twitter.com/HerbalGardenFL/status/1217876680989122561","1217876680989122561")</f>
        <v>1217876680989122561</v>
      </c>
      <c r="F930" s="1" t="s">
        <v>4550</v>
      </c>
      <c r="G930" s="14"/>
      <c r="H930" s="14"/>
      <c r="I930" s="15">
        <v>0.0</v>
      </c>
      <c r="J930" s="15">
        <v>1.0</v>
      </c>
      <c r="K930" s="12" t="str">
        <f>HYPERLINK("https://kuku.io","Link account with KUKU.io")</f>
        <v>Link account with KUKU.io</v>
      </c>
      <c r="L930" s="16">
        <v>129.0</v>
      </c>
      <c r="M930" s="16">
        <v>90.0</v>
      </c>
      <c r="N930" s="16">
        <v>3.0</v>
      </c>
      <c r="O930" s="17"/>
      <c r="P930" s="18">
        <v>41130.93263888889</v>
      </c>
      <c r="Q930" s="1" t="s">
        <v>1806</v>
      </c>
      <c r="R930" s="1" t="s">
        <v>1807</v>
      </c>
      <c r="S930" s="13" t="s">
        <v>1808</v>
      </c>
      <c r="T930" s="14"/>
      <c r="U930" s="19" t="str">
        <f>HYPERLINK("https://pbs.twimg.com/profile_images/713345260160679936/WZnIHWw4.jpg","View")</f>
        <v>View</v>
      </c>
      <c r="V930" s="14"/>
      <c r="W930" s="14"/>
      <c r="X930" s="14"/>
      <c r="Y930" s="14"/>
      <c r="Z930" s="14"/>
    </row>
    <row r="931">
      <c r="A931" s="11">
        <v>43846.56086805556</v>
      </c>
      <c r="B931" s="12" t="str">
        <f>HYPERLINK("https://twitter.com/OhmsLaw78","@OhmsLaw78")</f>
        <v>@OhmsLaw78</v>
      </c>
      <c r="C931" s="1" t="s">
        <v>4551</v>
      </c>
      <c r="D931" s="1" t="s">
        <v>4552</v>
      </c>
      <c r="E931" s="12" t="str">
        <f>HYPERLINK("https://twitter.com/OhmsLaw78/status/1217876081178554371","1217876081178554371")</f>
        <v>1217876081178554371</v>
      </c>
      <c r="F931" s="13" t="s">
        <v>4553</v>
      </c>
      <c r="G931" s="14"/>
      <c r="H931" s="14"/>
      <c r="I931" s="15">
        <v>0.0</v>
      </c>
      <c r="J931" s="15">
        <v>0.0</v>
      </c>
      <c r="K931" s="12" t="str">
        <f>HYPERLINK("http://twitter.com","Twitter Web Client")</f>
        <v>Twitter Web Client</v>
      </c>
      <c r="L931" s="16">
        <v>1004.0</v>
      </c>
      <c r="M931" s="16">
        <v>1388.0</v>
      </c>
      <c r="N931" s="16">
        <v>111.0</v>
      </c>
      <c r="O931" s="17"/>
      <c r="P931" s="18">
        <v>40262.38339120371</v>
      </c>
      <c r="Q931" s="1" t="s">
        <v>4554</v>
      </c>
      <c r="R931" s="1" t="s">
        <v>4555</v>
      </c>
      <c r="S931" s="13" t="s">
        <v>4556</v>
      </c>
      <c r="T931" s="14"/>
      <c r="U931" s="19" t="str">
        <f>HYPERLINK("https://pbs.twimg.com/profile_images/612773966336229376/9HagaQqk.png","View")</f>
        <v>View</v>
      </c>
      <c r="V931" s="14"/>
      <c r="W931" s="14"/>
      <c r="X931" s="14"/>
      <c r="Y931" s="14"/>
      <c r="Z931" s="14"/>
    </row>
    <row r="932">
      <c r="A932" s="11">
        <v>43846.55961805556</v>
      </c>
      <c r="B932" s="12" t="str">
        <f>HYPERLINK("https://twitter.com/Mad_In_America","@Mad_In_America")</f>
        <v>@Mad_In_America</v>
      </c>
      <c r="C932" s="1" t="s">
        <v>4557</v>
      </c>
      <c r="D932" s="1" t="s">
        <v>4558</v>
      </c>
      <c r="E932" s="12" t="str">
        <f>HYPERLINK("https://twitter.com/Mad_In_America/status/1217875628092878849","1217875628092878849")</f>
        <v>1217875628092878849</v>
      </c>
      <c r="F932" s="13" t="s">
        <v>4559</v>
      </c>
      <c r="G932" s="14"/>
      <c r="H932" s="14"/>
      <c r="I932" s="15">
        <v>13.0</v>
      </c>
      <c r="J932" s="15">
        <v>20.0</v>
      </c>
      <c r="K932" s="12" t="str">
        <f t="shared" ref="K932:K933" si="93">HYPERLINK("https://mobile.twitter.com","Twitter Web App")</f>
        <v>Twitter Web App</v>
      </c>
      <c r="L932" s="16">
        <v>15771.0</v>
      </c>
      <c r="M932" s="16">
        <v>735.0</v>
      </c>
      <c r="N932" s="16">
        <v>354.0</v>
      </c>
      <c r="O932" s="17"/>
      <c r="P932" s="18">
        <v>40916.653090277774</v>
      </c>
      <c r="Q932" s="1" t="s">
        <v>4560</v>
      </c>
      <c r="R932" s="1" t="s">
        <v>4561</v>
      </c>
      <c r="S932" s="13" t="s">
        <v>4562</v>
      </c>
      <c r="T932" s="14"/>
      <c r="U932" s="19" t="str">
        <f>HYPERLINK("https://pbs.twimg.com/profile_images/895185387706081284/RLrJuHed.jpg","View")</f>
        <v>View</v>
      </c>
      <c r="V932" s="14"/>
      <c r="W932" s="14"/>
      <c r="X932" s="14"/>
      <c r="Y932" s="14"/>
      <c r="Z932" s="14"/>
    </row>
    <row r="933">
      <c r="A933" s="11">
        <v>43846.55892361111</v>
      </c>
      <c r="B933" s="12" t="str">
        <f>HYPERLINK("https://twitter.com/HypnoSharon","@HypnoSharon")</f>
        <v>@HypnoSharon</v>
      </c>
      <c r="C933" s="1" t="s">
        <v>4563</v>
      </c>
      <c r="D933" s="1" t="s">
        <v>4564</v>
      </c>
      <c r="E933" s="12" t="str">
        <f>HYPERLINK("https://twitter.com/HypnoSharon/status/1217875378087366656","1217875378087366656")</f>
        <v>1217875378087366656</v>
      </c>
      <c r="F933" s="13" t="s">
        <v>4565</v>
      </c>
      <c r="G933" s="13" t="s">
        <v>4566</v>
      </c>
      <c r="H933" s="14"/>
      <c r="I933" s="15">
        <v>0.0</v>
      </c>
      <c r="J933" s="15">
        <v>1.0</v>
      </c>
      <c r="K933" s="12" t="str">
        <f t="shared" si="93"/>
        <v>Twitter Web App</v>
      </c>
      <c r="L933" s="16">
        <v>873.0</v>
      </c>
      <c r="M933" s="16">
        <v>636.0</v>
      </c>
      <c r="N933" s="16">
        <v>64.0</v>
      </c>
      <c r="O933" s="17"/>
      <c r="P933" s="18">
        <v>40042.7049537037</v>
      </c>
      <c r="Q933" s="1" t="s">
        <v>4567</v>
      </c>
      <c r="R933" s="1" t="s">
        <v>4568</v>
      </c>
      <c r="S933" s="13" t="s">
        <v>4569</v>
      </c>
      <c r="T933" s="14"/>
      <c r="U933" s="19" t="str">
        <f>HYPERLINK("https://pbs.twimg.com/profile_images/775683914421641216/abv1YWdK.jpg","View")</f>
        <v>View</v>
      </c>
      <c r="V933" s="14"/>
      <c r="W933" s="14"/>
      <c r="X933" s="14"/>
      <c r="Y933" s="14"/>
      <c r="Z933" s="14"/>
    </row>
    <row r="934">
      <c r="A934" s="11">
        <v>43846.553495370375</v>
      </c>
      <c r="B934" s="12" t="str">
        <f>HYPERLINK("https://twitter.com/MasisStaffing","@MasisStaffing")</f>
        <v>@MasisStaffing</v>
      </c>
      <c r="C934" s="1" t="s">
        <v>1084</v>
      </c>
      <c r="D934" s="1" t="s">
        <v>4570</v>
      </c>
      <c r="E934" s="12" t="str">
        <f>HYPERLINK("https://twitter.com/MasisStaffing/status/1217873409679466500","1217873409679466500")</f>
        <v>1217873409679466500</v>
      </c>
      <c r="F934" s="13" t="s">
        <v>4571</v>
      </c>
      <c r="G934" s="13" t="s">
        <v>4572</v>
      </c>
      <c r="H934" s="14"/>
      <c r="I934" s="15">
        <v>0.0</v>
      </c>
      <c r="J934" s="15">
        <v>0.0</v>
      </c>
      <c r="K934" s="12" t="str">
        <f>HYPERLINK("https://sproutsocial.com","Sprout Social")</f>
        <v>Sprout Social</v>
      </c>
      <c r="L934" s="16">
        <v>1490.0</v>
      </c>
      <c r="M934" s="16">
        <v>765.0</v>
      </c>
      <c r="N934" s="16">
        <v>238.0</v>
      </c>
      <c r="O934" s="17"/>
      <c r="P934" s="18">
        <v>41392.447129629625</v>
      </c>
      <c r="Q934" s="1" t="s">
        <v>56</v>
      </c>
      <c r="R934" s="1" t="s">
        <v>1088</v>
      </c>
      <c r="S934" s="13" t="s">
        <v>1089</v>
      </c>
      <c r="T934" s="14"/>
      <c r="U934" s="19" t="str">
        <f>HYPERLINK("https://pbs.twimg.com/profile_images/921080088879403009/itKBxF8G.jpg","View")</f>
        <v>View</v>
      </c>
      <c r="V934" s="14"/>
      <c r="W934" s="14"/>
      <c r="X934" s="14"/>
      <c r="Y934" s="14"/>
      <c r="Z934" s="14"/>
    </row>
    <row r="935">
      <c r="A935" s="11">
        <v>43846.548668981486</v>
      </c>
      <c r="B935" s="12" t="str">
        <f>HYPERLINK("https://twitter.com/pattybechtold","@pattybechtold")</f>
        <v>@pattybechtold</v>
      </c>
      <c r="C935" s="1" t="s">
        <v>4573</v>
      </c>
      <c r="D935" s="1" t="s">
        <v>4574</v>
      </c>
      <c r="E935" s="12" t="str">
        <f>HYPERLINK("https://twitter.com/pattybechtold/status/1217871660654743552","1217871660654743552")</f>
        <v>1217871660654743552</v>
      </c>
      <c r="F935" s="13" t="s">
        <v>4575</v>
      </c>
      <c r="G935" s="14"/>
      <c r="H935" s="14"/>
      <c r="I935" s="15">
        <v>0.0</v>
      </c>
      <c r="J935" s="15">
        <v>0.0</v>
      </c>
      <c r="K935" s="12" t="str">
        <f>HYPERLINK("https://www.hootsuite.com","Hootsuite Inc.")</f>
        <v>Hootsuite Inc.</v>
      </c>
      <c r="L935" s="16">
        <v>917.0</v>
      </c>
      <c r="M935" s="16">
        <v>803.0</v>
      </c>
      <c r="N935" s="16">
        <v>26.0</v>
      </c>
      <c r="O935" s="17"/>
      <c r="P935" s="18">
        <v>41216.95700231481</v>
      </c>
      <c r="Q935" s="1" t="s">
        <v>4576</v>
      </c>
      <c r="R935" s="1" t="s">
        <v>4577</v>
      </c>
      <c r="S935" s="13" t="s">
        <v>4578</v>
      </c>
      <c r="T935" s="14"/>
      <c r="U935" s="19" t="str">
        <f>HYPERLINK("https://pbs.twimg.com/profile_images/808907693754880001/F8EBCvKk.jpg","View")</f>
        <v>View</v>
      </c>
      <c r="V935" s="14"/>
      <c r="W935" s="14"/>
      <c r="X935" s="14"/>
      <c r="Y935" s="14"/>
      <c r="Z935" s="14"/>
    </row>
    <row r="936">
      <c r="A936" s="11">
        <v>43846.54724537037</v>
      </c>
      <c r="B936" s="12" t="str">
        <f>HYPERLINK("https://twitter.com/southernmomlove","@southernmomlove")</f>
        <v>@southernmomlove</v>
      </c>
      <c r="C936" s="1" t="s">
        <v>643</v>
      </c>
      <c r="D936" s="1" t="s">
        <v>644</v>
      </c>
      <c r="E936" s="12" t="str">
        <f>HYPERLINK("https://twitter.com/southernmomlove/status/1217871145057296384","1217871145057296384")</f>
        <v>1217871145057296384</v>
      </c>
      <c r="F936" s="13" t="s">
        <v>645</v>
      </c>
      <c r="G936" s="13" t="s">
        <v>4579</v>
      </c>
      <c r="H936" s="14"/>
      <c r="I936" s="15">
        <v>2.0</v>
      </c>
      <c r="J936" s="15">
        <v>0.0</v>
      </c>
      <c r="K936" s="12" t="str">
        <f>HYPERLINK("https://buffer.com","Buffer")</f>
        <v>Buffer</v>
      </c>
      <c r="L936" s="16">
        <v>14525.0</v>
      </c>
      <c r="M936" s="16">
        <v>1279.0</v>
      </c>
      <c r="N936" s="16">
        <v>212.0</v>
      </c>
      <c r="O936" s="17"/>
      <c r="P936" s="18">
        <v>41694.59119212963</v>
      </c>
      <c r="Q936" s="1" t="s">
        <v>647</v>
      </c>
      <c r="R936" s="1" t="s">
        <v>648</v>
      </c>
      <c r="S936" s="13" t="s">
        <v>649</v>
      </c>
      <c r="T936" s="14"/>
      <c r="U936" s="19" t="str">
        <f>HYPERLINK("https://pbs.twimg.com/profile_images/930498845733261312/3cq36Ubm.jpg","View")</f>
        <v>View</v>
      </c>
      <c r="V936" s="14"/>
      <c r="W936" s="14"/>
      <c r="X936" s="14"/>
      <c r="Y936" s="14"/>
      <c r="Z936" s="14"/>
    </row>
    <row r="937">
      <c r="A937" s="11">
        <v>43846.54275462963</v>
      </c>
      <c r="B937" s="12" t="str">
        <f>HYPERLINK("https://twitter.com/gtbarry","@gtbarry")</f>
        <v>@gtbarry</v>
      </c>
      <c r="C937" s="1" t="s">
        <v>4580</v>
      </c>
      <c r="D937" s="1" t="s">
        <v>4581</v>
      </c>
      <c r="E937" s="12" t="str">
        <f>HYPERLINK("https://twitter.com/gtbarry/status/1217869517814222848","1217869517814222848")</f>
        <v>1217869517814222848</v>
      </c>
      <c r="F937" s="13" t="s">
        <v>4582</v>
      </c>
      <c r="G937" s="14"/>
      <c r="H937" s="14"/>
      <c r="I937" s="15">
        <v>0.0</v>
      </c>
      <c r="J937" s="15">
        <v>0.0</v>
      </c>
      <c r="K937" s="12" t="str">
        <f t="shared" ref="K937:K938" si="94">HYPERLINK("https://www.hootsuite.com","Hootsuite Inc.")</f>
        <v>Hootsuite Inc.</v>
      </c>
      <c r="L937" s="16">
        <v>142.0</v>
      </c>
      <c r="M937" s="16">
        <v>162.0</v>
      </c>
      <c r="N937" s="16">
        <v>18.0</v>
      </c>
      <c r="O937" s="17"/>
      <c r="P937" s="18">
        <v>39888.74422453703</v>
      </c>
      <c r="Q937" s="1" t="s">
        <v>364</v>
      </c>
      <c r="R937" s="1" t="s">
        <v>4583</v>
      </c>
      <c r="S937" s="14"/>
      <c r="T937" s="14"/>
      <c r="U937" s="19" t="str">
        <f>HYPERLINK("https://pbs.twimg.com/profile_images/1173845298801565696/YOPZDle1.jpg","View")</f>
        <v>View</v>
      </c>
      <c r="V937" s="14"/>
      <c r="W937" s="14"/>
      <c r="X937" s="14"/>
      <c r="Y937" s="14"/>
      <c r="Z937" s="14"/>
    </row>
    <row r="938">
      <c r="A938" s="11">
        <v>43846.542395833334</v>
      </c>
      <c r="B938" s="12" t="str">
        <f>HYPERLINK("https://twitter.com/Freedom_PMI","@Freedom_PMI")</f>
        <v>@Freedom_PMI</v>
      </c>
      <c r="C938" s="1" t="s">
        <v>4584</v>
      </c>
      <c r="D938" s="1" t="s">
        <v>4585</v>
      </c>
      <c r="E938" s="12" t="str">
        <f>HYPERLINK("https://twitter.com/Freedom_PMI/status/1217869387757211650","1217869387757211650")</f>
        <v>1217869387757211650</v>
      </c>
      <c r="F938" s="13" t="s">
        <v>4586</v>
      </c>
      <c r="G938" s="13" t="s">
        <v>4587</v>
      </c>
      <c r="H938" s="14"/>
      <c r="I938" s="15">
        <v>0.0</v>
      </c>
      <c r="J938" s="15">
        <v>0.0</v>
      </c>
      <c r="K938" s="12" t="str">
        <f t="shared" si="94"/>
        <v>Hootsuite Inc.</v>
      </c>
      <c r="L938" s="16">
        <v>814.0</v>
      </c>
      <c r="M938" s="16">
        <v>129.0</v>
      </c>
      <c r="N938" s="16">
        <v>18.0</v>
      </c>
      <c r="O938" s="17"/>
      <c r="P938" s="18">
        <v>40759.292719907404</v>
      </c>
      <c r="Q938" s="1" t="s">
        <v>4588</v>
      </c>
      <c r="R938" s="1" t="s">
        <v>4589</v>
      </c>
      <c r="S938" s="13" t="s">
        <v>4590</v>
      </c>
      <c r="T938" s="14"/>
      <c r="U938" s="19" t="str">
        <f>HYPERLINK("https://pbs.twimg.com/profile_images/1080792616483078145/8XXZZvTp.jpg","View")</f>
        <v>View</v>
      </c>
      <c r="V938" s="14"/>
      <c r="W938" s="14"/>
      <c r="X938" s="14"/>
      <c r="Y938" s="14"/>
      <c r="Z938" s="14"/>
    </row>
    <row r="939">
      <c r="A939" s="11">
        <v>43846.54206018518</v>
      </c>
      <c r="B939" s="12" t="str">
        <f>HYPERLINK("https://twitter.com/tftsouthafrica","@tftsouthafrica")</f>
        <v>@tftsouthafrica</v>
      </c>
      <c r="C939" s="1" t="s">
        <v>4591</v>
      </c>
      <c r="D939" s="1" t="s">
        <v>4592</v>
      </c>
      <c r="E939" s="12" t="str">
        <f>HYPERLINK("https://twitter.com/tftsouthafrica/status/1217869266768343040","1217869266768343040")</f>
        <v>1217869266768343040</v>
      </c>
      <c r="F939" s="13" t="s">
        <v>4593</v>
      </c>
      <c r="G939" s="13" t="s">
        <v>4594</v>
      </c>
      <c r="H939" s="14"/>
      <c r="I939" s="15">
        <v>1.0</v>
      </c>
      <c r="J939" s="15">
        <v>0.0</v>
      </c>
      <c r="K939" s="12" t="str">
        <f>HYPERLINK("https://www.socialjukebox.com","The Social Jukebox")</f>
        <v>The Social Jukebox</v>
      </c>
      <c r="L939" s="16">
        <v>1598.0</v>
      </c>
      <c r="M939" s="16">
        <v>1101.0</v>
      </c>
      <c r="N939" s="16">
        <v>0.0</v>
      </c>
      <c r="O939" s="17"/>
      <c r="P939" s="18">
        <v>41482.19898148148</v>
      </c>
      <c r="Q939" s="1" t="s">
        <v>3363</v>
      </c>
      <c r="R939" s="1" t="s">
        <v>4595</v>
      </c>
      <c r="S939" s="13" t="s">
        <v>4596</v>
      </c>
      <c r="T939" s="14"/>
      <c r="U939" s="19" t="str">
        <f>HYPERLINK("https://pbs.twimg.com/profile_images/925610684074872832/Npgcorjk.jpg","View")</f>
        <v>View</v>
      </c>
      <c r="V939" s="14"/>
      <c r="W939" s="14"/>
      <c r="X939" s="14"/>
      <c r="Y939" s="14"/>
      <c r="Z939" s="14"/>
    </row>
    <row r="940">
      <c r="A940" s="11">
        <v>43846.54178240741</v>
      </c>
      <c r="B940" s="12" t="str">
        <f>HYPERLINK("https://twitter.com/QuickGoodFortun","@QuickGoodFortun")</f>
        <v>@QuickGoodFortun</v>
      </c>
      <c r="C940" s="1" t="s">
        <v>1773</v>
      </c>
      <c r="D940" s="1" t="s">
        <v>4597</v>
      </c>
      <c r="E940" s="12" t="str">
        <f>HYPERLINK("https://twitter.com/QuickGoodFortun/status/1217869164687372293","1217869164687372293")</f>
        <v>1217869164687372293</v>
      </c>
      <c r="F940" s="13" t="s">
        <v>3916</v>
      </c>
      <c r="G940" s="14"/>
      <c r="H940" s="14"/>
      <c r="I940" s="15">
        <v>0.0</v>
      </c>
      <c r="J940" s="15">
        <v>1.0</v>
      </c>
      <c r="K940" s="12" t="str">
        <f>HYPERLINK("https://www.socialoomph.com","SocialOomph")</f>
        <v>SocialOomph</v>
      </c>
      <c r="L940" s="16">
        <v>21867.0</v>
      </c>
      <c r="M940" s="16">
        <v>25598.0</v>
      </c>
      <c r="N940" s="16">
        <v>546.0</v>
      </c>
      <c r="O940" s="17"/>
      <c r="P940" s="18">
        <v>40189.6466087963</v>
      </c>
      <c r="Q940" s="1" t="s">
        <v>1776</v>
      </c>
      <c r="R940" s="1" t="s">
        <v>3921</v>
      </c>
      <c r="S940" s="13" t="s">
        <v>1778</v>
      </c>
      <c r="T940" s="14"/>
      <c r="U940" s="19" t="str">
        <f>HYPERLINK("https://pbs.twimg.com/profile_images/625051315/janecky-80-80.jpg","View")</f>
        <v>View</v>
      </c>
      <c r="V940" s="14"/>
      <c r="W940" s="14"/>
      <c r="X940" s="14"/>
      <c r="Y940" s="14"/>
      <c r="Z940" s="14"/>
    </row>
    <row r="941">
      <c r="A941" s="11">
        <v>43846.53833333333</v>
      </c>
      <c r="B941" s="12" t="str">
        <f>HYPERLINK("https://twitter.com/OncaliCBD","@OncaliCBD")</f>
        <v>@OncaliCBD</v>
      </c>
      <c r="C941" s="1" t="s">
        <v>4598</v>
      </c>
      <c r="D941" s="1" t="s">
        <v>4599</v>
      </c>
      <c r="E941" s="12" t="str">
        <f>HYPERLINK("https://twitter.com/OncaliCBD/status/1217867915912835073","1217867915912835073")</f>
        <v>1217867915912835073</v>
      </c>
      <c r="F941" s="14"/>
      <c r="G941" s="13" t="s">
        <v>4600</v>
      </c>
      <c r="H941" s="14"/>
      <c r="I941" s="15">
        <v>0.0</v>
      </c>
      <c r="J941" s="15">
        <v>1.0</v>
      </c>
      <c r="K941" s="12" t="str">
        <f>HYPERLINK("http://twitter.com/download/android","Twitter for Android")</f>
        <v>Twitter for Android</v>
      </c>
      <c r="L941" s="16">
        <v>3.0</v>
      </c>
      <c r="M941" s="16">
        <v>10.0</v>
      </c>
      <c r="N941" s="16">
        <v>0.0</v>
      </c>
      <c r="O941" s="17"/>
      <c r="P941" s="18">
        <v>43728.881643518514</v>
      </c>
      <c r="Q941" s="14"/>
      <c r="R941" s="1" t="s">
        <v>4601</v>
      </c>
      <c r="S941" s="13" t="s">
        <v>4602</v>
      </c>
      <c r="T941" s="14"/>
      <c r="U941" s="19" t="str">
        <f>HYPERLINK("https://pbs.twimg.com/profile_images/1190051216828428288/1RKLf4fh.jpg","View")</f>
        <v>View</v>
      </c>
      <c r="V941" s="14"/>
      <c r="W941" s="14"/>
      <c r="X941" s="14"/>
      <c r="Y941" s="14"/>
      <c r="Z941" s="14"/>
    </row>
    <row r="942">
      <c r="A942" s="11">
        <v>43846.53650462963</v>
      </c>
      <c r="B942" s="12" t="str">
        <f>HYPERLINK("https://twitter.com/qwikad","@qwikad")</f>
        <v>@qwikad</v>
      </c>
      <c r="C942" s="1" t="s">
        <v>597</v>
      </c>
      <c r="D942" s="1" t="s">
        <v>4603</v>
      </c>
      <c r="E942" s="12" t="str">
        <f>HYPERLINK("https://twitter.com/qwikad/status/1217867250381836288","1217867250381836288")</f>
        <v>1217867250381836288</v>
      </c>
      <c r="F942" s="13" t="s">
        <v>3591</v>
      </c>
      <c r="G942" s="14"/>
      <c r="H942" s="14"/>
      <c r="I942" s="15">
        <v>0.0</v>
      </c>
      <c r="J942" s="15">
        <v>0.0</v>
      </c>
      <c r="K942" s="12" t="str">
        <f>HYPERLINK("https://mobile.twitter.com","Twitter Web App")</f>
        <v>Twitter Web App</v>
      </c>
      <c r="L942" s="16">
        <v>92771.0</v>
      </c>
      <c r="M942" s="16">
        <v>88718.0</v>
      </c>
      <c r="N942" s="16">
        <v>2798.0</v>
      </c>
      <c r="O942" s="17"/>
      <c r="P942" s="18">
        <v>40937.940358796295</v>
      </c>
      <c r="Q942" s="1" t="s">
        <v>56</v>
      </c>
      <c r="R942" s="1" t="s">
        <v>600</v>
      </c>
      <c r="S942" s="13" t="s">
        <v>601</v>
      </c>
      <c r="T942" s="14"/>
      <c r="U942" s="19" t="str">
        <f>HYPERLINK("https://pbs.twimg.com/profile_images/1191723528246235137/larfZktn.jpg","View")</f>
        <v>View</v>
      </c>
      <c r="V942" s="14"/>
      <c r="W942" s="14"/>
      <c r="X942" s="14"/>
      <c r="Y942" s="14"/>
      <c r="Z942" s="14"/>
    </row>
    <row r="943">
      <c r="A943" s="11">
        <v>43846.53291666666</v>
      </c>
      <c r="B943" s="12" t="str">
        <f>HYPERLINK("https://twitter.com/ACallToOrder","@ACallToOrder")</f>
        <v>@ACallToOrder</v>
      </c>
      <c r="C943" s="1" t="s">
        <v>4604</v>
      </c>
      <c r="D943" s="1" t="s">
        <v>4605</v>
      </c>
      <c r="E943" s="12" t="str">
        <f>HYPERLINK("https://twitter.com/ACallToOrder/status/1217865951468752903","1217865951468752903")</f>
        <v>1217865951468752903</v>
      </c>
      <c r="F943" s="14"/>
      <c r="G943" s="13" t="s">
        <v>4606</v>
      </c>
      <c r="H943" s="14"/>
      <c r="I943" s="15">
        <v>0.0</v>
      </c>
      <c r="J943" s="15">
        <v>0.0</v>
      </c>
      <c r="K943" s="12" t="str">
        <f>HYPERLINK("https://www.thryv.com/","Thryv")</f>
        <v>Thryv</v>
      </c>
      <c r="L943" s="16">
        <v>37.0</v>
      </c>
      <c r="M943" s="16">
        <v>47.0</v>
      </c>
      <c r="N943" s="16">
        <v>2.0</v>
      </c>
      <c r="O943" s="17"/>
      <c r="P943" s="18">
        <v>41291.4534837963</v>
      </c>
      <c r="Q943" s="14"/>
      <c r="R943" s="14"/>
      <c r="S943" s="14"/>
      <c r="T943" s="14"/>
      <c r="U943" s="19" t="str">
        <f>HYPERLINK("https://pbs.twimg.com/profile_images/3338915832/e3d947fa2b784f9298d388575c292fe2.png","View")</f>
        <v>View</v>
      </c>
      <c r="V943" s="14"/>
      <c r="W943" s="14"/>
      <c r="X943" s="14"/>
      <c r="Y943" s="14"/>
      <c r="Z943" s="14"/>
    </row>
    <row r="944">
      <c r="A944" s="11">
        <v>43846.5325</v>
      </c>
      <c r="B944" s="12" t="str">
        <f>HYPERLINK("https://twitter.com/SecureParent","@SecureParent")</f>
        <v>@SecureParent</v>
      </c>
      <c r="C944" s="1" t="s">
        <v>4607</v>
      </c>
      <c r="D944" s="1" t="s">
        <v>4608</v>
      </c>
      <c r="E944" s="12" t="str">
        <f>HYPERLINK("https://twitter.com/SecureParent/status/1217865800197070854","1217865800197070854")</f>
        <v>1217865800197070854</v>
      </c>
      <c r="F944" s="14"/>
      <c r="G944" s="14"/>
      <c r="H944" s="14"/>
      <c r="I944" s="15">
        <v>0.0</v>
      </c>
      <c r="J944" s="15">
        <v>0.0</v>
      </c>
      <c r="K944" s="12" t="str">
        <f>HYPERLINK("http://twitter.com/download/android","Twitter for Android")</f>
        <v>Twitter for Android</v>
      </c>
      <c r="L944" s="16">
        <v>1013.0</v>
      </c>
      <c r="M944" s="16">
        <v>4995.0</v>
      </c>
      <c r="N944" s="16">
        <v>0.0</v>
      </c>
      <c r="O944" s="17"/>
      <c r="P944" s="18">
        <v>43552.9320949074</v>
      </c>
      <c r="Q944" s="1" t="s">
        <v>4609</v>
      </c>
      <c r="R944" s="1" t="s">
        <v>4610</v>
      </c>
      <c r="S944" s="13" t="s">
        <v>4611</v>
      </c>
      <c r="T944" s="14"/>
      <c r="U944" s="19" t="str">
        <f>HYPERLINK("https://pbs.twimg.com/profile_images/1115736924277346305/MxlVCjmL.png","View")</f>
        <v>View</v>
      </c>
      <c r="V944" s="14"/>
      <c r="W944" s="14"/>
      <c r="X944" s="14"/>
      <c r="Y944" s="14"/>
      <c r="Z944" s="14"/>
    </row>
    <row r="945">
      <c r="A945" s="11">
        <v>43846.531539351854</v>
      </c>
      <c r="B945" s="12" t="str">
        <f>HYPERLINK("https://twitter.com/LifeZone4","@LifeZone4")</f>
        <v>@LifeZone4</v>
      </c>
      <c r="C945" s="1" t="s">
        <v>4612</v>
      </c>
      <c r="D945" s="1" t="s">
        <v>4613</v>
      </c>
      <c r="E945" s="12" t="str">
        <f>HYPERLINK("https://twitter.com/LifeZone4/status/1217865451264528387","1217865451264528387")</f>
        <v>1217865451264528387</v>
      </c>
      <c r="F945" s="14"/>
      <c r="G945" s="14"/>
      <c r="H945" s="14"/>
      <c r="I945" s="15">
        <v>0.0</v>
      </c>
      <c r="J945" s="15">
        <v>1.0</v>
      </c>
      <c r="K945" s="12" t="str">
        <f>HYPERLINK("http://www.linkedin.com/","LinkedIn")</f>
        <v>LinkedIn</v>
      </c>
      <c r="L945" s="16">
        <v>126.0</v>
      </c>
      <c r="M945" s="16">
        <v>67.0</v>
      </c>
      <c r="N945" s="16">
        <v>2.0</v>
      </c>
      <c r="O945" s="17"/>
      <c r="P945" s="18">
        <v>41223.59244212963</v>
      </c>
      <c r="Q945" s="14"/>
      <c r="R945" s="14"/>
      <c r="S945" s="13" t="s">
        <v>4614</v>
      </c>
      <c r="T945" s="14"/>
      <c r="U945" s="19" t="str">
        <f>HYPERLINK("https://pbs.twimg.com/profile_images/3581309643/360e826e5734dee4e271d14878b74112.jpeg","View")</f>
        <v>View</v>
      </c>
      <c r="V945" s="14"/>
      <c r="W945" s="14"/>
      <c r="X945" s="14"/>
      <c r="Y945" s="14"/>
      <c r="Z945" s="14"/>
    </row>
    <row r="946">
      <c r="A946" s="11">
        <v>43846.52840277778</v>
      </c>
      <c r="B946" s="12" t="str">
        <f>HYPERLINK("https://twitter.com/Sarah_J_Collins","@Sarah_J_Collins")</f>
        <v>@Sarah_J_Collins</v>
      </c>
      <c r="C946" s="1" t="s">
        <v>4615</v>
      </c>
      <c r="D946" s="1" t="s">
        <v>4616</v>
      </c>
      <c r="E946" s="12" t="str">
        <f>HYPERLINK("https://twitter.com/Sarah_J_Collins/status/1217864315602112513","1217864315602112513")</f>
        <v>1217864315602112513</v>
      </c>
      <c r="F946" s="13" t="s">
        <v>4617</v>
      </c>
      <c r="G946" s="14"/>
      <c r="H946" s="14"/>
      <c r="I946" s="15">
        <v>1.0</v>
      </c>
      <c r="J946" s="15">
        <v>2.0</v>
      </c>
      <c r="K946" s="12" t="str">
        <f>HYPERLINK("https://mobile.twitter.com","Twitter Web App")</f>
        <v>Twitter Web App</v>
      </c>
      <c r="L946" s="16">
        <v>10.0</v>
      </c>
      <c r="M946" s="16">
        <v>43.0</v>
      </c>
      <c r="N946" s="16">
        <v>0.0</v>
      </c>
      <c r="O946" s="17"/>
      <c r="P946" s="18">
        <v>43678.34415509259</v>
      </c>
      <c r="Q946" s="14"/>
      <c r="R946" s="1" t="s">
        <v>4618</v>
      </c>
      <c r="S946" s="13" t="s">
        <v>4619</v>
      </c>
      <c r="T946" s="14"/>
      <c r="U946" s="19" t="str">
        <f>HYPERLINK("https://pbs.twimg.com/profile_images/1217864582649303041/DK9CB-xF.jpg","View")</f>
        <v>View</v>
      </c>
      <c r="V946" s="14"/>
      <c r="W946" s="14"/>
      <c r="X946" s="14"/>
      <c r="Y946" s="14"/>
      <c r="Z946" s="14"/>
    </row>
    <row r="947">
      <c r="A947" s="11">
        <v>43846.528182870374</v>
      </c>
      <c r="B947" s="12" t="str">
        <f>HYPERLINK("https://twitter.com/Andylowarousal","@Andylowarousal")</f>
        <v>@Andylowarousal</v>
      </c>
      <c r="C947" s="1" t="s">
        <v>4620</v>
      </c>
      <c r="D947" s="1" t="s">
        <v>4621</v>
      </c>
      <c r="E947" s="12" t="str">
        <f>HYPERLINK("https://twitter.com/Andylowarousal/status/1217864238221295617","1217864238221295617")</f>
        <v>1217864238221295617</v>
      </c>
      <c r="F947" s="13" t="s">
        <v>4622</v>
      </c>
      <c r="G947" s="14"/>
      <c r="H947" s="14"/>
      <c r="I947" s="15">
        <v>2.0</v>
      </c>
      <c r="J947" s="15">
        <v>7.0</v>
      </c>
      <c r="K947" s="12" t="str">
        <f>HYPERLINK("http://www.linkedin.com/","LinkedIn")</f>
        <v>LinkedIn</v>
      </c>
      <c r="L947" s="16">
        <v>2842.0</v>
      </c>
      <c r="M947" s="16">
        <v>636.0</v>
      </c>
      <c r="N947" s="16">
        <v>47.0</v>
      </c>
      <c r="O947" s="17"/>
      <c r="P947" s="18">
        <v>41409.24387731482</v>
      </c>
      <c r="Q947" s="1" t="s">
        <v>864</v>
      </c>
      <c r="R947" s="1" t="s">
        <v>4623</v>
      </c>
      <c r="S947" s="13" t="s">
        <v>4624</v>
      </c>
      <c r="T947" s="14"/>
      <c r="U947" s="19" t="str">
        <f>HYPERLINK("https://pbs.twimg.com/profile_images/3732268954/7511130d7d29147e22cad648fc27538a.jpeg","View")</f>
        <v>View</v>
      </c>
      <c r="V947" s="14"/>
      <c r="W947" s="14"/>
      <c r="X947" s="14"/>
      <c r="Y947" s="14"/>
      <c r="Z947" s="14"/>
    </row>
    <row r="948">
      <c r="A948" s="11">
        <v>43846.528182870374</v>
      </c>
      <c r="B948" s="12" t="str">
        <f>HYPERLINK("https://twitter.com/NEprevention","@NEprevention")</f>
        <v>@NEprevention</v>
      </c>
      <c r="C948" s="1" t="s">
        <v>4625</v>
      </c>
      <c r="D948" s="1" t="s">
        <v>4626</v>
      </c>
      <c r="E948" s="12" t="str">
        <f>HYPERLINK("https://twitter.com/NEprevention/status/1217864236191272960","1217864236191272960")</f>
        <v>1217864236191272960</v>
      </c>
      <c r="F948" s="13" t="s">
        <v>4627</v>
      </c>
      <c r="G948" s="14"/>
      <c r="H948" s="14"/>
      <c r="I948" s="15">
        <v>2.0</v>
      </c>
      <c r="J948" s="15">
        <v>1.0</v>
      </c>
      <c r="K948" s="12" t="str">
        <f>HYPERLINK("https://mobile.twitter.com","Twitter Web App")</f>
        <v>Twitter Web App</v>
      </c>
      <c r="L948" s="16">
        <v>8.0</v>
      </c>
      <c r="M948" s="16">
        <v>6.0</v>
      </c>
      <c r="N948" s="16">
        <v>0.0</v>
      </c>
      <c r="O948" s="17"/>
      <c r="P948" s="18">
        <v>43811.53859953704</v>
      </c>
      <c r="Q948" s="1" t="s">
        <v>4628</v>
      </c>
      <c r="R948" s="1" t="s">
        <v>4629</v>
      </c>
      <c r="S948" s="13" t="s">
        <v>4630</v>
      </c>
      <c r="T948" s="14"/>
      <c r="U948" s="19" t="str">
        <f>HYPERLINK("https://pbs.twimg.com/profile_images/1206613867087851520/doHL1gBW.jpg","View")</f>
        <v>View</v>
      </c>
      <c r="V948" s="14"/>
      <c r="W948" s="14"/>
      <c r="X948" s="14"/>
      <c r="Y948" s="14"/>
      <c r="Z948" s="14"/>
    </row>
    <row r="949">
      <c r="A949" s="11">
        <v>43846.526458333334</v>
      </c>
      <c r="B949" s="12" t="str">
        <f>HYPERLINK("https://twitter.com/renascencemusic","@renascencemusic")</f>
        <v>@renascencemusic</v>
      </c>
      <c r="C949" s="1" t="s">
        <v>247</v>
      </c>
      <c r="D949" s="1" t="s">
        <v>4631</v>
      </c>
      <c r="E949" s="12" t="str">
        <f>HYPERLINK("https://twitter.com/renascencemusic/status/1217863612531908613","1217863612531908613")</f>
        <v>1217863612531908613</v>
      </c>
      <c r="F949" s="13" t="s">
        <v>2487</v>
      </c>
      <c r="G949" s="13" t="s">
        <v>4632</v>
      </c>
      <c r="H949" s="14"/>
      <c r="I949" s="15">
        <v>0.0</v>
      </c>
      <c r="J949" s="15">
        <v>3.0</v>
      </c>
      <c r="K949" s="12" t="str">
        <f>HYPERLINK("https://www.socialoomph.com","SocialOomph")</f>
        <v>SocialOomph</v>
      </c>
      <c r="L949" s="16">
        <v>13031.0</v>
      </c>
      <c r="M949" s="16">
        <v>11650.0</v>
      </c>
      <c r="N949" s="16">
        <v>219.0</v>
      </c>
      <c r="O949" s="17"/>
      <c r="P949" s="18">
        <v>42470.67052083333</v>
      </c>
      <c r="Q949" s="1" t="s">
        <v>251</v>
      </c>
      <c r="R949" s="1" t="s">
        <v>252</v>
      </c>
      <c r="S949" s="13" t="s">
        <v>253</v>
      </c>
      <c r="T949" s="14"/>
      <c r="U949" s="19" t="str">
        <f>HYPERLINK("https://pbs.twimg.com/profile_images/1123407512743612416/g721ra2J.png","View")</f>
        <v>View</v>
      </c>
      <c r="V949" s="14"/>
      <c r="W949" s="14"/>
      <c r="X949" s="14"/>
      <c r="Y949" s="14"/>
      <c r="Z949" s="14"/>
    </row>
    <row r="950">
      <c r="A950" s="11">
        <v>43846.52638888889</v>
      </c>
      <c r="B950" s="12" t="str">
        <f>HYPERLINK("https://twitter.com/KayHealdHR","@KayHealdHR")</f>
        <v>@KayHealdHR</v>
      </c>
      <c r="C950" s="1" t="s">
        <v>4633</v>
      </c>
      <c r="D950" s="1" t="s">
        <v>4634</v>
      </c>
      <c r="E950" s="12" t="str">
        <f>HYPERLINK("https://twitter.com/KayHealdHR/status/1217863585344311296","1217863585344311296")</f>
        <v>1217863585344311296</v>
      </c>
      <c r="F950" s="13" t="s">
        <v>4635</v>
      </c>
      <c r="G950" s="13" t="s">
        <v>4636</v>
      </c>
      <c r="H950" s="14"/>
      <c r="I950" s="15">
        <v>0.0</v>
      </c>
      <c r="J950" s="15">
        <v>0.0</v>
      </c>
      <c r="K950" s="12" t="str">
        <f>HYPERLINK("https://about.twitter.com/products/tweetdeck","TweetDeck")</f>
        <v>TweetDeck</v>
      </c>
      <c r="L950" s="16">
        <v>3271.0</v>
      </c>
      <c r="M950" s="16">
        <v>3309.0</v>
      </c>
      <c r="N950" s="16">
        <v>138.0</v>
      </c>
      <c r="O950" s="17"/>
      <c r="P950" s="18">
        <v>40217.476122685184</v>
      </c>
      <c r="Q950" s="1" t="s">
        <v>4637</v>
      </c>
      <c r="R950" s="1" t="s">
        <v>4638</v>
      </c>
      <c r="S950" s="13" t="s">
        <v>4639</v>
      </c>
      <c r="T950" s="14"/>
      <c r="U950" s="19" t="str">
        <f>HYPERLINK("https://pbs.twimg.com/profile_images/639147696901746688/-oha69R4.jpg","View")</f>
        <v>View</v>
      </c>
      <c r="V950" s="14"/>
      <c r="W950" s="14"/>
      <c r="X950" s="14"/>
      <c r="Y950" s="14"/>
      <c r="Z950" s="14"/>
    </row>
    <row r="951">
      <c r="A951" s="11">
        <v>43846.524351851855</v>
      </c>
      <c r="B951" s="12" t="str">
        <f>HYPERLINK("https://twitter.com/OsteoBromley","@OsteoBromley")</f>
        <v>@OsteoBromley</v>
      </c>
      <c r="C951" s="1" t="s">
        <v>4640</v>
      </c>
      <c r="D951" s="1" t="s">
        <v>4641</v>
      </c>
      <c r="E951" s="12" t="str">
        <f>HYPERLINK("https://twitter.com/OsteoBromley/status/1217862850036883458","1217862850036883458")</f>
        <v>1217862850036883458</v>
      </c>
      <c r="F951" s="13" t="s">
        <v>4642</v>
      </c>
      <c r="G951" s="13" t="s">
        <v>4643</v>
      </c>
      <c r="H951" s="14"/>
      <c r="I951" s="15">
        <v>0.0</v>
      </c>
      <c r="J951" s="15">
        <v>1.0</v>
      </c>
      <c r="K951" s="12" t="str">
        <f>HYPERLINK("https://www.hootsuite.com","Hootsuite Inc.")</f>
        <v>Hootsuite Inc.</v>
      </c>
      <c r="L951" s="16">
        <v>790.0</v>
      </c>
      <c r="M951" s="16">
        <v>979.0</v>
      </c>
      <c r="N951" s="16">
        <v>10.0</v>
      </c>
      <c r="O951" s="17"/>
      <c r="P951" s="18">
        <v>42759.303402777776</v>
      </c>
      <c r="Q951" s="1" t="s">
        <v>4644</v>
      </c>
      <c r="R951" s="1" t="s">
        <v>4645</v>
      </c>
      <c r="S951" s="13" t="s">
        <v>4646</v>
      </c>
      <c r="T951" s="14"/>
      <c r="U951" s="19" t="str">
        <f>HYPERLINK("https://pbs.twimg.com/profile_images/823868881005584384/gbYA9Kfq.jpg","View")</f>
        <v>View</v>
      </c>
      <c r="V951" s="14"/>
      <c r="W951" s="14"/>
      <c r="X951" s="14"/>
      <c r="Y951" s="14"/>
      <c r="Z951" s="14"/>
    </row>
    <row r="952">
      <c r="A952" s="11">
        <v>43846.52395833333</v>
      </c>
      <c r="B952" s="12" t="str">
        <f>HYPERLINK("https://twitter.com/MacKidNECinci","@MacKidNECinci")</f>
        <v>@MacKidNECinci</v>
      </c>
      <c r="C952" s="1" t="s">
        <v>4647</v>
      </c>
      <c r="D952" s="1" t="s">
        <v>4648</v>
      </c>
      <c r="E952" s="12" t="str">
        <f>HYPERLINK("https://twitter.com/MacKidNECinci/status/1217862707329884162","1217862707329884162")</f>
        <v>1217862707329884162</v>
      </c>
      <c r="F952" s="14"/>
      <c r="G952" s="13" t="s">
        <v>4649</v>
      </c>
      <c r="H952" s="14"/>
      <c r="I952" s="15">
        <v>0.0</v>
      </c>
      <c r="J952" s="15">
        <v>0.0</v>
      </c>
      <c r="K952" s="12" t="str">
        <f>HYPERLINK("https://mobile.twitter.com","Twitter Web App")</f>
        <v>Twitter Web App</v>
      </c>
      <c r="L952" s="16">
        <v>549.0</v>
      </c>
      <c r="M952" s="16">
        <v>631.0</v>
      </c>
      <c r="N952" s="16">
        <v>19.0</v>
      </c>
      <c r="O952" s="17"/>
      <c r="P952" s="18">
        <v>40421.34521990741</v>
      </c>
      <c r="Q952" s="1" t="s">
        <v>4650</v>
      </c>
      <c r="R952" s="1" t="s">
        <v>4651</v>
      </c>
      <c r="S952" s="13" t="s">
        <v>4652</v>
      </c>
      <c r="T952" s="14"/>
      <c r="U952" s="19" t="str">
        <f>HYPERLINK("https://pbs.twimg.com/profile_images/1217862407223201793/BUfM5hRt.png","View")</f>
        <v>View</v>
      </c>
      <c r="V952" s="14"/>
      <c r="W952" s="14"/>
      <c r="X952" s="14"/>
      <c r="Y952" s="14"/>
      <c r="Z952" s="14"/>
    </row>
    <row r="953">
      <c r="A953" s="11">
        <v>43846.5219212963</v>
      </c>
      <c r="B953" s="12" t="str">
        <f>HYPERLINK("https://twitter.com/physorg_biology","@physorg_biology")</f>
        <v>@physorg_biology</v>
      </c>
      <c r="C953" s="1" t="s">
        <v>4653</v>
      </c>
      <c r="D953" s="1" t="s">
        <v>4654</v>
      </c>
      <c r="E953" s="12" t="str">
        <f>HYPERLINK("https://twitter.com/physorg_biology/status/1217861965697163265","1217861965697163265")</f>
        <v>1217861965697163265</v>
      </c>
      <c r="F953" s="13" t="s">
        <v>4655</v>
      </c>
      <c r="G953" s="14"/>
      <c r="H953" s="14"/>
      <c r="I953" s="15">
        <v>0.0</v>
      </c>
      <c r="J953" s="15">
        <v>0.0</v>
      </c>
      <c r="K953" s="12" t="str">
        <f>HYPERLINK("https://sciencex.com/","Science X Status Updates")</f>
        <v>Science X Status Updates</v>
      </c>
      <c r="L953" s="16">
        <v>8316.0</v>
      </c>
      <c r="M953" s="16">
        <v>0.0</v>
      </c>
      <c r="N953" s="16">
        <v>638.0</v>
      </c>
      <c r="O953" s="17"/>
      <c r="P953" s="18">
        <v>39854.35880787037</v>
      </c>
      <c r="Q953" s="14"/>
      <c r="R953" s="1" t="s">
        <v>4656</v>
      </c>
      <c r="S953" s="13" t="s">
        <v>4657</v>
      </c>
      <c r="T953" s="14"/>
      <c r="U953" s="19" t="str">
        <f>HYPERLINK("https://pbs.twimg.com/profile_images/2644811853/2e051683963a8b89bf424d42854e3ab5.png","View")</f>
        <v>View</v>
      </c>
      <c r="V953" s="14"/>
      <c r="W953" s="14"/>
      <c r="X953" s="14"/>
      <c r="Y953" s="14"/>
      <c r="Z953" s="14"/>
    </row>
    <row r="954">
      <c r="A954" s="11">
        <v>43846.52112268518</v>
      </c>
      <c r="B954" s="12" t="str">
        <f>HYPERLINK("https://twitter.com/NAMIMass","@NAMIMass")</f>
        <v>@NAMIMass</v>
      </c>
      <c r="C954" s="1" t="s">
        <v>4658</v>
      </c>
      <c r="D954" s="1" t="s">
        <v>4659</v>
      </c>
      <c r="E954" s="12" t="str">
        <f>HYPERLINK("https://twitter.com/NAMIMass/status/1217861678173499392","1217861678173499392")</f>
        <v>1217861678173499392</v>
      </c>
      <c r="F954" s="13" t="s">
        <v>4660</v>
      </c>
      <c r="G954" s="13" t="s">
        <v>4661</v>
      </c>
      <c r="H954" s="14"/>
      <c r="I954" s="15">
        <v>0.0</v>
      </c>
      <c r="J954" s="15">
        <v>2.0</v>
      </c>
      <c r="K954" s="12" t="str">
        <f>HYPERLINK("https://www.hootsuite.com","Hootsuite Inc.")</f>
        <v>Hootsuite Inc.</v>
      </c>
      <c r="L954" s="16">
        <v>21339.0</v>
      </c>
      <c r="M954" s="16">
        <v>15520.0</v>
      </c>
      <c r="N954" s="16">
        <v>862.0</v>
      </c>
      <c r="O954" s="17"/>
      <c r="P954" s="18">
        <v>39835.84355324074</v>
      </c>
      <c r="Q954" s="1" t="s">
        <v>4662</v>
      </c>
      <c r="R954" s="1" t="s">
        <v>4663</v>
      </c>
      <c r="S954" s="13" t="s">
        <v>4664</v>
      </c>
      <c r="T954" s="14"/>
      <c r="U954" s="19" t="str">
        <f>HYPERLINK("https://pbs.twimg.com/profile_images/951190494167683073/3xzIrAzy.jpg","View")</f>
        <v>View</v>
      </c>
      <c r="V954" s="14"/>
      <c r="W954" s="14"/>
      <c r="X954" s="14"/>
      <c r="Y954" s="14"/>
      <c r="Z954" s="14"/>
    </row>
    <row r="955">
      <c r="A955" s="11">
        <v>43846.519537037035</v>
      </c>
      <c r="B955" s="12" t="str">
        <f>HYPERLINK("https://twitter.com/clinic_leaf","@clinic_leaf")</f>
        <v>@clinic_leaf</v>
      </c>
      <c r="C955" s="1" t="s">
        <v>4665</v>
      </c>
      <c r="D955" s="1" t="s">
        <v>4666</v>
      </c>
      <c r="E955" s="12" t="str">
        <f>HYPERLINK("https://twitter.com/clinic_leaf/status/1217861104254230530","1217861104254230530")</f>
        <v>1217861104254230530</v>
      </c>
      <c r="F955" s="14"/>
      <c r="G955" s="13" t="s">
        <v>4667</v>
      </c>
      <c r="H955" s="14"/>
      <c r="I955" s="15">
        <v>0.0</v>
      </c>
      <c r="J955" s="15">
        <v>0.0</v>
      </c>
      <c r="K955" s="12" t="str">
        <f>HYPERLINK("http://twitter.com/download/iphone","Twitter for iPhone")</f>
        <v>Twitter for iPhone</v>
      </c>
      <c r="L955" s="16">
        <v>13.0</v>
      </c>
      <c r="M955" s="16">
        <v>80.0</v>
      </c>
      <c r="N955" s="16">
        <v>0.0</v>
      </c>
      <c r="O955" s="17"/>
      <c r="P955" s="18">
        <v>43544.482083333336</v>
      </c>
      <c r="Q955" s="1" t="s">
        <v>4668</v>
      </c>
      <c r="R955" s="1" t="s">
        <v>4669</v>
      </c>
      <c r="S955" s="13" t="s">
        <v>4670</v>
      </c>
      <c r="T955" s="14"/>
      <c r="U955" s="19" t="str">
        <f>HYPERLINK("https://pbs.twimg.com/profile_images/1148966144742699008/xueJwims.png","View")</f>
        <v>View</v>
      </c>
      <c r="V955" s="14"/>
      <c r="W955" s="14"/>
      <c r="X955" s="14"/>
      <c r="Y955" s="14"/>
      <c r="Z955" s="14"/>
    </row>
    <row r="956">
      <c r="A956" s="11">
        <v>43846.51831018519</v>
      </c>
      <c r="B956" s="12" t="str">
        <f>HYPERLINK("https://twitter.com/info02841585","@info02841585")</f>
        <v>@info02841585</v>
      </c>
      <c r="C956" s="1" t="s">
        <v>4671</v>
      </c>
      <c r="D956" s="1" t="s">
        <v>4672</v>
      </c>
      <c r="E956" s="12" t="str">
        <f>HYPERLINK("https://twitter.com/info02841585/status/1217860658286485509","1217860658286485509")</f>
        <v>1217860658286485509</v>
      </c>
      <c r="F956" s="14"/>
      <c r="G956" s="13" t="s">
        <v>4673</v>
      </c>
      <c r="H956" s="14"/>
      <c r="I956" s="15">
        <v>0.0</v>
      </c>
      <c r="J956" s="15">
        <v>0.0</v>
      </c>
      <c r="K956" s="12" t="str">
        <f>HYPERLINK("https://www.ripl.com","Ripl App")</f>
        <v>Ripl App</v>
      </c>
      <c r="L956" s="16">
        <v>171.0</v>
      </c>
      <c r="M956" s="16">
        <v>934.0</v>
      </c>
      <c r="N956" s="16">
        <v>0.0</v>
      </c>
      <c r="O956" s="17"/>
      <c r="P956" s="18">
        <v>42337.1403125</v>
      </c>
      <c r="Q956" s="1" t="s">
        <v>4674</v>
      </c>
      <c r="R956" s="1" t="s">
        <v>4675</v>
      </c>
      <c r="S956" s="13" t="s">
        <v>4676</v>
      </c>
      <c r="T956" s="14"/>
      <c r="U956" s="19" t="str">
        <f>HYPERLINK("https://pbs.twimg.com/profile_images/1097499083130970112/iKc3OPkV.png","View")</f>
        <v>View</v>
      </c>
      <c r="V956" s="14"/>
      <c r="W956" s="14"/>
      <c r="X956" s="14"/>
      <c r="Y956" s="14"/>
      <c r="Z956" s="14"/>
    </row>
    <row r="957">
      <c r="A957" s="11">
        <v>43846.517418981486</v>
      </c>
      <c r="B957" s="12" t="str">
        <f>HYPERLINK("https://twitter.com/EHPinfo","@EHPinfo")</f>
        <v>@EHPinfo</v>
      </c>
      <c r="C957" s="1" t="s">
        <v>4677</v>
      </c>
      <c r="D957" s="1" t="s">
        <v>4678</v>
      </c>
      <c r="E957" s="12" t="str">
        <f>HYPERLINK("https://twitter.com/EHPinfo/status/1217860333928361987","1217860333928361987")</f>
        <v>1217860333928361987</v>
      </c>
      <c r="F957" s="13" t="s">
        <v>4679</v>
      </c>
      <c r="G957" s="13" t="s">
        <v>4680</v>
      </c>
      <c r="H957" s="14"/>
      <c r="I957" s="15">
        <v>0.0</v>
      </c>
      <c r="J957" s="15">
        <v>0.0</v>
      </c>
      <c r="K957" s="12" t="str">
        <f>HYPERLINK("https://www.hootsuite.com","Hootsuite Inc.")</f>
        <v>Hootsuite Inc.</v>
      </c>
      <c r="L957" s="16">
        <v>956.0</v>
      </c>
      <c r="M957" s="16">
        <v>1078.0</v>
      </c>
      <c r="N957" s="16">
        <v>31.0</v>
      </c>
      <c r="O957" s="17"/>
      <c r="P957" s="18">
        <v>42487.666921296295</v>
      </c>
      <c r="Q957" s="1" t="s">
        <v>4681</v>
      </c>
      <c r="R957" s="1" t="s">
        <v>4682</v>
      </c>
      <c r="S957" s="13" t="s">
        <v>4683</v>
      </c>
      <c r="T957" s="14"/>
      <c r="U957" s="19" t="str">
        <f>HYPERLINK("https://pbs.twimg.com/profile_images/1157299516607012864/xYKpqP9g.jpg","View")</f>
        <v>View</v>
      </c>
      <c r="V957" s="14"/>
      <c r="W957" s="14"/>
      <c r="X957" s="14"/>
      <c r="Y957" s="14"/>
      <c r="Z957" s="14"/>
    </row>
    <row r="958">
      <c r="A958" s="11">
        <v>43846.51363425926</v>
      </c>
      <c r="B958" s="12" t="str">
        <f>HYPERLINK("https://twitter.com/sostostress","@sostostress")</f>
        <v>@sostostress</v>
      </c>
      <c r="C958" s="1" t="s">
        <v>1042</v>
      </c>
      <c r="D958" s="1" t="s">
        <v>4684</v>
      </c>
      <c r="E958" s="12" t="str">
        <f>HYPERLINK("https://twitter.com/sostostress/status/1217858964357992449","1217858964357992449")</f>
        <v>1217858964357992449</v>
      </c>
      <c r="F958" s="13" t="s">
        <v>4685</v>
      </c>
      <c r="G958" s="14"/>
      <c r="H958" s="14"/>
      <c r="I958" s="15">
        <v>0.0</v>
      </c>
      <c r="J958" s="15">
        <v>0.0</v>
      </c>
      <c r="K958" s="12" t="str">
        <f>HYPERLINK("http://twitter.com","Twitter Web Client")</f>
        <v>Twitter Web Client</v>
      </c>
      <c r="L958" s="16">
        <v>333.0</v>
      </c>
      <c r="M958" s="16">
        <v>171.0</v>
      </c>
      <c r="N958" s="16">
        <v>46.0</v>
      </c>
      <c r="O958" s="17"/>
      <c r="P958" s="18">
        <v>40529.642071759255</v>
      </c>
      <c r="Q958" s="1" t="s">
        <v>143</v>
      </c>
      <c r="R958" s="1" t="s">
        <v>1046</v>
      </c>
      <c r="S958" s="13" t="s">
        <v>1047</v>
      </c>
      <c r="T958" s="14"/>
      <c r="U958" s="19" t="str">
        <f>HYPERLINK("https://pbs.twimg.com/profile_images/1192953737/image006_pp_-_2__2_.jpg","View")</f>
        <v>View</v>
      </c>
      <c r="V958" s="14"/>
      <c r="W958" s="14"/>
      <c r="X958" s="14"/>
      <c r="Y958" s="14"/>
      <c r="Z958" s="14"/>
    </row>
    <row r="959">
      <c r="A959" s="11">
        <v>43846.51195601852</v>
      </c>
      <c r="B959" s="12" t="str">
        <f>HYPERLINK("https://twitter.com/MikeKawula","@MikeKawula")</f>
        <v>@MikeKawula</v>
      </c>
      <c r="C959" s="1" t="s">
        <v>4686</v>
      </c>
      <c r="D959" s="1" t="s">
        <v>4687</v>
      </c>
      <c r="E959" s="12" t="str">
        <f>HYPERLINK("https://twitter.com/MikeKawula/status/1217858356980977665","1217858356980977665")</f>
        <v>1217858356980977665</v>
      </c>
      <c r="F959" s="13" t="s">
        <v>4688</v>
      </c>
      <c r="G959" s="14"/>
      <c r="H959" s="14"/>
      <c r="I959" s="15">
        <v>1.0</v>
      </c>
      <c r="J959" s="15">
        <v>1.0</v>
      </c>
      <c r="K959" s="12" t="str">
        <f>HYPERLINK("https://mobile.twitter.com","Twitter Web App")</f>
        <v>Twitter Web App</v>
      </c>
      <c r="L959" s="16">
        <v>108263.0</v>
      </c>
      <c r="M959" s="16">
        <v>61795.0</v>
      </c>
      <c r="N959" s="16">
        <v>5486.0</v>
      </c>
      <c r="O959" s="17"/>
      <c r="P959" s="18">
        <v>40175.73400462963</v>
      </c>
      <c r="Q959" s="1" t="s">
        <v>2245</v>
      </c>
      <c r="R959" s="1" t="s">
        <v>4689</v>
      </c>
      <c r="S959" s="13" t="s">
        <v>4690</v>
      </c>
      <c r="T959" s="14"/>
      <c r="U959" s="19" t="str">
        <f>HYPERLINK("https://pbs.twimg.com/profile_images/982246443791478784/5vWDtkIu.jpg","View")</f>
        <v>View</v>
      </c>
      <c r="V959" s="14"/>
      <c r="W959" s="14"/>
      <c r="X959" s="14"/>
      <c r="Y959" s="14"/>
      <c r="Z959" s="14"/>
    </row>
    <row r="960">
      <c r="A960" s="11">
        <v>43846.51052083333</v>
      </c>
      <c r="B960" s="12" t="str">
        <f>HYPERLINK("https://twitter.com/idoser","@idoser")</f>
        <v>@idoser</v>
      </c>
      <c r="C960" s="1" t="s">
        <v>4691</v>
      </c>
      <c r="D960" s="1" t="s">
        <v>4692</v>
      </c>
      <c r="E960" s="12" t="str">
        <f>HYPERLINK("https://twitter.com/idoser/status/1217857835842883588","1217857835842883588")</f>
        <v>1217857835842883588</v>
      </c>
      <c r="F960" s="13" t="s">
        <v>4693</v>
      </c>
      <c r="G960" s="13" t="s">
        <v>4694</v>
      </c>
      <c r="H960" s="14"/>
      <c r="I960" s="15">
        <v>0.0</v>
      </c>
      <c r="J960" s="15">
        <v>1.0</v>
      </c>
      <c r="K960" s="12" t="str">
        <f>HYPERLINK("https://www.hootsuite.com","Hootsuite Inc.")</f>
        <v>Hootsuite Inc.</v>
      </c>
      <c r="L960" s="16">
        <v>182460.0</v>
      </c>
      <c r="M960" s="16">
        <v>70187.0</v>
      </c>
      <c r="N960" s="16">
        <v>854.0</v>
      </c>
      <c r="O960" s="17"/>
      <c r="P960" s="18">
        <v>39560.78559027778</v>
      </c>
      <c r="Q960" s="1" t="s">
        <v>4281</v>
      </c>
      <c r="R960" s="1" t="s">
        <v>4695</v>
      </c>
      <c r="S960" s="13" t="s">
        <v>4696</v>
      </c>
      <c r="T960" s="14"/>
      <c r="U960" s="19" t="str">
        <f>HYPERLINK("https://pbs.twimg.com/profile_images/1053624196067221509/951El6jh.jpg","View")</f>
        <v>View</v>
      </c>
      <c r="V960" s="14"/>
      <c r="W960" s="14"/>
      <c r="X960" s="14"/>
      <c r="Y960" s="14"/>
      <c r="Z960" s="14"/>
    </row>
    <row r="961">
      <c r="A961" s="11">
        <v>43846.50921296296</v>
      </c>
      <c r="B961" s="12" t="str">
        <f>HYPERLINK("https://twitter.com/CPRBrundin","@CPRBrundin")</f>
        <v>@CPRBrundin</v>
      </c>
      <c r="C961" s="1" t="s">
        <v>4697</v>
      </c>
      <c r="D961" s="1" t="s">
        <v>4698</v>
      </c>
      <c r="E961" s="12" t="str">
        <f>HYPERLINK("https://twitter.com/CPRBrundin/status/1217857362205106176","1217857362205106176")</f>
        <v>1217857362205106176</v>
      </c>
      <c r="F961" s="13" t="s">
        <v>4699</v>
      </c>
      <c r="G961" s="14"/>
      <c r="H961" s="14"/>
      <c r="I961" s="15">
        <v>0.0</v>
      </c>
      <c r="J961" s="15">
        <v>0.0</v>
      </c>
      <c r="K961" s="12" t="str">
        <f>HYPERLINK("http://twitter.com","Twitter Web Client")</f>
        <v>Twitter Web Client</v>
      </c>
      <c r="L961" s="16">
        <v>3439.0</v>
      </c>
      <c r="M961" s="16">
        <v>358.0</v>
      </c>
      <c r="N961" s="16">
        <v>153.0</v>
      </c>
      <c r="O961" s="20" t="s">
        <v>38</v>
      </c>
      <c r="P961" s="18">
        <v>41123.72924768519</v>
      </c>
      <c r="Q961" s="14"/>
      <c r="R961" s="1" t="s">
        <v>4700</v>
      </c>
      <c r="S961" s="13" t="s">
        <v>4701</v>
      </c>
      <c r="T961" s="14"/>
      <c r="U961" s="19" t="str">
        <f>HYPERLINK("https://pbs.twimg.com/profile_images/2793780332/9f3d2419c72060697e333cc4018a7e72.jpeg","View")</f>
        <v>View</v>
      </c>
      <c r="V961" s="14"/>
      <c r="W961" s="14"/>
      <c r="X961" s="14"/>
      <c r="Y961" s="14"/>
      <c r="Z961" s="14"/>
    </row>
    <row r="962">
      <c r="A962" s="11">
        <v>43846.50886574074</v>
      </c>
      <c r="B962" s="12" t="str">
        <f>HYPERLINK("https://twitter.com/ClearviewMinds","@ClearviewMinds")</f>
        <v>@ClearviewMinds</v>
      </c>
      <c r="C962" s="1" t="s">
        <v>3073</v>
      </c>
      <c r="D962" s="1" t="s">
        <v>4702</v>
      </c>
      <c r="E962" s="12" t="str">
        <f>HYPERLINK("https://twitter.com/ClearviewMinds/status/1217857238418829314","1217857238418829314")</f>
        <v>1217857238418829314</v>
      </c>
      <c r="F962" s="1" t="s">
        <v>4703</v>
      </c>
      <c r="G962" s="13" t="s">
        <v>4704</v>
      </c>
      <c r="H962" s="14"/>
      <c r="I962" s="15">
        <v>0.0</v>
      </c>
      <c r="J962" s="15">
        <v>1.0</v>
      </c>
      <c r="K962" s="12" t="str">
        <f>HYPERLINK("http://twitter.com/download/iphone","Twitter for iPhone")</f>
        <v>Twitter for iPhone</v>
      </c>
      <c r="L962" s="16">
        <v>374.0</v>
      </c>
      <c r="M962" s="16">
        <v>1068.0</v>
      </c>
      <c r="N962" s="16">
        <v>5.0</v>
      </c>
      <c r="O962" s="17"/>
      <c r="P962" s="18">
        <v>42776.529178240744</v>
      </c>
      <c r="Q962" s="1" t="s">
        <v>3077</v>
      </c>
      <c r="R962" s="1" t="s">
        <v>3078</v>
      </c>
      <c r="S962" s="13" t="s">
        <v>3079</v>
      </c>
      <c r="T962" s="14"/>
      <c r="U962" s="19" t="str">
        <f>HYPERLINK("https://pbs.twimg.com/profile_images/830110341946294272/9GN1kXKG.jpg","View")</f>
        <v>View</v>
      </c>
      <c r="V962" s="14"/>
      <c r="W962" s="14"/>
      <c r="X962" s="14"/>
      <c r="Y962" s="14"/>
      <c r="Z962" s="14"/>
    </row>
    <row r="963">
      <c r="A963" s="11">
        <v>43846.50871527778</v>
      </c>
      <c r="B963" s="12" t="str">
        <f>HYPERLINK("https://twitter.com/TheSportyKing","@TheSportyKing")</f>
        <v>@TheSportyKing</v>
      </c>
      <c r="C963" s="1" t="s">
        <v>4705</v>
      </c>
      <c r="D963" s="1" t="s">
        <v>4706</v>
      </c>
      <c r="E963" s="12" t="str">
        <f>HYPERLINK("https://twitter.com/TheSportyKing/status/1217857180730134528","1217857180730134528")</f>
        <v>1217857180730134528</v>
      </c>
      <c r="F963" s="13" t="s">
        <v>4707</v>
      </c>
      <c r="G963" s="14"/>
      <c r="H963" s="14"/>
      <c r="I963" s="15">
        <v>0.0</v>
      </c>
      <c r="J963" s="15">
        <v>0.0</v>
      </c>
      <c r="K963" s="12" t="str">
        <f>HYPERLINK("http://instagram.com","Instagram")</f>
        <v>Instagram</v>
      </c>
      <c r="L963" s="16">
        <v>1238.0</v>
      </c>
      <c r="M963" s="16">
        <v>1491.0</v>
      </c>
      <c r="N963" s="16">
        <v>61.0</v>
      </c>
      <c r="O963" s="17"/>
      <c r="P963" s="18">
        <v>40265.58565972222</v>
      </c>
      <c r="Q963" s="1" t="s">
        <v>719</v>
      </c>
      <c r="R963" s="1" t="s">
        <v>4708</v>
      </c>
      <c r="S963" s="13" t="s">
        <v>4709</v>
      </c>
      <c r="T963" s="14"/>
      <c r="U963" s="19" t="str">
        <f>HYPERLINK("https://pbs.twimg.com/profile_images/711691854496989184/4Jx32ljp.jpg","View")</f>
        <v>View</v>
      </c>
      <c r="V963" s="14"/>
      <c r="W963" s="14"/>
      <c r="X963" s="14"/>
      <c r="Y963" s="14"/>
      <c r="Z963" s="14"/>
    </row>
    <row r="964">
      <c r="A964" s="11">
        <v>43846.50697916667</v>
      </c>
      <c r="B964" s="12" t="str">
        <f>HYPERLINK("https://twitter.com/WellnessWoman40","@WellnessWoman40")</f>
        <v>@WellnessWoman40</v>
      </c>
      <c r="C964" s="1" t="s">
        <v>4710</v>
      </c>
      <c r="D964" s="1" t="s">
        <v>4711</v>
      </c>
      <c r="E964" s="12" t="str">
        <f>HYPERLINK("https://twitter.com/WellnessWoman40/status/1217856552641712128","1217856552641712128")</f>
        <v>1217856552641712128</v>
      </c>
      <c r="F964" s="13" t="s">
        <v>4712</v>
      </c>
      <c r="G964" s="13" t="s">
        <v>4713</v>
      </c>
      <c r="H964" s="14"/>
      <c r="I964" s="15">
        <v>0.0</v>
      </c>
      <c r="J964" s="15">
        <v>0.0</v>
      </c>
      <c r="K964" s="12" t="str">
        <f>HYPERLINK("https://buffer.com","Buffer")</f>
        <v>Buffer</v>
      </c>
      <c r="L964" s="16">
        <v>2049.0</v>
      </c>
      <c r="M964" s="16">
        <v>2270.0</v>
      </c>
      <c r="N964" s="16">
        <v>144.0</v>
      </c>
      <c r="O964" s="17"/>
      <c r="P964" s="18">
        <v>41518.217627314814</v>
      </c>
      <c r="Q964" s="14"/>
      <c r="R964" s="1" t="s">
        <v>4714</v>
      </c>
      <c r="S964" s="13" t="s">
        <v>4715</v>
      </c>
      <c r="T964" s="14"/>
      <c r="U964" s="19" t="str">
        <f>HYPERLINK("https://pbs.twimg.com/profile_images/748153516753981441/bGP99V_x.jpg","View")</f>
        <v>View</v>
      </c>
      <c r="V964" s="14"/>
      <c r="W964" s="14"/>
      <c r="X964" s="14"/>
      <c r="Y964" s="14"/>
      <c r="Z964" s="14"/>
    </row>
    <row r="965">
      <c r="A965" s="11">
        <v>43846.50509259259</v>
      </c>
      <c r="B965" s="12" t="str">
        <f>HYPERLINK("https://twitter.com/BupaUK","@BupaUK")</f>
        <v>@BupaUK</v>
      </c>
      <c r="C965" s="1" t="s">
        <v>4716</v>
      </c>
      <c r="D965" s="1" t="s">
        <v>4717</v>
      </c>
      <c r="E965" s="12" t="str">
        <f>HYPERLINK("https://twitter.com/BupaUK/status/1217855869834223622","1217855869834223622")</f>
        <v>1217855869834223622</v>
      </c>
      <c r="F965" s="13" t="s">
        <v>4718</v>
      </c>
      <c r="G965" s="13" t="s">
        <v>4719</v>
      </c>
      <c r="H965" s="14"/>
      <c r="I965" s="15">
        <v>4.0</v>
      </c>
      <c r="J965" s="15">
        <v>6.0</v>
      </c>
      <c r="K965" s="12" t="str">
        <f>HYPERLINK("https://mobile.twitter.com","Twitter Web App")</f>
        <v>Twitter Web App</v>
      </c>
      <c r="L965" s="16">
        <v>16355.0</v>
      </c>
      <c r="M965" s="16">
        <v>4230.0</v>
      </c>
      <c r="N965" s="16">
        <v>224.0</v>
      </c>
      <c r="O965" s="17"/>
      <c r="P965" s="18">
        <v>40514.38633101852</v>
      </c>
      <c r="Q965" s="1" t="s">
        <v>864</v>
      </c>
      <c r="R965" s="1" t="s">
        <v>4720</v>
      </c>
      <c r="S965" s="13" t="s">
        <v>4721</v>
      </c>
      <c r="T965" s="14"/>
      <c r="U965" s="19" t="str">
        <f>HYPERLINK("https://pbs.twimg.com/profile_images/1146738887890546689/WfPxUbUG.png","View")</f>
        <v>View</v>
      </c>
      <c r="V965" s="14"/>
      <c r="W965" s="14"/>
      <c r="X965" s="14"/>
      <c r="Y965" s="14"/>
      <c r="Z965" s="14"/>
    </row>
    <row r="966">
      <c r="A966" s="11">
        <v>43846.50488425926</v>
      </c>
      <c r="B966" s="12" t="str">
        <f>HYPERLINK("https://twitter.com/GleeYoga","@GleeYoga")</f>
        <v>@GleeYoga</v>
      </c>
      <c r="C966" s="1" t="s">
        <v>4351</v>
      </c>
      <c r="D966" s="1" t="s">
        <v>4722</v>
      </c>
      <c r="E966" s="12" t="str">
        <f>HYPERLINK("https://twitter.com/GleeYoga/status/1217855795510968320","1217855795510968320")</f>
        <v>1217855795510968320</v>
      </c>
      <c r="F966" s="13" t="s">
        <v>4723</v>
      </c>
      <c r="G966" s="13" t="s">
        <v>4724</v>
      </c>
      <c r="H966" s="14"/>
      <c r="I966" s="15">
        <v>0.0</v>
      </c>
      <c r="J966" s="15">
        <v>0.0</v>
      </c>
      <c r="K966" s="12" t="str">
        <f>HYPERLINK("https://dlvrit.com/","dlvr.it")</f>
        <v>dlvr.it</v>
      </c>
      <c r="L966" s="16">
        <v>1551.0</v>
      </c>
      <c r="M966" s="16">
        <v>24.0</v>
      </c>
      <c r="N966" s="16">
        <v>126.0</v>
      </c>
      <c r="O966" s="17"/>
      <c r="P966" s="18">
        <v>42505.1422337963</v>
      </c>
      <c r="Q966" s="1" t="s">
        <v>928</v>
      </c>
      <c r="R966" s="1" t="s">
        <v>4355</v>
      </c>
      <c r="S966" s="13" t="s">
        <v>4356</v>
      </c>
      <c r="T966" s="14"/>
      <c r="U966" s="19" t="str">
        <f>HYPERLINK("https://pbs.twimg.com/profile_images/731750901778513921/mHNyQ2EL.jpg","View")</f>
        <v>View</v>
      </c>
      <c r="V966" s="14"/>
      <c r="W966" s="14"/>
      <c r="X966" s="14"/>
      <c r="Y966" s="14"/>
      <c r="Z966" s="14"/>
    </row>
    <row r="967">
      <c r="A967" s="11">
        <v>43846.50458333333</v>
      </c>
      <c r="B967" s="12" t="str">
        <f>HYPERLINK("https://twitter.com/andrewcanna","@andrewcanna")</f>
        <v>@andrewcanna</v>
      </c>
      <c r="C967" s="1" t="s">
        <v>4725</v>
      </c>
      <c r="D967" s="1" t="s">
        <v>4726</v>
      </c>
      <c r="E967" s="12" t="str">
        <f>HYPERLINK("https://twitter.com/andrewcanna/status/1217855684991234057","1217855684991234057")</f>
        <v>1217855684991234057</v>
      </c>
      <c r="F967" s="14"/>
      <c r="G967" s="13" t="s">
        <v>4727</v>
      </c>
      <c r="H967" s="14"/>
      <c r="I967" s="15">
        <v>1.0</v>
      </c>
      <c r="J967" s="15">
        <v>0.0</v>
      </c>
      <c r="K967" s="12" t="str">
        <f>HYPERLINK("https://about.twitter.com/products/tweetdeck","TweetDeck")</f>
        <v>TweetDeck</v>
      </c>
      <c r="L967" s="16">
        <v>1300.0</v>
      </c>
      <c r="M967" s="16">
        <v>2416.0</v>
      </c>
      <c r="N967" s="16">
        <v>51.0</v>
      </c>
      <c r="O967" s="17"/>
      <c r="P967" s="18">
        <v>40993.700532407405</v>
      </c>
      <c r="Q967" s="1" t="s">
        <v>4728</v>
      </c>
      <c r="R967" s="1" t="s">
        <v>4729</v>
      </c>
      <c r="S967" s="13" t="s">
        <v>4730</v>
      </c>
      <c r="T967" s="14"/>
      <c r="U967" s="19" t="str">
        <f>HYPERLINK("https://pbs.twimg.com/profile_images/935095880482508802/43DO2EZu.jpg","View")</f>
        <v>View</v>
      </c>
      <c r="V967" s="14"/>
      <c r="W967" s="14"/>
      <c r="X967" s="14"/>
      <c r="Y967" s="14"/>
      <c r="Z967" s="14"/>
    </row>
    <row r="968">
      <c r="A968" s="11">
        <v>43846.502789351856</v>
      </c>
      <c r="B968" s="12" t="str">
        <f>HYPERLINK("https://twitter.com/BadgerMaps","@BadgerMaps")</f>
        <v>@BadgerMaps</v>
      </c>
      <c r="C968" s="1" t="s">
        <v>4731</v>
      </c>
      <c r="D968" s="1" t="s">
        <v>4732</v>
      </c>
      <c r="E968" s="12" t="str">
        <f>HYPERLINK("https://twitter.com/BadgerMaps/status/1217855035050287104","1217855035050287104")</f>
        <v>1217855035050287104</v>
      </c>
      <c r="F968" s="13" t="s">
        <v>4733</v>
      </c>
      <c r="G968" s="14"/>
      <c r="H968" s="14"/>
      <c r="I968" s="15">
        <v>0.0</v>
      </c>
      <c r="J968" s="15">
        <v>0.0</v>
      </c>
      <c r="K968" s="12" t="str">
        <f>HYPERLINK("https://buffer.com","Buffer")</f>
        <v>Buffer</v>
      </c>
      <c r="L968" s="16">
        <v>2481.0</v>
      </c>
      <c r="M968" s="16">
        <v>2418.0</v>
      </c>
      <c r="N968" s="16">
        <v>121.0</v>
      </c>
      <c r="O968" s="17"/>
      <c r="P968" s="18">
        <v>41128.75342592593</v>
      </c>
      <c r="Q968" s="1" t="s">
        <v>1782</v>
      </c>
      <c r="R968" s="1" t="s">
        <v>4734</v>
      </c>
      <c r="S968" s="13" t="s">
        <v>4735</v>
      </c>
      <c r="T968" s="14"/>
      <c r="U968" s="19" t="str">
        <f>HYPERLINK("https://pbs.twimg.com/profile_images/851716329572753408/negXmypF.jpg","View")</f>
        <v>View</v>
      </c>
      <c r="V968" s="14"/>
      <c r="W968" s="14"/>
      <c r="X968" s="14"/>
      <c r="Y968" s="14"/>
      <c r="Z968" s="14"/>
    </row>
    <row r="969">
      <c r="A969" s="11">
        <v>43846.50270833333</v>
      </c>
      <c r="B969" s="12" t="str">
        <f>HYPERLINK("https://twitter.com/toni_bernhard","@toni_bernhard")</f>
        <v>@toni_bernhard</v>
      </c>
      <c r="C969" s="1" t="s">
        <v>749</v>
      </c>
      <c r="D969" s="1" t="s">
        <v>4736</v>
      </c>
      <c r="E969" s="12" t="str">
        <f>HYPERLINK("https://twitter.com/toni_bernhard/status/1217855003542482944","1217855003542482944")</f>
        <v>1217855003542482944</v>
      </c>
      <c r="F969" s="13" t="s">
        <v>751</v>
      </c>
      <c r="G969" s="14"/>
      <c r="H969" s="14"/>
      <c r="I969" s="15">
        <v>20.0</v>
      </c>
      <c r="J969" s="15">
        <v>40.0</v>
      </c>
      <c r="K969" s="12" t="str">
        <f>HYPERLINK("http://twitter.com","Twitter Web Client")</f>
        <v>Twitter Web Client</v>
      </c>
      <c r="L969" s="16">
        <v>4965.0</v>
      </c>
      <c r="M969" s="16">
        <v>1524.0</v>
      </c>
      <c r="N969" s="16">
        <v>331.0</v>
      </c>
      <c r="O969" s="17"/>
      <c r="P969" s="18">
        <v>40382.55401620371</v>
      </c>
      <c r="Q969" s="14"/>
      <c r="R969" s="1" t="s">
        <v>752</v>
      </c>
      <c r="S969" s="13" t="s">
        <v>753</v>
      </c>
      <c r="T969" s="14"/>
      <c r="U969" s="19" t="str">
        <f>HYPERLINK("https://pbs.twimg.com/profile_images/759869867449196544/dEV7yImo.jpg","View")</f>
        <v>View</v>
      </c>
      <c r="V969" s="14"/>
      <c r="W969" s="14"/>
      <c r="X969" s="14"/>
      <c r="Y969" s="14"/>
      <c r="Z969" s="14"/>
    </row>
    <row r="970">
      <c r="A970" s="11">
        <v>43846.50185185185</v>
      </c>
      <c r="B970" s="12" t="str">
        <f>HYPERLINK("https://twitter.com/afterdeployment","@afterdeployment")</f>
        <v>@afterdeployment</v>
      </c>
      <c r="C970" s="1" t="s">
        <v>4737</v>
      </c>
      <c r="D970" s="1" t="s">
        <v>4738</v>
      </c>
      <c r="E970" s="12" t="str">
        <f>HYPERLINK("https://twitter.com/afterdeployment/status/1217854695315853313","1217854695315853313")</f>
        <v>1217854695315853313</v>
      </c>
      <c r="F970" s="13" t="s">
        <v>4739</v>
      </c>
      <c r="G970" s="13" t="s">
        <v>4740</v>
      </c>
      <c r="H970" s="14"/>
      <c r="I970" s="15">
        <v>1.0</v>
      </c>
      <c r="J970" s="15">
        <v>0.0</v>
      </c>
      <c r="K970" s="12" t="str">
        <f t="shared" ref="K970:K971" si="95">HYPERLINK("https://www.hootsuite.com","Hootsuite Inc.")</f>
        <v>Hootsuite Inc.</v>
      </c>
      <c r="L970" s="16">
        <v>15286.0</v>
      </c>
      <c r="M970" s="16">
        <v>1116.0</v>
      </c>
      <c r="N970" s="16">
        <v>271.0</v>
      </c>
      <c r="O970" s="20" t="s">
        <v>38</v>
      </c>
      <c r="P970" s="18">
        <v>40081.60960648148</v>
      </c>
      <c r="Q970" s="1" t="s">
        <v>4741</v>
      </c>
      <c r="R970" s="1" t="s">
        <v>4742</v>
      </c>
      <c r="S970" s="13" t="s">
        <v>4743</v>
      </c>
      <c r="T970" s="14"/>
      <c r="U970" s="19" t="str">
        <f>HYPERLINK("https://pbs.twimg.com/profile_images/479634918/AD-NewLogoICON.jpg","View")</f>
        <v>View</v>
      </c>
      <c r="V970" s="14"/>
      <c r="W970" s="14"/>
      <c r="X970" s="14"/>
      <c r="Y970" s="14"/>
      <c r="Z970" s="14"/>
    </row>
    <row r="971">
      <c r="A971" s="11">
        <v>43846.501493055555</v>
      </c>
      <c r="B971" s="12" t="str">
        <f>HYPERLINK("https://twitter.com/recharjdc","@recharjdc")</f>
        <v>@recharjdc</v>
      </c>
      <c r="C971" s="1" t="s">
        <v>4744</v>
      </c>
      <c r="D971" s="1" t="s">
        <v>4745</v>
      </c>
      <c r="E971" s="12" t="str">
        <f>HYPERLINK("https://twitter.com/recharjdc/status/1217854562536738816","1217854562536738816")</f>
        <v>1217854562536738816</v>
      </c>
      <c r="F971" s="13" t="s">
        <v>4746</v>
      </c>
      <c r="G971" s="14"/>
      <c r="H971" s="14"/>
      <c r="I971" s="15">
        <v>1.0</v>
      </c>
      <c r="J971" s="15">
        <v>1.0</v>
      </c>
      <c r="K971" s="12" t="str">
        <f t="shared" si="95"/>
        <v>Hootsuite Inc.</v>
      </c>
      <c r="L971" s="16">
        <v>373.0</v>
      </c>
      <c r="M971" s="16">
        <v>537.0</v>
      </c>
      <c r="N971" s="16">
        <v>40.0</v>
      </c>
      <c r="O971" s="17"/>
      <c r="P971" s="18">
        <v>42426.40587962963</v>
      </c>
      <c r="Q971" s="1" t="s">
        <v>2263</v>
      </c>
      <c r="R971" s="1" t="s">
        <v>4747</v>
      </c>
      <c r="S971" s="13" t="s">
        <v>4748</v>
      </c>
      <c r="T971" s="14"/>
      <c r="U971" s="19" t="str">
        <f>HYPERLINK("https://pbs.twimg.com/profile_images/837775075579351042/x2SdJJ2P.jpg","View")</f>
        <v>View</v>
      </c>
      <c r="V971" s="14"/>
      <c r="W971" s="14"/>
      <c r="X971" s="14"/>
      <c r="Y971" s="14"/>
      <c r="Z971" s="14"/>
    </row>
    <row r="972">
      <c r="A972" s="11">
        <v>43846.50140046296</v>
      </c>
      <c r="B972" s="12" t="str">
        <f>HYPERLINK("https://twitter.com/ASWalkInTubs","@ASWalkInTubs")</f>
        <v>@ASWalkInTubs</v>
      </c>
      <c r="C972" s="1" t="s">
        <v>4749</v>
      </c>
      <c r="D972" s="1" t="s">
        <v>4750</v>
      </c>
      <c r="E972" s="12" t="str">
        <f>HYPERLINK("https://twitter.com/ASWalkInTubs/status/1217854531884613632","1217854531884613632")</f>
        <v>1217854531884613632</v>
      </c>
      <c r="F972" s="13" t="s">
        <v>4751</v>
      </c>
      <c r="G972" s="14"/>
      <c r="H972" s="14"/>
      <c r="I972" s="15">
        <v>0.0</v>
      </c>
      <c r="J972" s="15">
        <v>0.0</v>
      </c>
      <c r="K972" s="12" t="str">
        <f>HYPERLINK("https://sproutsocial.com","Sprout Social")</f>
        <v>Sprout Social</v>
      </c>
      <c r="L972" s="16">
        <v>440.0</v>
      </c>
      <c r="M972" s="16">
        <v>579.0</v>
      </c>
      <c r="N972" s="16">
        <v>14.0</v>
      </c>
      <c r="O972" s="17"/>
      <c r="P972" s="18">
        <v>42691.5371875</v>
      </c>
      <c r="Q972" s="1" t="s">
        <v>56</v>
      </c>
      <c r="R972" s="1" t="s">
        <v>4752</v>
      </c>
      <c r="S972" s="13" t="s">
        <v>4753</v>
      </c>
      <c r="T972" s="14"/>
      <c r="U972" s="19" t="str">
        <f>HYPERLINK("https://pbs.twimg.com/profile_images/846426492737236992/6DVCmELx.jpg","View")</f>
        <v>View</v>
      </c>
      <c r="V972" s="14"/>
      <c r="W972" s="14"/>
      <c r="X972" s="14"/>
      <c r="Y972" s="14"/>
      <c r="Z972" s="14"/>
    </row>
    <row r="973">
      <c r="A973" s="11">
        <v>43846.50120370371</v>
      </c>
      <c r="B973" s="12" t="str">
        <f>HYPERLINK("https://twitter.com/mindful__change","@mindful__change")</f>
        <v>@mindful__change</v>
      </c>
      <c r="C973" s="1" t="s">
        <v>3984</v>
      </c>
      <c r="D973" s="1" t="s">
        <v>4754</v>
      </c>
      <c r="E973" s="12" t="str">
        <f>HYPERLINK("https://twitter.com/mindful__change/status/1217854460271169536","1217854460271169536")</f>
        <v>1217854460271169536</v>
      </c>
      <c r="F973" s="13" t="s">
        <v>3986</v>
      </c>
      <c r="G973" s="14"/>
      <c r="H973" s="14"/>
      <c r="I973" s="15">
        <v>3.0</v>
      </c>
      <c r="J973" s="15">
        <v>3.0</v>
      </c>
      <c r="K973" s="12" t="str">
        <f>HYPERLINK("https://www.hootsuite.com","Hootsuite Inc.")</f>
        <v>Hootsuite Inc.</v>
      </c>
      <c r="L973" s="16">
        <v>851.0</v>
      </c>
      <c r="M973" s="16">
        <v>529.0</v>
      </c>
      <c r="N973" s="16">
        <v>275.0</v>
      </c>
      <c r="O973" s="17"/>
      <c r="P973" s="18">
        <v>41533.62846064815</v>
      </c>
      <c r="Q973" s="1" t="s">
        <v>3987</v>
      </c>
      <c r="R973" s="1" t="s">
        <v>3988</v>
      </c>
      <c r="S973" s="13" t="s">
        <v>3989</v>
      </c>
      <c r="T973" s="14"/>
      <c r="U973" s="19" t="str">
        <f>HYPERLINK("https://pbs.twimg.com/profile_images/378800000469036908/5b8eb5af621e8ea4b3d9f6a0e5a27b16.jpeg","View")</f>
        <v>View</v>
      </c>
      <c r="V973" s="14"/>
      <c r="W973" s="14"/>
      <c r="X973" s="14"/>
      <c r="Y973" s="14"/>
      <c r="Z973" s="14"/>
    </row>
    <row r="974">
      <c r="A974" s="11">
        <v>43846.50109953704</v>
      </c>
      <c r="B974" s="12" t="str">
        <f>HYPERLINK("https://twitter.com/VotarEsUnDeber","@VotarEsUnDeber")</f>
        <v>@VotarEsUnDeber</v>
      </c>
      <c r="C974" s="1" t="s">
        <v>4755</v>
      </c>
      <c r="D974" s="1" t="s">
        <v>4756</v>
      </c>
      <c r="E974" s="12" t="str">
        <f>HYPERLINK("https://twitter.com/VotarEsUnDeber/status/1217854422065274880","1217854422065274880")</f>
        <v>1217854422065274880</v>
      </c>
      <c r="F974" s="13" t="s">
        <v>4757</v>
      </c>
      <c r="G974" s="13" t="s">
        <v>4758</v>
      </c>
      <c r="H974" s="14"/>
      <c r="I974" s="15">
        <v>0.0</v>
      </c>
      <c r="J974" s="15">
        <v>0.0</v>
      </c>
      <c r="K974" s="12" t="str">
        <f t="shared" ref="K974:K979" si="96">HYPERLINK("https://buffer.com","Buffer")</f>
        <v>Buffer</v>
      </c>
      <c r="L974" s="16">
        <v>386.0</v>
      </c>
      <c r="M974" s="16">
        <v>689.0</v>
      </c>
      <c r="N974" s="16">
        <v>12.0</v>
      </c>
      <c r="O974" s="17"/>
      <c r="P974" s="18">
        <v>41542.1037037037</v>
      </c>
      <c r="Q974" s="1" t="s">
        <v>4759</v>
      </c>
      <c r="R974" s="1" t="s">
        <v>4760</v>
      </c>
      <c r="S974" s="13" t="s">
        <v>4761</v>
      </c>
      <c r="T974" s="14"/>
      <c r="U974" s="19" t="str">
        <f>HYPERLINK("https://pbs.twimg.com/profile_images/499209824748306432/iAeMat7D.png","View")</f>
        <v>View</v>
      </c>
      <c r="V974" s="14"/>
      <c r="W974" s="14"/>
      <c r="X974" s="14"/>
      <c r="Y974" s="14"/>
      <c r="Z974" s="14"/>
    </row>
    <row r="975">
      <c r="A975" s="11">
        <v>43846.50099537037</v>
      </c>
      <c r="B975" s="12" t="str">
        <f>HYPERLINK("https://twitter.com/StandWithMarco_","@StandWithMarco_")</f>
        <v>@StandWithMarco_</v>
      </c>
      <c r="C975" s="1" t="s">
        <v>4762</v>
      </c>
      <c r="D975" s="1" t="s">
        <v>4756</v>
      </c>
      <c r="E975" s="12" t="str">
        <f>HYPERLINK("https://twitter.com/StandWithMarco_/status/1217854385478406146","1217854385478406146")</f>
        <v>1217854385478406146</v>
      </c>
      <c r="F975" s="13" t="s">
        <v>4757</v>
      </c>
      <c r="G975" s="13" t="s">
        <v>4763</v>
      </c>
      <c r="H975" s="14"/>
      <c r="I975" s="15">
        <v>0.0</v>
      </c>
      <c r="J975" s="15">
        <v>0.0</v>
      </c>
      <c r="K975" s="12" t="str">
        <f t="shared" si="96"/>
        <v>Buffer</v>
      </c>
      <c r="L975" s="16">
        <v>319.0</v>
      </c>
      <c r="M975" s="16">
        <v>186.0</v>
      </c>
      <c r="N975" s="16">
        <v>17.0</v>
      </c>
      <c r="O975" s="17"/>
      <c r="P975" s="18">
        <v>42373.47248842593</v>
      </c>
      <c r="Q975" s="14"/>
      <c r="R975" s="14"/>
      <c r="S975" s="14"/>
      <c r="T975" s="14"/>
      <c r="U975" s="19" t="str">
        <f>HYPERLINK("https://pbs.twimg.com/profile_images/684048556609662976/Br4pKKhi.png","View")</f>
        <v>View</v>
      </c>
      <c r="V975" s="14"/>
      <c r="W975" s="14"/>
      <c r="X975" s="14"/>
      <c r="Y975" s="14"/>
      <c r="Z975" s="14"/>
    </row>
    <row r="976">
      <c r="A976" s="11">
        <v>43846.50096064815</v>
      </c>
      <c r="B976" s="12" t="str">
        <f>HYPERLINK("https://twitter.com/SurveySunday","@SurveySunday")</f>
        <v>@SurveySunday</v>
      </c>
      <c r="C976" s="1" t="s">
        <v>4764</v>
      </c>
      <c r="D976" s="1" t="s">
        <v>4756</v>
      </c>
      <c r="E976" s="12" t="str">
        <f>HYPERLINK("https://twitter.com/SurveySunday/status/1217854371184160768","1217854371184160768")</f>
        <v>1217854371184160768</v>
      </c>
      <c r="F976" s="13" t="s">
        <v>4757</v>
      </c>
      <c r="G976" s="13" t="s">
        <v>4765</v>
      </c>
      <c r="H976" s="14"/>
      <c r="I976" s="15">
        <v>0.0</v>
      </c>
      <c r="J976" s="15">
        <v>0.0</v>
      </c>
      <c r="K976" s="12" t="str">
        <f t="shared" si="96"/>
        <v>Buffer</v>
      </c>
      <c r="L976" s="16">
        <v>630.0</v>
      </c>
      <c r="M976" s="16">
        <v>58.0</v>
      </c>
      <c r="N976" s="16">
        <v>32.0</v>
      </c>
      <c r="O976" s="17"/>
      <c r="P976" s="18">
        <v>42757.71552083333</v>
      </c>
      <c r="Q976" s="1" t="s">
        <v>4766</v>
      </c>
      <c r="R976" s="1" t="s">
        <v>4767</v>
      </c>
      <c r="S976" s="13" t="s">
        <v>4768</v>
      </c>
      <c r="T976" s="14"/>
      <c r="U976" s="19" t="str">
        <f>HYPERLINK("https://pbs.twimg.com/profile_images/823540107051470848/H_T9Fdk_.jpg","View")</f>
        <v>View</v>
      </c>
      <c r="V976" s="14"/>
      <c r="W976" s="14"/>
      <c r="X976" s="14"/>
      <c r="Y976" s="14"/>
      <c r="Z976" s="14"/>
    </row>
    <row r="977">
      <c r="A977" s="11">
        <v>43846.500925925924</v>
      </c>
      <c r="B977" s="12" t="str">
        <f>HYPERLINK("https://twitter.com/MiamiGives","@MiamiGives")</f>
        <v>@MiamiGives</v>
      </c>
      <c r="C977" s="1" t="s">
        <v>4769</v>
      </c>
      <c r="D977" s="1" t="s">
        <v>4756</v>
      </c>
      <c r="E977" s="12" t="str">
        <f>HYPERLINK("https://twitter.com/MiamiGives/status/1217854360572563457","1217854360572563457")</f>
        <v>1217854360572563457</v>
      </c>
      <c r="F977" s="13" t="s">
        <v>4757</v>
      </c>
      <c r="G977" s="13" t="s">
        <v>4770</v>
      </c>
      <c r="H977" s="14"/>
      <c r="I977" s="15">
        <v>0.0</v>
      </c>
      <c r="J977" s="15">
        <v>0.0</v>
      </c>
      <c r="K977" s="12" t="str">
        <f t="shared" si="96"/>
        <v>Buffer</v>
      </c>
      <c r="L977" s="16">
        <v>3348.0</v>
      </c>
      <c r="M977" s="16">
        <v>732.0</v>
      </c>
      <c r="N977" s="16">
        <v>722.0</v>
      </c>
      <c r="O977" s="17"/>
      <c r="P977" s="18">
        <v>42335.685219907406</v>
      </c>
      <c r="Q977" s="1" t="s">
        <v>4759</v>
      </c>
      <c r="R977" s="1" t="s">
        <v>4771</v>
      </c>
      <c r="S977" s="13" t="s">
        <v>4772</v>
      </c>
      <c r="T977" s="14"/>
      <c r="U977" s="19" t="str">
        <f>HYPERLINK("https://pbs.twimg.com/profile_images/1055290664659890176/U2JFMfEY.jpg","View")</f>
        <v>View</v>
      </c>
      <c r="V977" s="14"/>
      <c r="W977" s="14"/>
      <c r="X977" s="14"/>
      <c r="Y977" s="14"/>
      <c r="Z977" s="14"/>
    </row>
    <row r="978">
      <c r="A978" s="11">
        <v>43846.500821759255</v>
      </c>
      <c r="B978" s="12" t="str">
        <f>HYPERLINK("https://twitter.com/DailyPsalms365","@DailyPsalms365")</f>
        <v>@DailyPsalms365</v>
      </c>
      <c r="C978" s="1" t="s">
        <v>4773</v>
      </c>
      <c r="D978" s="1" t="s">
        <v>4756</v>
      </c>
      <c r="E978" s="12" t="str">
        <f>HYPERLINK("https://twitter.com/DailyPsalms365/status/1217854322500915201","1217854322500915201")</f>
        <v>1217854322500915201</v>
      </c>
      <c r="F978" s="13" t="s">
        <v>4757</v>
      </c>
      <c r="G978" s="13" t="s">
        <v>4774</v>
      </c>
      <c r="H978" s="14"/>
      <c r="I978" s="15">
        <v>0.0</v>
      </c>
      <c r="J978" s="15">
        <v>0.0</v>
      </c>
      <c r="K978" s="12" t="str">
        <f t="shared" si="96"/>
        <v>Buffer</v>
      </c>
      <c r="L978" s="16">
        <v>1147.0</v>
      </c>
      <c r="M978" s="16">
        <v>54.0</v>
      </c>
      <c r="N978" s="16">
        <v>23.0</v>
      </c>
      <c r="O978" s="17"/>
      <c r="P978" s="18">
        <v>42758.570115740746</v>
      </c>
      <c r="Q978" s="1" t="s">
        <v>4766</v>
      </c>
      <c r="R978" s="1" t="s">
        <v>4775</v>
      </c>
      <c r="S978" s="13" t="s">
        <v>4776</v>
      </c>
      <c r="T978" s="14"/>
      <c r="U978" s="19" t="str">
        <f>HYPERLINK("https://pbs.twimg.com/profile_images/823606803439218690/rW5Z8l_s.jpg","View")</f>
        <v>View</v>
      </c>
      <c r="V978" s="14"/>
      <c r="W978" s="14"/>
      <c r="X978" s="14"/>
      <c r="Y978" s="14"/>
      <c r="Z978" s="14"/>
    </row>
    <row r="979">
      <c r="A979" s="11">
        <v>43846.500810185185</v>
      </c>
      <c r="B979" s="12" t="str">
        <f>HYPERLINK("https://twitter.com/lopezgovlaw","@lopezgovlaw")</f>
        <v>@lopezgovlaw</v>
      </c>
      <c r="C979" s="1" t="s">
        <v>4777</v>
      </c>
      <c r="D979" s="1" t="s">
        <v>4756</v>
      </c>
      <c r="E979" s="12" t="str">
        <f>HYPERLINK("https://twitter.com/lopezgovlaw/status/1217854315429269505","1217854315429269505")</f>
        <v>1217854315429269505</v>
      </c>
      <c r="F979" s="13" t="s">
        <v>4778</v>
      </c>
      <c r="G979" s="13" t="s">
        <v>4779</v>
      </c>
      <c r="H979" s="14"/>
      <c r="I979" s="15">
        <v>1.0</v>
      </c>
      <c r="J979" s="15">
        <v>0.0</v>
      </c>
      <c r="K979" s="12" t="str">
        <f t="shared" si="96"/>
        <v>Buffer</v>
      </c>
      <c r="L979" s="16">
        <v>16463.0</v>
      </c>
      <c r="M979" s="16">
        <v>3769.0</v>
      </c>
      <c r="N979" s="16">
        <v>1005.0</v>
      </c>
      <c r="O979" s="20" t="s">
        <v>38</v>
      </c>
      <c r="P979" s="18">
        <v>40142.94594907407</v>
      </c>
      <c r="Q979" s="1" t="s">
        <v>4780</v>
      </c>
      <c r="R979" s="1" t="s">
        <v>4781</v>
      </c>
      <c r="S979" s="13" t="s">
        <v>4782</v>
      </c>
      <c r="T979" s="14"/>
      <c r="U979" s="19" t="str">
        <f>HYPERLINK("https://pbs.twimg.com/profile_images/1050736451288064000/23PZg4ES.jpg","View")</f>
        <v>View</v>
      </c>
      <c r="V979" s="14"/>
      <c r="W979" s="14"/>
      <c r="X979" s="14"/>
      <c r="Y979" s="14"/>
      <c r="Z979" s="14"/>
    </row>
    <row r="980">
      <c r="A980" s="11">
        <v>43846.50074074074</v>
      </c>
      <c r="B980" s="12" t="str">
        <f>HYPERLINK("https://twitter.com/WellPatch","@WellPatch")</f>
        <v>@WellPatch</v>
      </c>
      <c r="C980" s="1" t="s">
        <v>4783</v>
      </c>
      <c r="D980" s="1" t="s">
        <v>4500</v>
      </c>
      <c r="E980" s="12" t="str">
        <f>HYPERLINK("https://twitter.com/WellPatch/status/1217854292947849216","1217854292947849216")</f>
        <v>1217854292947849216</v>
      </c>
      <c r="F980" s="13" t="s">
        <v>4501</v>
      </c>
      <c r="G980" s="13" t="s">
        <v>4784</v>
      </c>
      <c r="H980" s="14"/>
      <c r="I980" s="15">
        <v>0.0</v>
      </c>
      <c r="J980" s="15">
        <v>0.0</v>
      </c>
      <c r="K980" s="12" t="str">
        <f>HYPERLINK("https://eclincher.com","eClincher")</f>
        <v>eClincher</v>
      </c>
      <c r="L980" s="16">
        <v>3.0</v>
      </c>
      <c r="M980" s="16">
        <v>0.0</v>
      </c>
      <c r="N980" s="16">
        <v>0.0</v>
      </c>
      <c r="O980" s="17"/>
      <c r="P980" s="18">
        <v>43445.4737962963</v>
      </c>
      <c r="Q980" s="1" t="s">
        <v>4785</v>
      </c>
      <c r="R980" s="1" t="s">
        <v>4786</v>
      </c>
      <c r="S980" s="14"/>
      <c r="T980" s="14"/>
      <c r="U980" s="19" t="str">
        <f>HYPERLINK("https://pbs.twimg.com/profile_images/1072527829949128705/nNF__WWS.jpg","View")</f>
        <v>View</v>
      </c>
      <c r="V980" s="14"/>
      <c r="W980" s="14"/>
      <c r="X980" s="14"/>
      <c r="Y980" s="14"/>
      <c r="Z980" s="14"/>
    </row>
    <row r="981">
      <c r="A981" s="11">
        <v>43846.50069444445</v>
      </c>
      <c r="B981" s="12" t="str">
        <f>HYPERLINK("https://twitter.com/ELKHealth","@ELKHealth")</f>
        <v>@ELKHealth</v>
      </c>
      <c r="C981" s="1" t="s">
        <v>4787</v>
      </c>
      <c r="D981" s="1" t="s">
        <v>4788</v>
      </c>
      <c r="E981" s="12" t="str">
        <f>HYPERLINK("https://twitter.com/ELKHealth/status/1217854273725353985","1217854273725353985")</f>
        <v>1217854273725353985</v>
      </c>
      <c r="F981" s="13" t="s">
        <v>4789</v>
      </c>
      <c r="G981" s="13" t="s">
        <v>4790</v>
      </c>
      <c r="H981" s="14"/>
      <c r="I981" s="15">
        <v>1.0</v>
      </c>
      <c r="J981" s="15">
        <v>1.0</v>
      </c>
      <c r="K981" s="12" t="str">
        <f>HYPERLINK("https://buffer.com","Buffer")</f>
        <v>Buffer</v>
      </c>
      <c r="L981" s="16">
        <v>181.0</v>
      </c>
      <c r="M981" s="16">
        <v>205.0</v>
      </c>
      <c r="N981" s="16">
        <v>10.0</v>
      </c>
      <c r="O981" s="17"/>
      <c r="P981" s="18">
        <v>41704.22715277778</v>
      </c>
      <c r="Q981" s="1" t="s">
        <v>3406</v>
      </c>
      <c r="R981" s="1" t="s">
        <v>4791</v>
      </c>
      <c r="S981" s="13" t="s">
        <v>4792</v>
      </c>
      <c r="T981" s="14"/>
      <c r="U981" s="19" t="str">
        <f>HYPERLINK("https://pbs.twimg.com/profile_images/1187001800676823040/CNrwCtWj.jpg","View")</f>
        <v>View</v>
      </c>
      <c r="V981" s="14"/>
      <c r="W981" s="14"/>
      <c r="X981" s="14"/>
      <c r="Y981" s="14"/>
      <c r="Z981" s="14"/>
    </row>
    <row r="982">
      <c r="A982" s="11">
        <v>43846.500543981485</v>
      </c>
      <c r="B982" s="12" t="str">
        <f>HYPERLINK("https://twitter.com/TheNightPolice","@TheNightPolice")</f>
        <v>@TheNightPolice</v>
      </c>
      <c r="C982" s="1" t="s">
        <v>4793</v>
      </c>
      <c r="D982" s="1" t="s">
        <v>4794</v>
      </c>
      <c r="E982" s="12" t="str">
        <f>HYPERLINK("https://twitter.com/TheNightPolice/status/1217854219061022720","1217854219061022720")</f>
        <v>1217854219061022720</v>
      </c>
      <c r="F982" s="13" t="s">
        <v>4795</v>
      </c>
      <c r="G982" s="13" t="s">
        <v>4796</v>
      </c>
      <c r="H982" s="14"/>
      <c r="I982" s="15">
        <v>0.0</v>
      </c>
      <c r="J982" s="15">
        <v>1.0</v>
      </c>
      <c r="K982" s="12" t="str">
        <f>HYPERLINK("https://www.hootsuite.com","Hootsuite Inc.")</f>
        <v>Hootsuite Inc.</v>
      </c>
      <c r="L982" s="16">
        <v>21.0</v>
      </c>
      <c r="M982" s="16">
        <v>105.0</v>
      </c>
      <c r="N982" s="16">
        <v>0.0</v>
      </c>
      <c r="O982" s="17"/>
      <c r="P982" s="18">
        <v>43768.10997685185</v>
      </c>
      <c r="Q982" s="14"/>
      <c r="R982" s="1" t="s">
        <v>4797</v>
      </c>
      <c r="S982" s="14"/>
      <c r="T982" s="14"/>
      <c r="U982" s="19" t="str">
        <f>HYPERLINK("https://pbs.twimg.com/profile_images/1192490633048387584/CoY2V0nw.jpg","View")</f>
        <v>View</v>
      </c>
      <c r="V982" s="14"/>
      <c r="W982" s="14"/>
      <c r="X982" s="14"/>
      <c r="Y982" s="14"/>
      <c r="Z982" s="14"/>
    </row>
    <row r="983">
      <c r="A983" s="11">
        <v>43846.50046296296</v>
      </c>
      <c r="B983" s="12" t="str">
        <f>HYPERLINK("https://twitter.com/qwikad","@qwikad")</f>
        <v>@qwikad</v>
      </c>
      <c r="C983" s="1" t="s">
        <v>597</v>
      </c>
      <c r="D983" s="1" t="s">
        <v>4798</v>
      </c>
      <c r="E983" s="12" t="str">
        <f>HYPERLINK("https://twitter.com/qwikad/status/1217854190766170114","1217854190766170114")</f>
        <v>1217854190766170114</v>
      </c>
      <c r="F983" s="13" t="s">
        <v>3591</v>
      </c>
      <c r="G983" s="14"/>
      <c r="H983" s="14"/>
      <c r="I983" s="15">
        <v>0.0</v>
      </c>
      <c r="J983" s="15">
        <v>0.0</v>
      </c>
      <c r="K983" s="12" t="str">
        <f>HYPERLINK("http://twitter.com","Twitter Web Client")</f>
        <v>Twitter Web Client</v>
      </c>
      <c r="L983" s="16">
        <v>92771.0</v>
      </c>
      <c r="M983" s="16">
        <v>88718.0</v>
      </c>
      <c r="N983" s="16">
        <v>2798.0</v>
      </c>
      <c r="O983" s="17"/>
      <c r="P983" s="18">
        <v>40937.940358796295</v>
      </c>
      <c r="Q983" s="1" t="s">
        <v>56</v>
      </c>
      <c r="R983" s="1" t="s">
        <v>600</v>
      </c>
      <c r="S983" s="13" t="s">
        <v>601</v>
      </c>
      <c r="T983" s="14"/>
      <c r="U983" s="19" t="str">
        <f>HYPERLINK("https://pbs.twimg.com/profile_images/1191723528246235137/larfZktn.jpg","View")</f>
        <v>View</v>
      </c>
      <c r="V983" s="14"/>
      <c r="W983" s="14"/>
      <c r="X983" s="14"/>
      <c r="Y983" s="14"/>
      <c r="Z983" s="14"/>
    </row>
    <row r="984">
      <c r="A984" s="11">
        <v>43846.500081018516</v>
      </c>
      <c r="B984" s="12" t="str">
        <f>HYPERLINK("https://twitter.com/DeMinnoCPAFirm","@DeMinnoCPAFirm")</f>
        <v>@DeMinnoCPAFirm</v>
      </c>
      <c r="C984" s="1" t="s">
        <v>4799</v>
      </c>
      <c r="D984" s="1" t="s">
        <v>4800</v>
      </c>
      <c r="E984" s="12" t="str">
        <f>HYPERLINK("https://twitter.com/DeMinnoCPAFirm/status/1217854054925328385","1217854054925328385")</f>
        <v>1217854054925328385</v>
      </c>
      <c r="F984" s="13" t="s">
        <v>4801</v>
      </c>
      <c r="G984" s="14"/>
      <c r="H984" s="14"/>
      <c r="I984" s="15">
        <v>0.0</v>
      </c>
      <c r="J984" s="15">
        <v>0.0</v>
      </c>
      <c r="K984" s="12" t="str">
        <f>HYPERLINK("https://secure.fmgsuite.com","FMG Social")</f>
        <v>FMG Social</v>
      </c>
      <c r="L984" s="16">
        <v>35.0</v>
      </c>
      <c r="M984" s="16">
        <v>21.0</v>
      </c>
      <c r="N984" s="16">
        <v>10.0</v>
      </c>
      <c r="O984" s="17"/>
      <c r="P984" s="18">
        <v>40317.82607638889</v>
      </c>
      <c r="Q984" s="1" t="s">
        <v>4802</v>
      </c>
      <c r="R984" s="1" t="s">
        <v>4803</v>
      </c>
      <c r="S984" s="14"/>
      <c r="T984" s="14"/>
      <c r="U984" s="19" t="str">
        <f>HYPERLINK("https://pbs.twimg.com/profile_images/1216732466918121472/frqNblQS.jpg","View")</f>
        <v>View</v>
      </c>
      <c r="V984" s="14"/>
      <c r="W984" s="14"/>
      <c r="X984" s="14"/>
      <c r="Y984" s="14"/>
      <c r="Z984" s="14"/>
    </row>
    <row r="985">
      <c r="A985" s="11">
        <v>43846.50005787037</v>
      </c>
      <c r="B985" s="12" t="str">
        <f>HYPERLINK("https://twitter.com/AmandaGoodwinHC","@AmandaGoodwinHC")</f>
        <v>@AmandaGoodwinHC</v>
      </c>
      <c r="C985" s="1" t="s">
        <v>4804</v>
      </c>
      <c r="D985" s="1" t="s">
        <v>4805</v>
      </c>
      <c r="E985" s="12" t="str">
        <f>HYPERLINK("https://twitter.com/AmandaGoodwinHC/status/1217854045668376576","1217854045668376576")</f>
        <v>1217854045668376576</v>
      </c>
      <c r="F985" s="13" t="s">
        <v>4806</v>
      </c>
      <c r="G985" s="13" t="s">
        <v>4807</v>
      </c>
      <c r="H985" s="14"/>
      <c r="I985" s="15">
        <v>0.0</v>
      </c>
      <c r="J985" s="15">
        <v>0.0</v>
      </c>
      <c r="K985" s="12" t="str">
        <f>HYPERLINK("https://buffer.com","Buffer")</f>
        <v>Buffer</v>
      </c>
      <c r="L985" s="16">
        <v>1348.0</v>
      </c>
      <c r="M985" s="16">
        <v>1003.0</v>
      </c>
      <c r="N985" s="16">
        <v>436.0</v>
      </c>
      <c r="O985" s="17"/>
      <c r="P985" s="18">
        <v>41871.680625</v>
      </c>
      <c r="Q985" s="1" t="s">
        <v>934</v>
      </c>
      <c r="R985" s="1" t="s">
        <v>4808</v>
      </c>
      <c r="S985" s="13" t="s">
        <v>4809</v>
      </c>
      <c r="T985" s="14"/>
      <c r="U985" s="19" t="str">
        <f>HYPERLINK("https://pbs.twimg.com/profile_images/1038839403882393605/kOguWk6R.jpg","View")</f>
        <v>View</v>
      </c>
      <c r="V985" s="14"/>
      <c r="W985" s="14"/>
      <c r="X985" s="14"/>
      <c r="Y985" s="14"/>
      <c r="Z985" s="14"/>
    </row>
    <row r="986">
      <c r="A986" s="11">
        <v>43846.50003472222</v>
      </c>
      <c r="B986" s="12" t="str">
        <f>HYPERLINK("https://twitter.com/LuisRealAgenda","@LuisRealAgenda")</f>
        <v>@LuisRealAgenda</v>
      </c>
      <c r="C986" s="1" t="s">
        <v>4810</v>
      </c>
      <c r="D986" s="1" t="s">
        <v>4811</v>
      </c>
      <c r="E986" s="12" t="str">
        <f>HYPERLINK("https://twitter.com/LuisRealAgenda/status/1217854035216281602","1217854035216281602")</f>
        <v>1217854035216281602</v>
      </c>
      <c r="F986" s="13" t="s">
        <v>4812</v>
      </c>
      <c r="G986" s="13" t="s">
        <v>4813</v>
      </c>
      <c r="H986" s="14"/>
      <c r="I986" s="15">
        <v>0.0</v>
      </c>
      <c r="J986" s="15">
        <v>0.0</v>
      </c>
      <c r="K986" s="12" t="str">
        <f>HYPERLINK("https://mobile.twitter.com","Twitter Web App")</f>
        <v>Twitter Web App</v>
      </c>
      <c r="L986" s="16">
        <v>132.0</v>
      </c>
      <c r="M986" s="16">
        <v>42.0</v>
      </c>
      <c r="N986" s="16">
        <v>32.0</v>
      </c>
      <c r="O986" s="17"/>
      <c r="P986" s="18">
        <v>41860.61493055556</v>
      </c>
      <c r="Q986" s="1" t="s">
        <v>4814</v>
      </c>
      <c r="R986" s="1" t="s">
        <v>4815</v>
      </c>
      <c r="S986" s="13" t="s">
        <v>4816</v>
      </c>
      <c r="T986" s="14"/>
      <c r="U986" s="19" t="str">
        <f>HYPERLINK("https://pbs.twimg.com/profile_images/1120410856049774599/NRfV69_t.png","View")</f>
        <v>View</v>
      </c>
      <c r="V986" s="14"/>
      <c r="W986" s="14"/>
      <c r="X986" s="14"/>
      <c r="Y986" s="14"/>
      <c r="Z986" s="14"/>
    </row>
    <row r="987">
      <c r="A987" s="11">
        <v>43846.5</v>
      </c>
      <c r="B987" s="12" t="str">
        <f>HYPERLINK("https://twitter.com/WeHearYouZA","@WeHearYouZA")</f>
        <v>@WeHearYouZA</v>
      </c>
      <c r="C987" s="1" t="s">
        <v>2299</v>
      </c>
      <c r="D987" s="1" t="s">
        <v>4817</v>
      </c>
      <c r="E987" s="12" t="str">
        <f>HYPERLINK("https://twitter.com/WeHearYouZA/status/1217854024516431872","1217854024516431872")</f>
        <v>1217854024516431872</v>
      </c>
      <c r="F987" s="14"/>
      <c r="G987" s="13" t="s">
        <v>4818</v>
      </c>
      <c r="H987" s="14"/>
      <c r="I987" s="15">
        <v>0.0</v>
      </c>
      <c r="J987" s="15">
        <v>2.0</v>
      </c>
      <c r="K987" s="12" t="str">
        <f>HYPERLINK("https://about.twitter.com/products/tweetdeck","TweetDeck")</f>
        <v>TweetDeck</v>
      </c>
      <c r="L987" s="16">
        <v>26.0</v>
      </c>
      <c r="M987" s="16">
        <v>43.0</v>
      </c>
      <c r="N987" s="16">
        <v>4.0</v>
      </c>
      <c r="O987" s="17"/>
      <c r="P987" s="18">
        <v>43661.22396990741</v>
      </c>
      <c r="Q987" s="1" t="s">
        <v>2302</v>
      </c>
      <c r="R987" s="1" t="s">
        <v>2303</v>
      </c>
      <c r="S987" s="13" t="s">
        <v>2304</v>
      </c>
      <c r="T987" s="14"/>
      <c r="U987" s="19" t="str">
        <f>HYPERLINK("https://pbs.twimg.com/profile_images/1153562188415737856/1QVWKhWI.jpg","View")</f>
        <v>View</v>
      </c>
      <c r="V987" s="14"/>
      <c r="W987" s="14"/>
      <c r="X987" s="14"/>
      <c r="Y987" s="14"/>
      <c r="Z987" s="14"/>
    </row>
    <row r="988">
      <c r="A988" s="11">
        <v>43846.497349537036</v>
      </c>
      <c r="B988" s="12" t="str">
        <f>HYPERLINK("https://twitter.com/CenegenicsNC","@CenegenicsNC")</f>
        <v>@CenegenicsNC</v>
      </c>
      <c r="C988" s="1" t="s">
        <v>4819</v>
      </c>
      <c r="D988" s="1" t="s">
        <v>4820</v>
      </c>
      <c r="E988" s="12" t="str">
        <f>HYPERLINK("https://twitter.com/CenegenicsNC/status/1217853063777726464","1217853063777726464")</f>
        <v>1217853063777726464</v>
      </c>
      <c r="F988" s="13" t="s">
        <v>4821</v>
      </c>
      <c r="G988" s="14"/>
      <c r="H988" s="14"/>
      <c r="I988" s="15">
        <v>0.0</v>
      </c>
      <c r="J988" s="15">
        <v>0.0</v>
      </c>
      <c r="K988" s="12" t="str">
        <f t="shared" ref="K988:K989" si="97">HYPERLINK("https://mobile.twitter.com","Twitter Web App")</f>
        <v>Twitter Web App</v>
      </c>
      <c r="L988" s="16">
        <v>63.0</v>
      </c>
      <c r="M988" s="16">
        <v>67.0</v>
      </c>
      <c r="N988" s="16">
        <v>0.0</v>
      </c>
      <c r="O988" s="17"/>
      <c r="P988" s="18">
        <v>43651.65914351852</v>
      </c>
      <c r="Q988" s="1" t="s">
        <v>4822</v>
      </c>
      <c r="R988" s="1" t="s">
        <v>4823</v>
      </c>
      <c r="S988" s="13" t="s">
        <v>4824</v>
      </c>
      <c r="T988" s="14"/>
      <c r="U988" s="19" t="str">
        <f>HYPERLINK("https://pbs.twimg.com/profile_images/1147231098738360320/mZuE_Kep.jpg","View")</f>
        <v>View</v>
      </c>
      <c r="V988" s="14"/>
      <c r="W988" s="14"/>
      <c r="X988" s="14"/>
      <c r="Y988" s="14"/>
      <c r="Z988" s="14"/>
    </row>
    <row r="989">
      <c r="A989" s="11">
        <v>43846.49706018518</v>
      </c>
      <c r="B989" s="12" t="str">
        <f>HYPERLINK("https://twitter.com/Baghurst","@Baghurst")</f>
        <v>@Baghurst</v>
      </c>
      <c r="C989" s="1" t="s">
        <v>4825</v>
      </c>
      <c r="D989" s="1" t="s">
        <v>4826</v>
      </c>
      <c r="E989" s="12" t="str">
        <f>HYPERLINK("https://twitter.com/Baghurst/status/1217852960191012864","1217852960191012864")</f>
        <v>1217852960191012864</v>
      </c>
      <c r="F989" s="14"/>
      <c r="G989" s="14"/>
      <c r="H989" s="14"/>
      <c r="I989" s="15">
        <v>0.0</v>
      </c>
      <c r="J989" s="15">
        <v>3.0</v>
      </c>
      <c r="K989" s="12" t="str">
        <f t="shared" si="97"/>
        <v>Twitter Web App</v>
      </c>
      <c r="L989" s="16">
        <v>441.0</v>
      </c>
      <c r="M989" s="16">
        <v>250.0</v>
      </c>
      <c r="N989" s="16">
        <v>14.0</v>
      </c>
      <c r="O989" s="17"/>
      <c r="P989" s="18">
        <v>39902.7469675926</v>
      </c>
      <c r="Q989" s="1" t="s">
        <v>4827</v>
      </c>
      <c r="R989" s="1" t="s">
        <v>4828</v>
      </c>
      <c r="S989" s="13" t="s">
        <v>4829</v>
      </c>
      <c r="T989" s="14"/>
      <c r="U989" s="19" t="str">
        <f>HYPERLINK("https://pbs.twimg.com/profile_images/1194715646292049920/ZGvY6fHT.jpg","View")</f>
        <v>View</v>
      </c>
      <c r="V989" s="14"/>
      <c r="W989" s="14"/>
      <c r="X989" s="14"/>
      <c r="Y989" s="14"/>
      <c r="Z989" s="14"/>
    </row>
    <row r="990">
      <c r="A990" s="11">
        <v>43846.49695601852</v>
      </c>
      <c r="B990" s="12" t="str">
        <f>HYPERLINK("https://twitter.com/ChronicPainAlly","@ChronicPainAlly")</f>
        <v>@ChronicPainAlly</v>
      </c>
      <c r="C990" s="1" t="s">
        <v>4830</v>
      </c>
      <c r="D990" s="1" t="s">
        <v>4831</v>
      </c>
      <c r="E990" s="12" t="str">
        <f>HYPERLINK("https://twitter.com/ChronicPainAlly/status/1217852919472627712","1217852919472627712")</f>
        <v>1217852919472627712</v>
      </c>
      <c r="F990" s="13" t="s">
        <v>4832</v>
      </c>
      <c r="G990" s="13" t="s">
        <v>4833</v>
      </c>
      <c r="H990" s="14"/>
      <c r="I990" s="15">
        <v>0.0</v>
      </c>
      <c r="J990" s="15">
        <v>1.0</v>
      </c>
      <c r="K990" s="12" t="str">
        <f>HYPERLINK("https://missinglettr.com","Missinglettr")</f>
        <v>Missinglettr</v>
      </c>
      <c r="L990" s="16">
        <v>2226.0</v>
      </c>
      <c r="M990" s="16">
        <v>3499.0</v>
      </c>
      <c r="N990" s="16">
        <v>36.0</v>
      </c>
      <c r="O990" s="17"/>
      <c r="P990" s="18">
        <v>42926.996041666665</v>
      </c>
      <c r="Q990" s="1" t="s">
        <v>1493</v>
      </c>
      <c r="R990" s="1" t="s">
        <v>4834</v>
      </c>
      <c r="S990" s="14"/>
      <c r="T990" s="14"/>
      <c r="U990" s="19" t="str">
        <f>HYPERLINK("https://pbs.twimg.com/profile_images/884626248487510016/Ar73oPlX.jpg","View")</f>
        <v>View</v>
      </c>
      <c r="V990" s="14"/>
      <c r="W990" s="14"/>
      <c r="X990" s="14"/>
      <c r="Y990" s="14"/>
      <c r="Z990" s="14"/>
    </row>
    <row r="991">
      <c r="A991" s="11">
        <v>43846.49663194444</v>
      </c>
      <c r="B991" s="12" t="str">
        <f>HYPERLINK("https://twitter.com/jackOHbudy","@jackOHbudy")</f>
        <v>@jackOHbudy</v>
      </c>
      <c r="C991" s="1" t="s">
        <v>4835</v>
      </c>
      <c r="D991" s="1" t="s">
        <v>4836</v>
      </c>
      <c r="E991" s="12" t="str">
        <f>HYPERLINK("https://twitter.com/jackOHbudy/status/1217852801184862208","1217852801184862208")</f>
        <v>1217852801184862208</v>
      </c>
      <c r="F991" s="13" t="s">
        <v>4837</v>
      </c>
      <c r="G991" s="13" t="s">
        <v>4838</v>
      </c>
      <c r="H991" s="14"/>
      <c r="I991" s="15">
        <v>0.0</v>
      </c>
      <c r="J991" s="15">
        <v>0.0</v>
      </c>
      <c r="K991" s="12" t="str">
        <f>HYPERLINK("https://socialportalpro.com","Social Tweeting")</f>
        <v>Social Tweeting</v>
      </c>
      <c r="L991" s="16">
        <v>45.0</v>
      </c>
      <c r="M991" s="16">
        <v>61.0</v>
      </c>
      <c r="N991" s="16">
        <v>1.0</v>
      </c>
      <c r="O991" s="17"/>
      <c r="P991" s="18">
        <v>42531.75702546297</v>
      </c>
      <c r="Q991" s="1" t="s">
        <v>4839</v>
      </c>
      <c r="R991" s="1" t="s">
        <v>4840</v>
      </c>
      <c r="S991" s="14"/>
      <c r="T991" s="14"/>
      <c r="U991" s="19" t="str">
        <f>HYPERLINK("https://pbs.twimg.com/profile_images/742788628284198912/oEaFnsMD.jpg","View")</f>
        <v>View</v>
      </c>
      <c r="V991" s="14"/>
      <c r="W991" s="14"/>
      <c r="X991" s="14"/>
      <c r="Y991" s="14"/>
      <c r="Z991" s="14"/>
    </row>
    <row r="992">
      <c r="A992" s="11">
        <v>43846.496562500004</v>
      </c>
      <c r="B992" s="12" t="str">
        <f>HYPERLINK("https://twitter.com/TWOsonsTOOmany","@TWOsonsTOOmany")</f>
        <v>@TWOsonsTOOmany</v>
      </c>
      <c r="C992" s="1" t="s">
        <v>4841</v>
      </c>
      <c r="D992" s="1" t="s">
        <v>4842</v>
      </c>
      <c r="E992" s="12" t="str">
        <f>HYPERLINK("https://twitter.com/TWOsonsTOOmany/status/1217852776413302785","1217852776413302785")</f>
        <v>1217852776413302785</v>
      </c>
      <c r="F992" s="13" t="s">
        <v>4843</v>
      </c>
      <c r="G992" s="13" t="s">
        <v>4844</v>
      </c>
      <c r="H992" s="14"/>
      <c r="I992" s="15">
        <v>4.0</v>
      </c>
      <c r="J992" s="15">
        <v>5.0</v>
      </c>
      <c r="K992" s="12" t="str">
        <f>HYPERLINK("https://allauthor.com","AllAuthor.com")</f>
        <v>AllAuthor.com</v>
      </c>
      <c r="L992" s="16">
        <v>11538.0</v>
      </c>
      <c r="M992" s="16">
        <v>12658.0</v>
      </c>
      <c r="N992" s="16">
        <v>247.0</v>
      </c>
      <c r="O992" s="17"/>
      <c r="P992" s="18">
        <v>40189.57734953704</v>
      </c>
      <c r="Q992" s="1" t="s">
        <v>4845</v>
      </c>
      <c r="R992" s="1" t="s">
        <v>4846</v>
      </c>
      <c r="S992" s="13" t="s">
        <v>4847</v>
      </c>
      <c r="T992" s="14"/>
      <c r="U992" s="19" t="str">
        <f>HYPERLINK("https://pbs.twimg.com/profile_images/1107404274378641409/y5vlv6x5.jpg","View")</f>
        <v>View</v>
      </c>
      <c r="V992" s="14"/>
      <c r="W992" s="14"/>
      <c r="X992" s="14"/>
      <c r="Y992" s="14"/>
      <c r="Z992" s="14"/>
    </row>
    <row r="993">
      <c r="A993" s="11">
        <v>43846.49655092593</v>
      </c>
      <c r="B993" s="12" t="str">
        <f>HYPERLINK("https://twitter.com/PAR_inc","@PAR_inc")</f>
        <v>@PAR_inc</v>
      </c>
      <c r="C993" s="1" t="s">
        <v>4848</v>
      </c>
      <c r="D993" s="1" t="s">
        <v>4849</v>
      </c>
      <c r="E993" s="12" t="str">
        <f>HYPERLINK("https://twitter.com/PAR_inc/status/1217852775285121025","1217852775285121025")</f>
        <v>1217852775285121025</v>
      </c>
      <c r="F993" s="13" t="s">
        <v>4850</v>
      </c>
      <c r="G993" s="13" t="s">
        <v>4851</v>
      </c>
      <c r="H993" s="14"/>
      <c r="I993" s="15">
        <v>0.0</v>
      </c>
      <c r="J993" s="15">
        <v>1.0</v>
      </c>
      <c r="K993" s="12" t="str">
        <f>HYPERLINK("https://buffer.com","Buffer")</f>
        <v>Buffer</v>
      </c>
      <c r="L993" s="16">
        <v>958.0</v>
      </c>
      <c r="M993" s="16">
        <v>794.0</v>
      </c>
      <c r="N993" s="16">
        <v>28.0</v>
      </c>
      <c r="O993" s="17"/>
      <c r="P993" s="18">
        <v>40155.66380787037</v>
      </c>
      <c r="Q993" s="1" t="s">
        <v>4852</v>
      </c>
      <c r="R993" s="1" t="s">
        <v>4853</v>
      </c>
      <c r="S993" s="13" t="s">
        <v>4854</v>
      </c>
      <c r="T993" s="14"/>
      <c r="U993" s="19" t="str">
        <f>HYPERLINK("https://pbs.twimg.com/profile_images/693090399875907584/hP498hnY.jpg","View")</f>
        <v>View</v>
      </c>
      <c r="V993" s="14"/>
      <c r="W993" s="14"/>
      <c r="X993" s="14"/>
      <c r="Y993" s="14"/>
      <c r="Z993" s="14"/>
    </row>
    <row r="994">
      <c r="A994" s="11">
        <v>43846.496342592596</v>
      </c>
      <c r="B994" s="12" t="str">
        <f>HYPERLINK("https://twitter.com/CenegenicsNY","@CenegenicsNY")</f>
        <v>@CenegenicsNY</v>
      </c>
      <c r="C994" s="1" t="s">
        <v>4855</v>
      </c>
      <c r="D994" s="1" t="s">
        <v>4856</v>
      </c>
      <c r="E994" s="12" t="str">
        <f>HYPERLINK("https://twitter.com/CenegenicsNY/status/1217852696474112000","1217852696474112000")</f>
        <v>1217852696474112000</v>
      </c>
      <c r="F994" s="13" t="s">
        <v>4821</v>
      </c>
      <c r="G994" s="14"/>
      <c r="H994" s="14"/>
      <c r="I994" s="15">
        <v>0.0</v>
      </c>
      <c r="J994" s="15">
        <v>0.0</v>
      </c>
      <c r="K994" s="12" t="str">
        <f>HYPERLINK("https://mobile.twitter.com","Twitter Web App")</f>
        <v>Twitter Web App</v>
      </c>
      <c r="L994" s="16">
        <v>551.0</v>
      </c>
      <c r="M994" s="16">
        <v>331.0</v>
      </c>
      <c r="N994" s="16">
        <v>4.0</v>
      </c>
      <c r="O994" s="17"/>
      <c r="P994" s="18">
        <v>41831.93556712963</v>
      </c>
      <c r="Q994" s="1" t="s">
        <v>4857</v>
      </c>
      <c r="R994" s="1" t="s">
        <v>4858</v>
      </c>
      <c r="S994" s="13" t="s">
        <v>4859</v>
      </c>
      <c r="T994" s="14"/>
      <c r="U994" s="19" t="str">
        <f>HYPERLINK("https://pbs.twimg.com/profile_images/487786784445579264/iJ_AEG49.jpeg","View")</f>
        <v>View</v>
      </c>
      <c r="V994" s="14"/>
      <c r="W994" s="14"/>
      <c r="X994" s="14"/>
      <c r="Y994" s="14"/>
      <c r="Z994" s="14"/>
    </row>
    <row r="995">
      <c r="A995" s="11">
        <v>43846.49197916666</v>
      </c>
      <c r="B995" s="12" t="str">
        <f>HYPERLINK("https://twitter.com/JulieBurkeWatts","@JulieBurkeWatts")</f>
        <v>@JulieBurkeWatts</v>
      </c>
      <c r="C995" s="1" t="s">
        <v>2863</v>
      </c>
      <c r="D995" s="1" t="s">
        <v>4860</v>
      </c>
      <c r="E995" s="12" t="str">
        <f>HYPERLINK("https://twitter.com/JulieBurkeWatts/status/1217851118006476801","1217851118006476801")</f>
        <v>1217851118006476801</v>
      </c>
      <c r="F995" s="1" t="s">
        <v>4861</v>
      </c>
      <c r="G995" s="14"/>
      <c r="H995" s="14"/>
      <c r="I995" s="15">
        <v>0.0</v>
      </c>
      <c r="J995" s="15">
        <v>1.0</v>
      </c>
      <c r="K995" s="12" t="str">
        <f>HYPERLINK("http://twitter.com/download/iphone","Twitter for iPhone")</f>
        <v>Twitter for iPhone</v>
      </c>
      <c r="L995" s="16">
        <v>1006.0</v>
      </c>
      <c r="M995" s="16">
        <v>4408.0</v>
      </c>
      <c r="N995" s="16">
        <v>23.0</v>
      </c>
      <c r="O995" s="17"/>
      <c r="P995" s="18">
        <v>41720.329039351855</v>
      </c>
      <c r="Q995" s="1" t="s">
        <v>268</v>
      </c>
      <c r="R995" s="1" t="s">
        <v>2866</v>
      </c>
      <c r="S995" s="13" t="s">
        <v>2867</v>
      </c>
      <c r="T995" s="14"/>
      <c r="U995" s="19" t="str">
        <f>HYPERLINK("https://pbs.twimg.com/profile_images/1185876004872564738/zBtBq_iB.jpg","View")</f>
        <v>View</v>
      </c>
      <c r="V995" s="14"/>
      <c r="W995" s="14"/>
      <c r="X995" s="14"/>
      <c r="Y995" s="14"/>
      <c r="Z995" s="14"/>
    </row>
    <row r="996">
      <c r="A996" s="11">
        <v>43846.49146990741</v>
      </c>
      <c r="B996" s="12" t="str">
        <f>HYPERLINK("https://twitter.com/CenegenicsPR","@CenegenicsPR")</f>
        <v>@CenegenicsPR</v>
      </c>
      <c r="C996" s="1" t="s">
        <v>4862</v>
      </c>
      <c r="D996" s="1" t="s">
        <v>4863</v>
      </c>
      <c r="E996" s="12" t="str">
        <f>HYPERLINK("https://twitter.com/CenegenicsPR/status/1217850930936283137","1217850930936283137")</f>
        <v>1217850930936283137</v>
      </c>
      <c r="F996" s="13" t="s">
        <v>4864</v>
      </c>
      <c r="G996" s="14"/>
      <c r="H996" s="14"/>
      <c r="I996" s="15">
        <v>0.0</v>
      </c>
      <c r="J996" s="15">
        <v>0.0</v>
      </c>
      <c r="K996" s="12" t="str">
        <f t="shared" ref="K996:K997" si="98">HYPERLINK("https://mobile.twitter.com","Twitter Web App")</f>
        <v>Twitter Web App</v>
      </c>
      <c r="L996" s="16">
        <v>35.0</v>
      </c>
      <c r="M996" s="16">
        <v>16.0</v>
      </c>
      <c r="N996" s="16">
        <v>0.0</v>
      </c>
      <c r="O996" s="17"/>
      <c r="P996" s="18">
        <v>43665.48317129629</v>
      </c>
      <c r="Q996" s="1" t="s">
        <v>4865</v>
      </c>
      <c r="R996" s="1" t="s">
        <v>4866</v>
      </c>
      <c r="S996" s="13" t="s">
        <v>4867</v>
      </c>
      <c r="T996" s="14"/>
      <c r="U996" s="19" t="str">
        <f>HYPERLINK("https://pbs.twimg.com/profile_images/1152240840292499457/HVmyqk4_.jpg","View")</f>
        <v>View</v>
      </c>
      <c r="V996" s="14"/>
      <c r="W996" s="14"/>
      <c r="X996" s="14"/>
      <c r="Y996" s="14"/>
      <c r="Z996" s="14"/>
    </row>
    <row r="997">
      <c r="A997" s="11">
        <v>43846.49016203704</v>
      </c>
      <c r="B997" s="12" t="str">
        <f>HYPERLINK("https://twitter.com/CenegenicsPhil","@CenegenicsPhil")</f>
        <v>@CenegenicsPhil</v>
      </c>
      <c r="C997" s="1" t="s">
        <v>4868</v>
      </c>
      <c r="D997" s="1" t="s">
        <v>4820</v>
      </c>
      <c r="E997" s="12" t="str">
        <f>HYPERLINK("https://twitter.com/CenegenicsPhil/status/1217850459148509196","1217850459148509196")</f>
        <v>1217850459148509196</v>
      </c>
      <c r="F997" s="13" t="s">
        <v>4821</v>
      </c>
      <c r="G997" s="14"/>
      <c r="H997" s="14"/>
      <c r="I997" s="15">
        <v>0.0</v>
      </c>
      <c r="J997" s="15">
        <v>0.0</v>
      </c>
      <c r="K997" s="12" t="str">
        <f t="shared" si="98"/>
        <v>Twitter Web App</v>
      </c>
      <c r="L997" s="16">
        <v>174.0</v>
      </c>
      <c r="M997" s="16">
        <v>104.0</v>
      </c>
      <c r="N997" s="16">
        <v>2.0</v>
      </c>
      <c r="O997" s="17"/>
      <c r="P997" s="18">
        <v>40701.53212962963</v>
      </c>
      <c r="Q997" s="1" t="s">
        <v>2015</v>
      </c>
      <c r="R997" s="1" t="s">
        <v>4869</v>
      </c>
      <c r="S997" s="13" t="s">
        <v>4870</v>
      </c>
      <c r="T997" s="14"/>
      <c r="U997" s="19" t="str">
        <f>HYPERLINK("https://pbs.twimg.com/profile_images/1147199327506276353/QN9CaGBA.jpg","View")</f>
        <v>View</v>
      </c>
      <c r="V997" s="14"/>
      <c r="W997" s="14"/>
      <c r="X997" s="14"/>
      <c r="Y997" s="14"/>
      <c r="Z997" s="14"/>
    </row>
    <row r="998">
      <c r="A998" s="11">
        <v>43846.486192129625</v>
      </c>
      <c r="B998" s="12" t="str">
        <f>HYPERLINK("https://twitter.com/HealthyandFitn6","@HealthyandFitn6")</f>
        <v>@HealthyandFitn6</v>
      </c>
      <c r="C998" s="1" t="s">
        <v>787</v>
      </c>
      <c r="D998" s="1" t="s">
        <v>788</v>
      </c>
      <c r="E998" s="12" t="str">
        <f>HYPERLINK("https://twitter.com/HealthyandFitn6/status/1217849020959404038","1217849020959404038")</f>
        <v>1217849020959404038</v>
      </c>
      <c r="F998" s="13" t="s">
        <v>789</v>
      </c>
      <c r="G998" s="13" t="s">
        <v>4871</v>
      </c>
      <c r="H998" s="14"/>
      <c r="I998" s="15">
        <v>0.0</v>
      </c>
      <c r="J998" s="15">
        <v>0.0</v>
      </c>
      <c r="K998" s="12" t="str">
        <f>HYPERLINK("https://crowdfireapp.com","Crowdfire App")</f>
        <v>Crowdfire App</v>
      </c>
      <c r="L998" s="16">
        <v>121.0</v>
      </c>
      <c r="M998" s="16">
        <v>51.0</v>
      </c>
      <c r="N998" s="16">
        <v>0.0</v>
      </c>
      <c r="O998" s="17"/>
      <c r="P998" s="18">
        <v>43752.99784722222</v>
      </c>
      <c r="Q998" s="14"/>
      <c r="R998" s="1" t="s">
        <v>791</v>
      </c>
      <c r="S998" s="13" t="s">
        <v>792</v>
      </c>
      <c r="T998" s="14"/>
      <c r="U998" s="19" t="str">
        <f>HYPERLINK("https://pbs.twimg.com/profile_images/1183954983550513152/LlRQvdFF.jpg","View")</f>
        <v>View</v>
      </c>
      <c r="V998" s="14"/>
      <c r="W998" s="14"/>
      <c r="X998" s="14"/>
      <c r="Y998" s="14"/>
      <c r="Z998" s="14"/>
    </row>
    <row r="999">
      <c r="A999" s="11">
        <v>43846.48337962963</v>
      </c>
      <c r="B999" s="12" t="str">
        <f>HYPERLINK("https://twitter.com/Amy4health","@Amy4health")</f>
        <v>@Amy4health</v>
      </c>
      <c r="C999" s="1" t="s">
        <v>4872</v>
      </c>
      <c r="D999" s="1" t="s">
        <v>4873</v>
      </c>
      <c r="E999" s="12" t="str">
        <f>HYPERLINK("https://twitter.com/Amy4health/status/1217847998929080320","1217847998929080320")</f>
        <v>1217847998929080320</v>
      </c>
      <c r="F999" s="13" t="s">
        <v>4874</v>
      </c>
      <c r="G999" s="13" t="s">
        <v>4875</v>
      </c>
      <c r="H999" s="14"/>
      <c r="I999" s="15">
        <v>0.0</v>
      </c>
      <c r="J999" s="15">
        <v>0.0</v>
      </c>
      <c r="K999" s="12" t="str">
        <f>HYPERLINK("https://panel.socialpilot.co/","SocialPilot.co")</f>
        <v>SocialPilot.co</v>
      </c>
      <c r="L999" s="16">
        <v>61.0</v>
      </c>
      <c r="M999" s="16">
        <v>180.0</v>
      </c>
      <c r="N999" s="16">
        <v>1.0</v>
      </c>
      <c r="O999" s="17"/>
      <c r="P999" s="18">
        <v>40055.83537037037</v>
      </c>
      <c r="Q999" s="1" t="s">
        <v>2546</v>
      </c>
      <c r="R999" s="14"/>
      <c r="S999" s="13" t="s">
        <v>4874</v>
      </c>
      <c r="T999" s="14"/>
      <c r="U999" s="19" t="str">
        <f>HYPERLINK("https://pbs.twimg.com/profile_images/1100207235123290113/yt4h3sJ2.png","View")</f>
        <v>View</v>
      </c>
      <c r="V999" s="14"/>
      <c r="W999" s="14"/>
      <c r="X999" s="14"/>
      <c r="Y999" s="14"/>
      <c r="Z999" s="14"/>
    </row>
    <row r="1000">
      <c r="A1000" s="11">
        <v>43846.48270833334</v>
      </c>
      <c r="B1000" s="12" t="str">
        <f>HYPERLINK("https://twitter.com/mrcounselling","@mrcounselling")</f>
        <v>@mrcounselling</v>
      </c>
      <c r="C1000" s="1" t="s">
        <v>4876</v>
      </c>
      <c r="D1000" s="1" t="s">
        <v>4877</v>
      </c>
      <c r="E1000" s="12" t="str">
        <f>HYPERLINK("https://twitter.com/mrcounselling/status/1217847757869920259","1217847757869920259")</f>
        <v>1217847757869920259</v>
      </c>
      <c r="F1000" s="13" t="s">
        <v>3740</v>
      </c>
      <c r="G1000" s="14"/>
      <c r="H1000" s="14"/>
      <c r="I1000" s="15">
        <v>0.0</v>
      </c>
      <c r="J1000" s="15">
        <v>2.0</v>
      </c>
      <c r="K1000" s="12" t="str">
        <f>HYPERLINK("https://mobile.twitter.com","Mobile Web (M2)")</f>
        <v>Mobile Web (M2)</v>
      </c>
      <c r="L1000" s="16">
        <v>4363.0</v>
      </c>
      <c r="M1000" s="16">
        <v>4996.0</v>
      </c>
      <c r="N1000" s="16">
        <v>164.0</v>
      </c>
      <c r="O1000" s="17"/>
      <c r="P1000" s="18">
        <v>41205.546053240745</v>
      </c>
      <c r="Q1000" s="1" t="s">
        <v>4878</v>
      </c>
      <c r="R1000" s="1" t="s">
        <v>4879</v>
      </c>
      <c r="S1000" s="13" t="s">
        <v>4880</v>
      </c>
      <c r="T1000" s="14"/>
      <c r="U1000" s="19" t="str">
        <f>HYPERLINK("https://pbs.twimg.com/profile_images/887703063418605568/pdCSEpAr.jpg","View")</f>
        <v>View</v>
      </c>
      <c r="V1000" s="14"/>
      <c r="W1000" s="14"/>
      <c r="X1000" s="14"/>
      <c r="Y1000" s="14"/>
      <c r="Z1000" s="14"/>
    </row>
    <row r="1001">
      <c r="A1001" s="11">
        <v>43846.48173611111</v>
      </c>
      <c r="B1001" s="12" t="str">
        <f>HYPERLINK("https://twitter.com/BryonyRowntree","@BryonyRowntree")</f>
        <v>@BryonyRowntree</v>
      </c>
      <c r="C1001" s="1" t="s">
        <v>4881</v>
      </c>
      <c r="D1001" s="1" t="s">
        <v>4882</v>
      </c>
      <c r="E1001" s="12" t="str">
        <f>HYPERLINK("https://twitter.com/BryonyRowntree/status/1217847406689165312","1217847406689165312")</f>
        <v>1217847406689165312</v>
      </c>
      <c r="F1001" s="13" t="s">
        <v>4883</v>
      </c>
      <c r="G1001" s="14"/>
      <c r="H1001" s="14"/>
      <c r="I1001" s="15">
        <v>0.0</v>
      </c>
      <c r="J1001" s="15">
        <v>0.0</v>
      </c>
      <c r="K1001" s="12" t="str">
        <f>HYPERLINK("http://twitter.com","Twitter Web Client")</f>
        <v>Twitter Web Client</v>
      </c>
      <c r="L1001" s="16">
        <v>86.0</v>
      </c>
      <c r="M1001" s="16">
        <v>324.0</v>
      </c>
      <c r="N1001" s="16">
        <v>0.0</v>
      </c>
      <c r="O1001" s="17"/>
      <c r="P1001" s="18">
        <v>43538.51420138888</v>
      </c>
      <c r="Q1001" s="1" t="s">
        <v>4884</v>
      </c>
      <c r="R1001" s="1" t="s">
        <v>4885</v>
      </c>
      <c r="S1001" s="13" t="s">
        <v>4886</v>
      </c>
      <c r="T1001" s="14"/>
      <c r="U1001" s="19" t="str">
        <f>HYPERLINK("https://pbs.twimg.com/profile_images/1186221528247132160/FavGOAZd.jpg","View")</f>
        <v>View</v>
      </c>
      <c r="V1001" s="14"/>
      <c r="W1001" s="14"/>
      <c r="X1001" s="14"/>
      <c r="Y1001" s="14"/>
      <c r="Z1001" s="14"/>
    </row>
    <row r="1002">
      <c r="A1002" s="11">
        <v>43846.481307870374</v>
      </c>
      <c r="B1002" s="12" t="str">
        <f>HYPERLINK("https://twitter.com/SensitiveRefuge","@SensitiveRefuge")</f>
        <v>@SensitiveRefuge</v>
      </c>
      <c r="C1002" s="1" t="s">
        <v>4887</v>
      </c>
      <c r="D1002" s="1" t="s">
        <v>4888</v>
      </c>
      <c r="E1002" s="12" t="str">
        <f>HYPERLINK("https://twitter.com/SensitiveRefuge/status/1217847248446480386","1217847248446480386")</f>
        <v>1217847248446480386</v>
      </c>
      <c r="F1002" s="13" t="s">
        <v>4889</v>
      </c>
      <c r="G1002" s="14"/>
      <c r="H1002" s="14"/>
      <c r="I1002" s="15">
        <v>0.0</v>
      </c>
      <c r="J1002" s="15">
        <v>2.0</v>
      </c>
      <c r="K1002" s="12" t="str">
        <f>HYPERLINK("https://coschedule.com","CoSchedule")</f>
        <v>CoSchedule</v>
      </c>
      <c r="L1002" s="16">
        <v>1849.0</v>
      </c>
      <c r="M1002" s="16">
        <v>10.0</v>
      </c>
      <c r="N1002" s="16">
        <v>31.0</v>
      </c>
      <c r="O1002" s="17"/>
      <c r="P1002" s="18">
        <v>43004.89800925926</v>
      </c>
      <c r="Q1002" s="14"/>
      <c r="R1002" s="1" t="s">
        <v>4890</v>
      </c>
      <c r="S1002" s="13" t="s">
        <v>4891</v>
      </c>
      <c r="T1002" s="14"/>
      <c r="U1002" s="19" t="str">
        <f>HYPERLINK("https://pbs.twimg.com/profile_images/986723204042579969/vRoipZsu.jpg","View")</f>
        <v>View</v>
      </c>
      <c r="V1002" s="14"/>
      <c r="W1002" s="14"/>
      <c r="X1002" s="14"/>
      <c r="Y1002" s="14"/>
      <c r="Z1002" s="14"/>
    </row>
    <row r="1003">
      <c r="A1003" s="11">
        <v>43846.47887731482</v>
      </c>
      <c r="B1003" s="12" t="str">
        <f>HYPERLINK("https://twitter.com/HarryStarkPhD","@HarryStarkPhD")</f>
        <v>@HarryStarkPhD</v>
      </c>
      <c r="C1003" s="1" t="s">
        <v>4892</v>
      </c>
      <c r="D1003" s="1" t="s">
        <v>4893</v>
      </c>
      <c r="E1003" s="12" t="str">
        <f>HYPERLINK("https://twitter.com/HarryStarkPhD/status/1217846368770785280","1217846368770785280")</f>
        <v>1217846368770785280</v>
      </c>
      <c r="F1003" s="13" t="s">
        <v>4894</v>
      </c>
      <c r="G1003" s="14"/>
      <c r="H1003" s="14"/>
      <c r="I1003" s="15">
        <v>0.0</v>
      </c>
      <c r="J1003" s="15">
        <v>0.0</v>
      </c>
      <c r="K1003" s="12" t="str">
        <f>HYPERLINK("http://twitter.com","Twitter Web Client")</f>
        <v>Twitter Web Client</v>
      </c>
      <c r="L1003" s="16">
        <v>586.0</v>
      </c>
      <c r="M1003" s="16">
        <v>766.0</v>
      </c>
      <c r="N1003" s="16">
        <v>0.0</v>
      </c>
      <c r="O1003" s="17"/>
      <c r="P1003" s="18">
        <v>40888.0522337963</v>
      </c>
      <c r="Q1003" s="1" t="s">
        <v>4895</v>
      </c>
      <c r="R1003" s="1" t="s">
        <v>4896</v>
      </c>
      <c r="S1003" s="14"/>
      <c r="T1003" s="14"/>
      <c r="U1003" s="19" t="str">
        <f>HYPERLINK("https://pbs.twimg.com/profile_images/1018969248993955841/RCTIP84Z.jpg","View")</f>
        <v>View</v>
      </c>
      <c r="V1003" s="14"/>
      <c r="W1003" s="14"/>
      <c r="X1003" s="14"/>
      <c r="Y1003" s="14"/>
      <c r="Z1003" s="14"/>
    </row>
    <row r="1004">
      <c r="A1004" s="11">
        <v>43846.476006944446</v>
      </c>
      <c r="B1004" s="12" t="str">
        <f>HYPERLINK("https://twitter.com/DSAmanda4","@DSAmanda4")</f>
        <v>@DSAmanda4</v>
      </c>
      <c r="C1004" s="1" t="s">
        <v>4897</v>
      </c>
      <c r="D1004" s="1" t="s">
        <v>4898</v>
      </c>
      <c r="E1004" s="12" t="str">
        <f>HYPERLINK("https://twitter.com/DSAmanda4/status/1217845330416410624","1217845330416410624")</f>
        <v>1217845330416410624</v>
      </c>
      <c r="F1004" s="14"/>
      <c r="G1004" s="14"/>
      <c r="H1004" s="14"/>
      <c r="I1004" s="15">
        <v>0.0</v>
      </c>
      <c r="J1004" s="15">
        <v>16.0</v>
      </c>
      <c r="K1004" s="12" t="str">
        <f>HYPERLINK("http://twitter.com/download/iphone","Twitter for iPhone")</f>
        <v>Twitter for iPhone</v>
      </c>
      <c r="L1004" s="16">
        <v>211.0</v>
      </c>
      <c r="M1004" s="16">
        <v>137.0</v>
      </c>
      <c r="N1004" s="16">
        <v>1.0</v>
      </c>
      <c r="O1004" s="17"/>
      <c r="P1004" s="18">
        <v>43588.621145833335</v>
      </c>
      <c r="Q1004" s="14"/>
      <c r="R1004" s="1" t="s">
        <v>4899</v>
      </c>
      <c r="S1004" s="14"/>
      <c r="T1004" s="14"/>
      <c r="U1004" s="19" t="str">
        <f>HYPERLINK("https://pbs.twimg.com/profile_images/1184929120414765056/kgHnsl5o.jpg","View")</f>
        <v>View</v>
      </c>
      <c r="V1004" s="14"/>
      <c r="W1004" s="14"/>
      <c r="X1004" s="14"/>
      <c r="Y1004" s="14"/>
      <c r="Z1004" s="14"/>
    </row>
    <row r="1005">
      <c r="A1005" s="11">
        <v>43846.47466435185</v>
      </c>
      <c r="B1005" s="12" t="str">
        <f>HYPERLINK("https://twitter.com/Nikki_Albert","@Nikki_Albert")</f>
        <v>@Nikki_Albert</v>
      </c>
      <c r="C1005" s="1" t="s">
        <v>705</v>
      </c>
      <c r="D1005" s="1" t="s">
        <v>4900</v>
      </c>
      <c r="E1005" s="12" t="str">
        <f>HYPERLINK("https://twitter.com/Nikki_Albert/status/1217844840479653888","1217844840479653888")</f>
        <v>1217844840479653888</v>
      </c>
      <c r="F1005" s="13" t="s">
        <v>707</v>
      </c>
      <c r="G1005" s="14"/>
      <c r="H1005" s="14"/>
      <c r="I1005" s="15">
        <v>1.0</v>
      </c>
      <c r="J1005" s="15">
        <v>3.0</v>
      </c>
      <c r="K1005" s="12" t="str">
        <f>HYPERLINK("http://twitter.com","Twitter Web Client")</f>
        <v>Twitter Web Client</v>
      </c>
      <c r="L1005" s="16">
        <v>2224.0</v>
      </c>
      <c r="M1005" s="16">
        <v>1703.0</v>
      </c>
      <c r="N1005" s="16">
        <v>111.0</v>
      </c>
      <c r="O1005" s="17"/>
      <c r="P1005" s="18">
        <v>41035.24144675926</v>
      </c>
      <c r="Q1005" s="1" t="s">
        <v>143</v>
      </c>
      <c r="R1005" s="1" t="s">
        <v>708</v>
      </c>
      <c r="S1005" s="13" t="s">
        <v>709</v>
      </c>
      <c r="T1005" s="14"/>
      <c r="U1005" s="19" t="str">
        <f>HYPERLINK("https://pbs.twimg.com/profile_images/1061668858782658560/PI34-UjF.jpg","View")</f>
        <v>View</v>
      </c>
      <c r="V1005" s="14"/>
      <c r="W1005" s="14"/>
      <c r="X1005" s="14"/>
      <c r="Y1005" s="14"/>
      <c r="Z1005" s="14"/>
    </row>
    <row r="1006">
      <c r="A1006" s="11">
        <v>43846.46890046296</v>
      </c>
      <c r="B1006" s="12" t="str">
        <f>HYPERLINK("https://twitter.com/VIKTRECareer","@VIKTRECareer")</f>
        <v>@VIKTRECareer</v>
      </c>
      <c r="C1006" s="1" t="s">
        <v>4901</v>
      </c>
      <c r="D1006" s="1" t="s">
        <v>4902</v>
      </c>
      <c r="E1006" s="12" t="str">
        <f>HYPERLINK("https://twitter.com/VIKTRECareer/status/1217842751343120386","1217842751343120386")</f>
        <v>1217842751343120386</v>
      </c>
      <c r="F1006" s="13" t="s">
        <v>4903</v>
      </c>
      <c r="G1006" s="13" t="s">
        <v>4904</v>
      </c>
      <c r="H1006" s="14"/>
      <c r="I1006" s="15">
        <v>0.0</v>
      </c>
      <c r="J1006" s="15">
        <v>1.0</v>
      </c>
      <c r="K1006" s="12" t="str">
        <f>HYPERLINK("https://buffer.com","Buffer")</f>
        <v>Buffer</v>
      </c>
      <c r="L1006" s="16">
        <v>2280.0</v>
      </c>
      <c r="M1006" s="16">
        <v>1901.0</v>
      </c>
      <c r="N1006" s="16">
        <v>53.0</v>
      </c>
      <c r="O1006" s="17"/>
      <c r="P1006" s="18">
        <v>42460.607581018514</v>
      </c>
      <c r="Q1006" s="1" t="s">
        <v>4905</v>
      </c>
      <c r="R1006" s="1" t="s">
        <v>4906</v>
      </c>
      <c r="S1006" s="13" t="s">
        <v>4907</v>
      </c>
      <c r="T1006" s="14"/>
      <c r="U1006" s="19" t="str">
        <f>HYPERLINK("https://pbs.twimg.com/profile_images/715608885911007232/jkopj_zA.jpg","View")</f>
        <v>View</v>
      </c>
      <c r="V1006" s="14"/>
      <c r="W1006" s="14"/>
      <c r="X1006" s="14"/>
      <c r="Y1006" s="14"/>
      <c r="Z1006" s="14"/>
    </row>
    <row r="1007">
      <c r="A1007" s="11">
        <v>43846.46628472222</v>
      </c>
      <c r="B1007" s="12" t="str">
        <f>HYPERLINK("https://twitter.com/nicestwitch1","@nicestwitch1")</f>
        <v>@nicestwitch1</v>
      </c>
      <c r="C1007" s="1" t="s">
        <v>4908</v>
      </c>
      <c r="D1007" s="1" t="s">
        <v>4909</v>
      </c>
      <c r="E1007" s="12" t="str">
        <f>HYPERLINK("https://twitter.com/nicestwitch1/status/1217841806567792640","1217841806567792640")</f>
        <v>1217841806567792640</v>
      </c>
      <c r="F1007" s="13" t="s">
        <v>4910</v>
      </c>
      <c r="G1007" s="14"/>
      <c r="H1007" s="14"/>
      <c r="I1007" s="15">
        <v>0.0</v>
      </c>
      <c r="J1007" s="15">
        <v>0.0</v>
      </c>
      <c r="K1007" s="12" t="str">
        <f t="shared" ref="K1007:K1008" si="99">HYPERLINK("https://mobile.twitter.com","Twitter Web App")</f>
        <v>Twitter Web App</v>
      </c>
      <c r="L1007" s="16">
        <v>156.0</v>
      </c>
      <c r="M1007" s="16">
        <v>245.0</v>
      </c>
      <c r="N1007" s="16">
        <v>0.0</v>
      </c>
      <c r="O1007" s="17"/>
      <c r="P1007" s="18">
        <v>43257.70671296296</v>
      </c>
      <c r="Q1007" s="1" t="s">
        <v>4911</v>
      </c>
      <c r="R1007" s="1" t="s">
        <v>4912</v>
      </c>
      <c r="S1007" s="14"/>
      <c r="T1007" s="14"/>
      <c r="U1007" s="19" t="str">
        <f>HYPERLINK("https://pbs.twimg.com/profile_images/1172806030432116742/yPHWZ0J6.jpg","View")</f>
        <v>View</v>
      </c>
      <c r="V1007" s="14"/>
      <c r="W1007" s="14"/>
      <c r="X1007" s="14"/>
      <c r="Y1007" s="14"/>
      <c r="Z1007" s="14"/>
    </row>
    <row r="1008">
      <c r="A1008" s="11">
        <v>43846.46393518518</v>
      </c>
      <c r="B1008" s="12" t="str">
        <f>HYPERLINK("https://twitter.com/tanveermunir","@tanveermunir")</f>
        <v>@tanveermunir</v>
      </c>
      <c r="C1008" s="1" t="s">
        <v>4913</v>
      </c>
      <c r="D1008" s="1" t="s">
        <v>4914</v>
      </c>
      <c r="E1008" s="12" t="str">
        <f>HYPERLINK("https://twitter.com/tanveermunir/status/1217840953878351875","1217840953878351875")</f>
        <v>1217840953878351875</v>
      </c>
      <c r="F1008" s="1" t="s">
        <v>4915</v>
      </c>
      <c r="G1008" s="14"/>
      <c r="H1008" s="14"/>
      <c r="I1008" s="15">
        <v>1.0</v>
      </c>
      <c r="J1008" s="15">
        <v>1.0</v>
      </c>
      <c r="K1008" s="12" t="str">
        <f t="shared" si="99"/>
        <v>Twitter Web App</v>
      </c>
      <c r="L1008" s="16">
        <v>3525.0</v>
      </c>
      <c r="M1008" s="16">
        <v>3711.0</v>
      </c>
      <c r="N1008" s="16">
        <v>42.0</v>
      </c>
      <c r="O1008" s="17"/>
      <c r="P1008" s="18">
        <v>40661.72230324074</v>
      </c>
      <c r="Q1008" s="1" t="s">
        <v>4916</v>
      </c>
      <c r="R1008" s="1" t="s">
        <v>4917</v>
      </c>
      <c r="S1008" s="14"/>
      <c r="T1008" s="14"/>
      <c r="U1008" s="19" t="str">
        <f>HYPERLINK("https://pbs.twimg.com/profile_images/560840269336039424/7O5QEFap.jpeg","View")</f>
        <v>View</v>
      </c>
      <c r="V1008" s="14"/>
      <c r="W1008" s="14"/>
      <c r="X1008" s="14"/>
      <c r="Y1008" s="14"/>
      <c r="Z1008" s="14"/>
    </row>
    <row r="1009">
      <c r="A1009" s="11">
        <v>43846.4619212963</v>
      </c>
      <c r="B1009" s="12" t="str">
        <f>HYPERLINK("https://twitter.com/CWPT_IAPT","@CWPT_IAPT")</f>
        <v>@CWPT_IAPT</v>
      </c>
      <c r="C1009" s="1" t="s">
        <v>4918</v>
      </c>
      <c r="D1009" s="1" t="s">
        <v>4919</v>
      </c>
      <c r="E1009" s="12" t="str">
        <f>HYPERLINK("https://twitter.com/CWPT_IAPT/status/1217840225449316354","1217840225449316354")</f>
        <v>1217840225449316354</v>
      </c>
      <c r="F1009" s="14"/>
      <c r="G1009" s="13" t="s">
        <v>4920</v>
      </c>
      <c r="H1009" s="14"/>
      <c r="I1009" s="15">
        <v>1.0</v>
      </c>
      <c r="J1009" s="15">
        <v>3.0</v>
      </c>
      <c r="K1009" s="12" t="str">
        <f t="shared" ref="K1009:K1010" si="100">HYPERLINK("https://www.hootsuite.com","Hootsuite Inc.")</f>
        <v>Hootsuite Inc.</v>
      </c>
      <c r="L1009" s="16">
        <v>1175.0</v>
      </c>
      <c r="M1009" s="16">
        <v>613.0</v>
      </c>
      <c r="N1009" s="16">
        <v>20.0</v>
      </c>
      <c r="O1009" s="17"/>
      <c r="P1009" s="18">
        <v>42045.493206018524</v>
      </c>
      <c r="Q1009" s="1" t="s">
        <v>4921</v>
      </c>
      <c r="R1009" s="1" t="s">
        <v>4922</v>
      </c>
      <c r="S1009" s="13" t="s">
        <v>4923</v>
      </c>
      <c r="T1009" s="14"/>
      <c r="U1009" s="19" t="str">
        <f>HYPERLINK("https://pbs.twimg.com/profile_images/935178425735831552/lzIFY9KR.jpg","View")</f>
        <v>View</v>
      </c>
      <c r="V1009" s="14"/>
      <c r="W1009" s="14"/>
      <c r="X1009" s="14"/>
      <c r="Y1009" s="14"/>
      <c r="Z1009" s="14"/>
    </row>
    <row r="1010">
      <c r="A1010" s="11">
        <v>43846.4619212963</v>
      </c>
      <c r="B1010" s="12" t="str">
        <f>HYPERLINK("https://twitter.com/PopResearchCtrs","@PopResearchCtrs")</f>
        <v>@PopResearchCtrs</v>
      </c>
      <c r="C1010" s="1" t="s">
        <v>4924</v>
      </c>
      <c r="D1010" s="1" t="s">
        <v>4925</v>
      </c>
      <c r="E1010" s="12" t="str">
        <f>HYPERLINK("https://twitter.com/PopResearchCtrs/status/1217840224325316609","1217840224325316609")</f>
        <v>1217840224325316609</v>
      </c>
      <c r="F1010" s="13" t="s">
        <v>4926</v>
      </c>
      <c r="G1010" s="14"/>
      <c r="H1010" s="14"/>
      <c r="I1010" s="15">
        <v>1.0</v>
      </c>
      <c r="J1010" s="15">
        <v>1.0</v>
      </c>
      <c r="K1010" s="12" t="str">
        <f t="shared" si="100"/>
        <v>Hootsuite Inc.</v>
      </c>
      <c r="L1010" s="16">
        <v>286.0</v>
      </c>
      <c r="M1010" s="16">
        <v>62.0</v>
      </c>
      <c r="N1010" s="16">
        <v>1.0</v>
      </c>
      <c r="O1010" s="17"/>
      <c r="P1010" s="18">
        <v>43585.447858796295</v>
      </c>
      <c r="Q1010" s="14"/>
      <c r="R1010" s="1" t="s">
        <v>4927</v>
      </c>
      <c r="S1010" s="13" t="s">
        <v>4928</v>
      </c>
      <c r="T1010" s="14"/>
      <c r="U1010" s="19" t="str">
        <f>HYPERLINK("https://pbs.twimg.com/profile_images/1123993440679866371/-hzP2-vd.png","View")</f>
        <v>View</v>
      </c>
      <c r="V1010" s="14"/>
      <c r="W1010" s="14"/>
      <c r="X1010" s="14"/>
      <c r="Y1010" s="14"/>
      <c r="Z1010" s="14"/>
    </row>
    <row r="1011">
      <c r="A1011" s="11">
        <v>43846.46045138889</v>
      </c>
      <c r="B1011" s="12" t="str">
        <f>HYPERLINK("https://twitter.com/PaulJerem","@PaulJerem")</f>
        <v>@PaulJerem</v>
      </c>
      <c r="C1011" s="1" t="s">
        <v>4929</v>
      </c>
      <c r="D1011" s="1" t="s">
        <v>4930</v>
      </c>
      <c r="E1011" s="12" t="str">
        <f>HYPERLINK("https://twitter.com/PaulJerem/status/1217839690277101570","1217839690277101570")</f>
        <v>1217839690277101570</v>
      </c>
      <c r="F1011" s="13" t="s">
        <v>4931</v>
      </c>
      <c r="G1011" s="13" t="s">
        <v>4932</v>
      </c>
      <c r="H1011" s="14"/>
      <c r="I1011" s="15">
        <v>1.0</v>
      </c>
      <c r="J1011" s="15">
        <v>2.0</v>
      </c>
      <c r="K1011" s="12" t="str">
        <f>HYPERLINK("https://buffer.com","Buffer")</f>
        <v>Buffer</v>
      </c>
      <c r="L1011" s="16">
        <v>224.0</v>
      </c>
      <c r="M1011" s="16">
        <v>332.0</v>
      </c>
      <c r="N1011" s="16">
        <v>2.0</v>
      </c>
      <c r="O1011" s="17"/>
      <c r="P1011" s="18">
        <v>41639.16957175926</v>
      </c>
      <c r="Q1011" s="14"/>
      <c r="R1011" s="1" t="s">
        <v>4933</v>
      </c>
      <c r="S1011" s="13" t="s">
        <v>4934</v>
      </c>
      <c r="T1011" s="14"/>
      <c r="U1011" s="19" t="str">
        <f>HYPERLINK("https://pbs.twimg.com/profile_images/1199113804002529280/r5ow6FD1.jpg","View")</f>
        <v>View</v>
      </c>
      <c r="V1011" s="14"/>
      <c r="W1011" s="14"/>
      <c r="X1011" s="14"/>
      <c r="Y1011" s="14"/>
      <c r="Z1011" s="14"/>
    </row>
    <row r="1012">
      <c r="A1012" s="11">
        <v>43846.45956018519</v>
      </c>
      <c r="B1012" s="12" t="str">
        <f>HYPERLINK("https://twitter.com/KettleSociety","@KettleSociety")</f>
        <v>@KettleSociety</v>
      </c>
      <c r="C1012" s="1" t="s">
        <v>4935</v>
      </c>
      <c r="D1012" s="1" t="s">
        <v>4936</v>
      </c>
      <c r="E1012" s="12" t="str">
        <f>HYPERLINK("https://twitter.com/KettleSociety/status/1217839367508590592","1217839367508590592")</f>
        <v>1217839367508590592</v>
      </c>
      <c r="F1012" s="13" t="s">
        <v>4937</v>
      </c>
      <c r="G1012" s="14"/>
      <c r="H1012" s="14"/>
      <c r="I1012" s="15">
        <v>0.0</v>
      </c>
      <c r="J1012" s="15">
        <v>0.0</v>
      </c>
      <c r="K1012" s="12" t="str">
        <f t="shared" ref="K1012:K1013" si="101">HYPERLINK("https://www.hootsuite.com","Hootsuite Inc.")</f>
        <v>Hootsuite Inc.</v>
      </c>
      <c r="L1012" s="16">
        <v>943.0</v>
      </c>
      <c r="M1012" s="16">
        <v>1044.0</v>
      </c>
      <c r="N1012" s="16">
        <v>21.0</v>
      </c>
      <c r="O1012" s="17"/>
      <c r="P1012" s="18">
        <v>42073.88133101852</v>
      </c>
      <c r="Q1012" s="1" t="s">
        <v>4938</v>
      </c>
      <c r="R1012" s="1" t="s">
        <v>4939</v>
      </c>
      <c r="S1012" s="13" t="s">
        <v>4940</v>
      </c>
      <c r="T1012" s="14"/>
      <c r="U1012" s="19" t="str">
        <f>HYPERLINK("https://pbs.twimg.com/profile_images/1215728620527738881/86fygjU0.jpg","View")</f>
        <v>View</v>
      </c>
      <c r="V1012" s="14"/>
      <c r="W1012" s="14"/>
      <c r="X1012" s="14"/>
      <c r="Y1012" s="14"/>
      <c r="Z1012" s="14"/>
    </row>
    <row r="1013">
      <c r="A1013" s="11">
        <v>43846.459375</v>
      </c>
      <c r="B1013" s="12" t="str">
        <f>HYPERLINK("https://twitter.com/docweighsin","@docweighsin")</f>
        <v>@docweighsin</v>
      </c>
      <c r="C1013" s="1" t="s">
        <v>4941</v>
      </c>
      <c r="D1013" s="1" t="s">
        <v>4942</v>
      </c>
      <c r="E1013" s="12" t="str">
        <f>HYPERLINK("https://twitter.com/docweighsin/status/1217839302962556928","1217839302962556928")</f>
        <v>1217839302962556928</v>
      </c>
      <c r="F1013" s="13" t="s">
        <v>4943</v>
      </c>
      <c r="G1013" s="13" t="s">
        <v>4944</v>
      </c>
      <c r="H1013" s="14"/>
      <c r="I1013" s="15">
        <v>0.0</v>
      </c>
      <c r="J1013" s="15">
        <v>1.0</v>
      </c>
      <c r="K1013" s="12" t="str">
        <f t="shared" si="101"/>
        <v>Hootsuite Inc.</v>
      </c>
      <c r="L1013" s="16">
        <v>29339.0</v>
      </c>
      <c r="M1013" s="16">
        <v>12043.0</v>
      </c>
      <c r="N1013" s="16">
        <v>1154.0</v>
      </c>
      <c r="O1013" s="17"/>
      <c r="P1013" s="18">
        <v>40370.9605787037</v>
      </c>
      <c r="Q1013" s="1" t="s">
        <v>1782</v>
      </c>
      <c r="R1013" s="1" t="s">
        <v>4945</v>
      </c>
      <c r="S1013" s="13" t="s">
        <v>4946</v>
      </c>
      <c r="T1013" s="14"/>
      <c r="U1013" s="19" t="str">
        <f>HYPERLINK("https://pbs.twimg.com/profile_images/738469375083053056/OpR72fYy.jpg","View")</f>
        <v>View</v>
      </c>
      <c r="V1013" s="14"/>
      <c r="W1013" s="14"/>
      <c r="X1013" s="14"/>
      <c r="Y1013" s="14"/>
      <c r="Z1013" s="14"/>
    </row>
    <row r="1014">
      <c r="A1014" s="11">
        <v>43846.459074074075</v>
      </c>
      <c r="B1014" s="12" t="str">
        <f>HYPERLINK("https://twitter.com/neuroflowlive","@neuroflowlive")</f>
        <v>@neuroflowlive</v>
      </c>
      <c r="C1014" s="1" t="s">
        <v>2288</v>
      </c>
      <c r="D1014" s="1" t="s">
        <v>4947</v>
      </c>
      <c r="E1014" s="12" t="str">
        <f>HYPERLINK("https://twitter.com/neuroflowlive/status/1217839192329392134","1217839192329392134")</f>
        <v>1217839192329392134</v>
      </c>
      <c r="F1014" s="13" t="s">
        <v>4948</v>
      </c>
      <c r="G1014" s="14"/>
      <c r="H1014" s="14"/>
      <c r="I1014" s="15">
        <v>0.0</v>
      </c>
      <c r="J1014" s="15">
        <v>0.0</v>
      </c>
      <c r="K1014" s="12" t="str">
        <f>HYPERLINK("http://www.hubspot.com/","HubSpot")</f>
        <v>HubSpot</v>
      </c>
      <c r="L1014" s="16">
        <v>888.0</v>
      </c>
      <c r="M1014" s="16">
        <v>1447.0</v>
      </c>
      <c r="N1014" s="16">
        <v>16.0</v>
      </c>
      <c r="O1014" s="17"/>
      <c r="P1014" s="18">
        <v>42802.66462962963</v>
      </c>
      <c r="Q1014" s="1" t="s">
        <v>2015</v>
      </c>
      <c r="R1014" s="1" t="s">
        <v>2291</v>
      </c>
      <c r="S1014" s="13" t="s">
        <v>2292</v>
      </c>
      <c r="T1014" s="14"/>
      <c r="U1014" s="19" t="str">
        <f>HYPERLINK("https://pbs.twimg.com/profile_images/1048386258378973184/mkvdztzj.jpg","View")</f>
        <v>View</v>
      </c>
      <c r="V1014" s="14"/>
      <c r="W1014" s="14"/>
      <c r="X1014" s="14"/>
      <c r="Y1014" s="14"/>
      <c r="Z1014" s="14"/>
    </row>
    <row r="1015">
      <c r="A1015" s="11">
        <v>43846.45893518519</v>
      </c>
      <c r="B1015" s="12" t="str">
        <f>HYPERLINK("https://twitter.com/Wacky_Dai","@Wacky_Dai")</f>
        <v>@Wacky_Dai</v>
      </c>
      <c r="C1015" s="1" t="s">
        <v>4949</v>
      </c>
      <c r="D1015" s="1" t="s">
        <v>4950</v>
      </c>
      <c r="E1015" s="12" t="str">
        <f>HYPERLINK("https://twitter.com/Wacky_Dai/status/1217839141985169409","1217839141985169409")</f>
        <v>1217839141985169409</v>
      </c>
      <c r="F1015" s="13" t="s">
        <v>4951</v>
      </c>
      <c r="G1015" s="13" t="s">
        <v>4952</v>
      </c>
      <c r="H1015" s="14"/>
      <c r="I1015" s="15">
        <v>1.0</v>
      </c>
      <c r="J1015" s="15">
        <v>1.0</v>
      </c>
      <c r="K1015" s="12" t="str">
        <f>HYPERLINK("https://mobile.twitter.com","Twitter Web App")</f>
        <v>Twitter Web App</v>
      </c>
      <c r="L1015" s="16">
        <v>37.0</v>
      </c>
      <c r="M1015" s="16">
        <v>59.0</v>
      </c>
      <c r="N1015" s="16">
        <v>0.0</v>
      </c>
      <c r="O1015" s="17"/>
      <c r="P1015" s="18">
        <v>43516.61409722222</v>
      </c>
      <c r="Q1015" s="1" t="s">
        <v>4953</v>
      </c>
      <c r="R1015" s="1" t="s">
        <v>4954</v>
      </c>
      <c r="S1015" s="13" t="s">
        <v>4955</v>
      </c>
      <c r="T1015" s="14"/>
      <c r="U1015" s="19" t="str">
        <f>HYPERLINK("https://pbs.twimg.com/profile_images/1098308254659215366/1bbWKuxP.jpg","View")</f>
        <v>View</v>
      </c>
      <c r="V1015" s="14"/>
      <c r="W1015" s="14"/>
      <c r="X1015" s="14"/>
      <c r="Y1015" s="14"/>
      <c r="Z1015" s="14"/>
    </row>
    <row r="1016">
      <c r="A1016" s="11">
        <v>43846.458657407406</v>
      </c>
      <c r="B1016" s="12" t="str">
        <f>HYPERLINK("https://twitter.com/IreneFenswick","@IreneFenswick")</f>
        <v>@IreneFenswick</v>
      </c>
      <c r="C1016" s="1" t="s">
        <v>4956</v>
      </c>
      <c r="D1016" s="1" t="s">
        <v>4957</v>
      </c>
      <c r="E1016" s="12" t="str">
        <f>HYPERLINK("https://twitter.com/IreneFenswick/status/1217839042726977536","1217839042726977536")</f>
        <v>1217839042726977536</v>
      </c>
      <c r="F1016" s="13" t="s">
        <v>4958</v>
      </c>
      <c r="G1016" s="14"/>
      <c r="H1016" s="14"/>
      <c r="I1016" s="15">
        <v>0.0</v>
      </c>
      <c r="J1016" s="15">
        <v>0.0</v>
      </c>
      <c r="K1016" s="12" t="str">
        <f>HYPERLINK("https://buffer.com","Buffer")</f>
        <v>Buffer</v>
      </c>
      <c r="L1016" s="16">
        <v>950.0</v>
      </c>
      <c r="M1016" s="16">
        <v>969.0</v>
      </c>
      <c r="N1016" s="16">
        <v>29.0</v>
      </c>
      <c r="O1016" s="17"/>
      <c r="P1016" s="18">
        <v>42430.6375</v>
      </c>
      <c r="Q1016" s="1" t="s">
        <v>4959</v>
      </c>
      <c r="R1016" s="1" t="s">
        <v>4960</v>
      </c>
      <c r="S1016" s="13" t="s">
        <v>4961</v>
      </c>
      <c r="T1016" s="14"/>
      <c r="U1016" s="19" t="str">
        <f>HYPERLINK("https://pbs.twimg.com/profile_images/705438630504890369/LkNN3S45.jpg","View")</f>
        <v>View</v>
      </c>
      <c r="V1016" s="14"/>
      <c r="W1016" s="14"/>
      <c r="X1016" s="14"/>
      <c r="Y1016" s="14"/>
      <c r="Z1016" s="14"/>
    </row>
    <row r="1017">
      <c r="A1017" s="11">
        <v>43846.45846064815</v>
      </c>
      <c r="B1017" s="12" t="str">
        <f>HYPERLINK("https://twitter.com/CoupleTherapyUK","@CoupleTherapyUK")</f>
        <v>@CoupleTherapyUK</v>
      </c>
      <c r="C1017" s="1" t="s">
        <v>4962</v>
      </c>
      <c r="D1017" s="1" t="s">
        <v>4963</v>
      </c>
      <c r="E1017" s="12" t="str">
        <f>HYPERLINK("https://twitter.com/CoupleTherapyUK/status/1217838970572132352","1217838970572132352")</f>
        <v>1217838970572132352</v>
      </c>
      <c r="F1017" s="14"/>
      <c r="G1017" s="13" t="s">
        <v>4964</v>
      </c>
      <c r="H1017" s="14"/>
      <c r="I1017" s="15">
        <v>0.0</v>
      </c>
      <c r="J1017" s="15">
        <v>0.0</v>
      </c>
      <c r="K1017" s="12" t="str">
        <f>HYPERLINK("https://social.zoho.com","Zoho Social")</f>
        <v>Zoho Social</v>
      </c>
      <c r="L1017" s="16">
        <v>22.0</v>
      </c>
      <c r="M1017" s="16">
        <v>203.0</v>
      </c>
      <c r="N1017" s="16">
        <v>0.0</v>
      </c>
      <c r="O1017" s="17"/>
      <c r="P1017" s="18">
        <v>43640.4740625</v>
      </c>
      <c r="Q1017" s="1" t="s">
        <v>1255</v>
      </c>
      <c r="R1017" s="1" t="s">
        <v>4965</v>
      </c>
      <c r="S1017" s="13" t="s">
        <v>4966</v>
      </c>
      <c r="T1017" s="14"/>
      <c r="U1017" s="19" t="str">
        <f>HYPERLINK("https://pbs.twimg.com/profile_images/1143466942667415557/YrUm4kw7.png","View")</f>
        <v>View</v>
      </c>
      <c r="V1017" s="14"/>
      <c r="W1017" s="14"/>
      <c r="X1017" s="14"/>
      <c r="Y1017" s="14"/>
      <c r="Z1017" s="14"/>
    </row>
    <row r="1018">
      <c r="A1018" s="11">
        <v>43846.458449074074</v>
      </c>
      <c r="B1018" s="12" t="str">
        <f>HYPERLINK("https://twitter.com/waysforstress","@waysforstress")</f>
        <v>@waysforstress</v>
      </c>
      <c r="C1018" s="1" t="s">
        <v>3644</v>
      </c>
      <c r="D1018" s="1" t="s">
        <v>4967</v>
      </c>
      <c r="E1018" s="12" t="str">
        <f>HYPERLINK("https://twitter.com/waysforstress/status/1217838967149690880","1217838967149690880")</f>
        <v>1217838967149690880</v>
      </c>
      <c r="F1018" s="13" t="s">
        <v>4968</v>
      </c>
      <c r="G1018" s="14"/>
      <c r="H1018" s="14"/>
      <c r="I1018" s="15">
        <v>0.0</v>
      </c>
      <c r="J1018" s="15">
        <v>1.0</v>
      </c>
      <c r="K1018" s="12" t="str">
        <f>HYPERLINK("https://trystressmanagement.com","Tweet Machine 2.0")</f>
        <v>Tweet Machine 2.0</v>
      </c>
      <c r="L1018" s="16">
        <v>2956.0</v>
      </c>
      <c r="M1018" s="16">
        <v>5001.0</v>
      </c>
      <c r="N1018" s="16">
        <v>24.0</v>
      </c>
      <c r="O1018" s="17"/>
      <c r="P1018" s="18">
        <v>42672.99115740741</v>
      </c>
      <c r="Q1018" s="14"/>
      <c r="R1018" s="1" t="s">
        <v>3647</v>
      </c>
      <c r="S1018" s="13" t="s">
        <v>3648</v>
      </c>
      <c r="T1018" s="14"/>
      <c r="U1018" s="19" t="str">
        <f>HYPERLINK("https://pbs.twimg.com/profile_images/914712281300242432/BbTtPiIn.jpg","View")</f>
        <v>View</v>
      </c>
      <c r="V1018" s="14"/>
      <c r="W1018" s="14"/>
      <c r="X1018" s="14"/>
      <c r="Y1018" s="14"/>
      <c r="Z1018" s="14"/>
    </row>
    <row r="1019">
      <c r="A1019" s="11">
        <v>43846.45696759259</v>
      </c>
      <c r="B1019" s="12" t="str">
        <f>HYPERLINK("https://twitter.com/DebiGoldben","@DebiGoldben")</f>
        <v>@DebiGoldben</v>
      </c>
      <c r="C1019" s="1" t="s">
        <v>2400</v>
      </c>
      <c r="D1019" s="1" t="s">
        <v>4969</v>
      </c>
      <c r="E1019" s="12" t="str">
        <f>HYPERLINK("https://twitter.com/DebiGoldben/status/1217838430887055363","1217838430887055363")</f>
        <v>1217838430887055363</v>
      </c>
      <c r="F1019" s="14"/>
      <c r="G1019" s="13" t="s">
        <v>4970</v>
      </c>
      <c r="H1019" s="14"/>
      <c r="I1019" s="15">
        <v>0.0</v>
      </c>
      <c r="J1019" s="15">
        <v>1.0</v>
      </c>
      <c r="K1019" s="12" t="str">
        <f>HYPERLINK("https://buffer.com","Buffer")</f>
        <v>Buffer</v>
      </c>
      <c r="L1019" s="16">
        <v>52.0</v>
      </c>
      <c r="M1019" s="16">
        <v>36.0</v>
      </c>
      <c r="N1019" s="16">
        <v>0.0</v>
      </c>
      <c r="O1019" s="17"/>
      <c r="P1019" s="18">
        <v>40662.70064814815</v>
      </c>
      <c r="Q1019" s="1" t="s">
        <v>2404</v>
      </c>
      <c r="R1019" s="1" t="s">
        <v>2405</v>
      </c>
      <c r="S1019" s="13" t="s">
        <v>2406</v>
      </c>
      <c r="T1019" s="14"/>
      <c r="U1019" s="19" t="str">
        <f>HYPERLINK("https://pbs.twimg.com/profile_images/1347811086/IMG_2238.JPG","View")</f>
        <v>View</v>
      </c>
      <c r="V1019" s="14"/>
      <c r="W1019" s="14"/>
      <c r="X1019" s="14"/>
      <c r="Y1019" s="14"/>
      <c r="Z1019" s="14"/>
    </row>
    <row r="1020">
      <c r="A1020" s="11">
        <v>43846.45596064815</v>
      </c>
      <c r="B1020" s="12" t="str">
        <f>HYPERLINK("https://twitter.com/enaumovski","@enaumovski")</f>
        <v>@enaumovski</v>
      </c>
      <c r="C1020" s="1" t="s">
        <v>4971</v>
      </c>
      <c r="D1020" s="1" t="s">
        <v>4972</v>
      </c>
      <c r="E1020" s="12" t="str">
        <f>HYPERLINK("https://twitter.com/enaumovski/status/1217838063331823617","1217838063331823617")</f>
        <v>1217838063331823617</v>
      </c>
      <c r="F1020" s="13" t="s">
        <v>4973</v>
      </c>
      <c r="G1020" s="14"/>
      <c r="H1020" s="14"/>
      <c r="I1020" s="15">
        <v>1.0</v>
      </c>
      <c r="J1020" s="15">
        <v>7.0</v>
      </c>
      <c r="K1020" s="12" t="str">
        <f>HYPERLINK("http://twitter.com/download/android","Twitter for Android")</f>
        <v>Twitter for Android</v>
      </c>
      <c r="L1020" s="16">
        <v>772.0</v>
      </c>
      <c r="M1020" s="16">
        <v>648.0</v>
      </c>
      <c r="N1020" s="16">
        <v>21.0</v>
      </c>
      <c r="O1020" s="17"/>
      <c r="P1020" s="18">
        <v>41410.68</v>
      </c>
      <c r="Q1020" s="1" t="s">
        <v>727</v>
      </c>
      <c r="R1020" s="1" t="s">
        <v>4974</v>
      </c>
      <c r="S1020" s="14"/>
      <c r="T1020" s="14"/>
      <c r="U1020" s="19" t="str">
        <f>HYPERLINK("https://pbs.twimg.com/profile_images/1118967103514656768/zZT6tWfR.jpg","View")</f>
        <v>View</v>
      </c>
      <c r="V1020" s="14"/>
      <c r="W1020" s="14"/>
      <c r="X1020" s="14"/>
      <c r="Y1020" s="14"/>
      <c r="Z1020" s="14"/>
    </row>
    <row r="1021">
      <c r="A1021" s="11">
        <v>43846.45486111111</v>
      </c>
      <c r="B1021" s="12" t="str">
        <f>HYPERLINK("https://twitter.com/juicepluspaigep","@juicepluspaigep")</f>
        <v>@juicepluspaigep</v>
      </c>
      <c r="C1021" s="1" t="s">
        <v>4975</v>
      </c>
      <c r="D1021" s="1" t="s">
        <v>4976</v>
      </c>
      <c r="E1021" s="12" t="str">
        <f>HYPERLINK("https://twitter.com/juicepluspaigep/status/1217837666093367296","1217837666093367296")</f>
        <v>1217837666093367296</v>
      </c>
      <c r="F1021" s="14"/>
      <c r="G1021" s="14"/>
      <c r="H1021" s="14"/>
      <c r="I1021" s="15">
        <v>0.0</v>
      </c>
      <c r="J1021" s="15">
        <v>0.0</v>
      </c>
      <c r="K1021" s="12" t="str">
        <f>HYPERLINK("http://www.edgetheory.com","EdgeTheory")</f>
        <v>EdgeTheory</v>
      </c>
      <c r="L1021" s="16">
        <v>45.0</v>
      </c>
      <c r="M1021" s="16">
        <v>54.0</v>
      </c>
      <c r="N1021" s="16">
        <v>11.0</v>
      </c>
      <c r="O1021" s="17"/>
      <c r="P1021" s="18">
        <v>42703.648148148146</v>
      </c>
      <c r="Q1021" s="1" t="s">
        <v>226</v>
      </c>
      <c r="R1021" s="1" t="s">
        <v>4977</v>
      </c>
      <c r="S1021" s="14"/>
      <c r="T1021" s="14"/>
      <c r="U1021" s="19" t="str">
        <f>HYPERLINK("https://pbs.twimg.com/profile_images/803767929452056576/9NlzbPCH.jpg","View")</f>
        <v>View</v>
      </c>
      <c r="V1021" s="14"/>
      <c r="W1021" s="14"/>
      <c r="X1021" s="14"/>
      <c r="Y1021" s="14"/>
      <c r="Z1021" s="14"/>
    </row>
    <row r="1022">
      <c r="A1022" s="11">
        <v>43846.45479166666</v>
      </c>
      <c r="B1022" s="12" t="str">
        <f>HYPERLINK("https://twitter.com/prestonedu1","@prestonedu1")</f>
        <v>@prestonedu1</v>
      </c>
      <c r="C1022" s="1" t="s">
        <v>4978</v>
      </c>
      <c r="D1022" s="1" t="s">
        <v>4979</v>
      </c>
      <c r="E1022" s="12" t="str">
        <f>HYPERLINK("https://twitter.com/prestonedu1/status/1217837642487717890","1217837642487717890")</f>
        <v>1217837642487717890</v>
      </c>
      <c r="F1022" s="13" t="s">
        <v>4980</v>
      </c>
      <c r="G1022" s="14"/>
      <c r="H1022" s="14"/>
      <c r="I1022" s="15">
        <v>0.0</v>
      </c>
      <c r="J1022" s="15">
        <v>1.0</v>
      </c>
      <c r="K1022" s="12" t="str">
        <f>HYPERLINK("https://mobile.twitter.com","Twitter Web App")</f>
        <v>Twitter Web App</v>
      </c>
      <c r="L1022" s="16">
        <v>1758.0</v>
      </c>
      <c r="M1022" s="16">
        <v>1230.0</v>
      </c>
      <c r="N1022" s="16">
        <v>60.0</v>
      </c>
      <c r="O1022" s="17"/>
      <c r="P1022" s="18">
        <v>41029.63736111111</v>
      </c>
      <c r="Q1022" s="1" t="s">
        <v>4981</v>
      </c>
      <c r="R1022" s="1" t="s">
        <v>4982</v>
      </c>
      <c r="S1022" s="13" t="s">
        <v>4983</v>
      </c>
      <c r="T1022" s="14"/>
      <c r="U1022" s="19" t="str">
        <f>HYPERLINK("https://pbs.twimg.com/profile_images/2179442039/161819_1595724897_443332_n.jpg","View")</f>
        <v>View</v>
      </c>
      <c r="V1022" s="14"/>
      <c r="W1022" s="14"/>
      <c r="X1022" s="14"/>
      <c r="Y1022" s="14"/>
      <c r="Z1022" s="14"/>
    </row>
    <row r="1023">
      <c r="A1023" s="11">
        <v>43846.45333333334</v>
      </c>
      <c r="B1023" s="12" t="str">
        <f>HYPERLINK("https://twitter.com/Smithyshere","@Smithyshere")</f>
        <v>@Smithyshere</v>
      </c>
      <c r="C1023" s="1" t="s">
        <v>4984</v>
      </c>
      <c r="D1023" s="1" t="s">
        <v>4985</v>
      </c>
      <c r="E1023" s="12" t="str">
        <f>HYPERLINK("https://twitter.com/Smithyshere/status/1217837112600551424","1217837112600551424")</f>
        <v>1217837112600551424</v>
      </c>
      <c r="F1023" s="14"/>
      <c r="G1023" s="13" t="s">
        <v>4986</v>
      </c>
      <c r="H1023" s="14"/>
      <c r="I1023" s="15">
        <v>1.0</v>
      </c>
      <c r="J1023" s="15">
        <v>1.0</v>
      </c>
      <c r="K1023" s="12" t="str">
        <f>HYPERLINK("http://twitter.com/download/iphone","Twitter for iPhone")</f>
        <v>Twitter for iPhone</v>
      </c>
      <c r="L1023" s="16">
        <v>2847.0</v>
      </c>
      <c r="M1023" s="16">
        <v>3015.0</v>
      </c>
      <c r="N1023" s="16">
        <v>79.0</v>
      </c>
      <c r="O1023" s="17"/>
      <c r="P1023" s="18">
        <v>40318.24689814815</v>
      </c>
      <c r="Q1023" s="1" t="s">
        <v>975</v>
      </c>
      <c r="R1023" s="1" t="s">
        <v>4987</v>
      </c>
      <c r="S1023" s="14"/>
      <c r="T1023" s="14"/>
      <c r="U1023" s="19" t="str">
        <f>HYPERLINK("https://pbs.twimg.com/profile_images/3091073336/3d89e6c47ee96a0810d49000eac3fc58.jpeg","View")</f>
        <v>View</v>
      </c>
      <c r="V1023" s="14"/>
      <c r="W1023" s="14"/>
      <c r="X1023" s="14"/>
      <c r="Y1023" s="14"/>
      <c r="Z1023" s="14"/>
    </row>
    <row r="1024">
      <c r="A1024" s="11">
        <v>43846.45280092592</v>
      </c>
      <c r="B1024" s="12" t="str">
        <f>HYPERLINK("https://twitter.com/bibelot1","@bibelot1")</f>
        <v>@bibelot1</v>
      </c>
      <c r="C1024" s="1" t="s">
        <v>4988</v>
      </c>
      <c r="D1024" s="1" t="s">
        <v>4989</v>
      </c>
      <c r="E1024" s="12" t="str">
        <f>HYPERLINK("https://twitter.com/bibelot1/status/1217836919507292161","1217836919507292161")</f>
        <v>1217836919507292161</v>
      </c>
      <c r="F1024" s="13" t="s">
        <v>4990</v>
      </c>
      <c r="G1024" s="13" t="s">
        <v>4991</v>
      </c>
      <c r="H1024" s="14"/>
      <c r="I1024" s="15">
        <v>0.0</v>
      </c>
      <c r="J1024" s="15">
        <v>0.0</v>
      </c>
      <c r="K1024" s="12" t="str">
        <f>HYPERLINK("https://buffer.com","Buffer")</f>
        <v>Buffer</v>
      </c>
      <c r="L1024" s="16">
        <v>109.0</v>
      </c>
      <c r="M1024" s="16">
        <v>85.0</v>
      </c>
      <c r="N1024" s="16">
        <v>7.0</v>
      </c>
      <c r="O1024" s="17"/>
      <c r="P1024" s="18">
        <v>39860.79771990741</v>
      </c>
      <c r="Q1024" s="1" t="s">
        <v>4992</v>
      </c>
      <c r="R1024" s="1" t="s">
        <v>4993</v>
      </c>
      <c r="S1024" s="13" t="s">
        <v>4994</v>
      </c>
      <c r="T1024" s="14"/>
      <c r="U1024" s="19" t="str">
        <f>HYPERLINK("https://pbs.twimg.com/profile_images/1122330718237941760/j8HxEOUr.png","View")</f>
        <v>View</v>
      </c>
      <c r="V1024" s="14"/>
      <c r="W1024" s="14"/>
      <c r="X1024" s="14"/>
      <c r="Y1024" s="14"/>
      <c r="Z1024" s="14"/>
    </row>
    <row r="1025">
      <c r="A1025" s="11">
        <v>43846.452060185184</v>
      </c>
      <c r="B1025" s="12" t="str">
        <f>HYPERLINK("https://twitter.com/KaoriShinchi","@KaoriShinchi")</f>
        <v>@KaoriShinchi</v>
      </c>
      <c r="C1025" s="1" t="s">
        <v>4995</v>
      </c>
      <c r="D1025" s="1" t="s">
        <v>4996</v>
      </c>
      <c r="E1025" s="12" t="str">
        <f>HYPERLINK("https://twitter.com/KaoriShinchi/status/1217836651575009280","1217836651575009280")</f>
        <v>1217836651575009280</v>
      </c>
      <c r="F1025" s="14"/>
      <c r="G1025" s="14"/>
      <c r="H1025" s="14"/>
      <c r="I1025" s="15">
        <v>0.0</v>
      </c>
      <c r="J1025" s="15">
        <v>0.0</v>
      </c>
      <c r="K1025" s="12" t="str">
        <f>HYPERLINK("http://twitter.com/download/android","Twitter for Android")</f>
        <v>Twitter for Android</v>
      </c>
      <c r="L1025" s="16">
        <v>32.0</v>
      </c>
      <c r="M1025" s="16">
        <v>58.0</v>
      </c>
      <c r="N1025" s="16">
        <v>0.0</v>
      </c>
      <c r="O1025" s="17"/>
      <c r="P1025" s="18">
        <v>43786.05247685185</v>
      </c>
      <c r="Q1025" s="1" t="s">
        <v>4997</v>
      </c>
      <c r="R1025" s="1" t="s">
        <v>4998</v>
      </c>
      <c r="S1025" s="14"/>
      <c r="T1025" s="14"/>
      <c r="U1025" s="19" t="str">
        <f>HYPERLINK("https://pbs.twimg.com/profile_images/1196401456196153346/WBzt4gvK.jpg","View")</f>
        <v>View</v>
      </c>
      <c r="V1025" s="14"/>
      <c r="W1025" s="14"/>
      <c r="X1025" s="14"/>
      <c r="Y1025" s="14"/>
      <c r="Z1025" s="14"/>
    </row>
    <row r="1026">
      <c r="A1026" s="11">
        <v>43846.45018518518</v>
      </c>
      <c r="B1026" s="12" t="str">
        <f>HYPERLINK("https://twitter.com/HJAHousingLaw","@HJAHousingLaw")</f>
        <v>@HJAHousingLaw</v>
      </c>
      <c r="C1026" s="1" t="s">
        <v>4999</v>
      </c>
      <c r="D1026" s="1" t="s">
        <v>5000</v>
      </c>
      <c r="E1026" s="12" t="str">
        <f>HYPERLINK("https://twitter.com/HJAHousingLaw/status/1217835972613767169","1217835972613767169")</f>
        <v>1217835972613767169</v>
      </c>
      <c r="F1026" s="13" t="s">
        <v>5001</v>
      </c>
      <c r="G1026" s="14"/>
      <c r="H1026" s="14"/>
      <c r="I1026" s="15">
        <v>0.0</v>
      </c>
      <c r="J1026" s="15">
        <v>0.0</v>
      </c>
      <c r="K1026" s="12" t="str">
        <f>HYPERLINK("https://mobile.twitter.com","Twitter Web App")</f>
        <v>Twitter Web App</v>
      </c>
      <c r="L1026" s="16">
        <v>963.0</v>
      </c>
      <c r="M1026" s="16">
        <v>343.0</v>
      </c>
      <c r="N1026" s="16">
        <v>24.0</v>
      </c>
      <c r="O1026" s="17"/>
      <c r="P1026" s="18">
        <v>40683.410150462965</v>
      </c>
      <c r="Q1026" s="1" t="s">
        <v>5002</v>
      </c>
      <c r="R1026" s="1" t="s">
        <v>5003</v>
      </c>
      <c r="S1026" s="13" t="s">
        <v>5004</v>
      </c>
      <c r="T1026" s="14"/>
      <c r="U1026" s="19" t="str">
        <f>HYPERLINK("https://pbs.twimg.com/profile_images/959446119842484224/65jsJaUx.jpg","View")</f>
        <v>View</v>
      </c>
      <c r="V1026" s="14"/>
      <c r="W1026" s="14"/>
      <c r="X1026" s="14"/>
      <c r="Y1026" s="14"/>
      <c r="Z1026" s="14"/>
    </row>
    <row r="1027">
      <c r="A1027" s="11">
        <v>43846.44857638889</v>
      </c>
      <c r="B1027" s="12" t="str">
        <f>HYPERLINK("https://twitter.com/kittyboitnott","@kittyboitnott")</f>
        <v>@kittyboitnott</v>
      </c>
      <c r="C1027" s="1" t="s">
        <v>5005</v>
      </c>
      <c r="D1027" s="1" t="s">
        <v>5006</v>
      </c>
      <c r="E1027" s="12" t="str">
        <f>HYPERLINK("https://twitter.com/kittyboitnott/status/1217835389286801410","1217835389286801410")</f>
        <v>1217835389286801410</v>
      </c>
      <c r="F1027" s="13" t="s">
        <v>5007</v>
      </c>
      <c r="G1027" s="14"/>
      <c r="H1027" s="14"/>
      <c r="I1027" s="15">
        <v>0.0</v>
      </c>
      <c r="J1027" s="15">
        <v>1.0</v>
      </c>
      <c r="K1027" s="12" t="str">
        <f>HYPERLINK("http://twitter.com","Twitter Web Client")</f>
        <v>Twitter Web Client</v>
      </c>
      <c r="L1027" s="16">
        <v>885.0</v>
      </c>
      <c r="M1027" s="16">
        <v>996.0</v>
      </c>
      <c r="N1027" s="16">
        <v>55.0</v>
      </c>
      <c r="O1027" s="17"/>
      <c r="P1027" s="18">
        <v>41224.41030092593</v>
      </c>
      <c r="Q1027" s="1" t="s">
        <v>5008</v>
      </c>
      <c r="R1027" s="1" t="s">
        <v>5009</v>
      </c>
      <c r="S1027" s="13" t="s">
        <v>5010</v>
      </c>
      <c r="T1027" s="14"/>
      <c r="U1027" s="19" t="str">
        <f>HYPERLINK("https://pbs.twimg.com/profile_images/1208059957532344329/m9OBC5lA.jpg","View")</f>
        <v>View</v>
      </c>
      <c r="V1027" s="14"/>
      <c r="W1027" s="14"/>
      <c r="X1027" s="14"/>
      <c r="Y1027" s="14"/>
      <c r="Z1027" s="14"/>
    </row>
    <row r="1028">
      <c r="A1028" s="11">
        <v>43846.445393518516</v>
      </c>
      <c r="B1028" s="12" t="str">
        <f>HYPERLINK("https://twitter.com/EmersenLee","@EmersenLee")</f>
        <v>@EmersenLee</v>
      </c>
      <c r="C1028" s="1" t="s">
        <v>5011</v>
      </c>
      <c r="D1028" s="1" t="s">
        <v>5012</v>
      </c>
      <c r="E1028" s="12" t="str">
        <f>HYPERLINK("https://twitter.com/EmersenLee/status/1217834233865162752","1217834233865162752")</f>
        <v>1217834233865162752</v>
      </c>
      <c r="F1028" s="14"/>
      <c r="G1028" s="13" t="s">
        <v>5013</v>
      </c>
      <c r="H1028" s="14"/>
      <c r="I1028" s="15">
        <v>3.0</v>
      </c>
      <c r="J1028" s="15">
        <v>24.0</v>
      </c>
      <c r="K1028" s="12" t="str">
        <f>HYPERLINK("http://twitter.com/#!/download/ipad","Twitter for iPad")</f>
        <v>Twitter for iPad</v>
      </c>
      <c r="L1028" s="16">
        <v>13024.0</v>
      </c>
      <c r="M1028" s="16">
        <v>13022.0</v>
      </c>
      <c r="N1028" s="16">
        <v>83.0</v>
      </c>
      <c r="O1028" s="17"/>
      <c r="P1028" s="18">
        <v>41600.664675925924</v>
      </c>
      <c r="Q1028" s="1" t="s">
        <v>2263</v>
      </c>
      <c r="R1028" s="1" t="s">
        <v>5014</v>
      </c>
      <c r="S1028" s="13" t="s">
        <v>5015</v>
      </c>
      <c r="T1028" s="14"/>
      <c r="U1028" s="19" t="str">
        <f>HYPERLINK("https://pbs.twimg.com/profile_images/1215054064234483713/FogbYfWh.jpg","View")</f>
        <v>View</v>
      </c>
      <c r="V1028" s="14"/>
      <c r="W1028" s="14"/>
      <c r="X1028" s="14"/>
      <c r="Y1028" s="14"/>
      <c r="Z1028" s="14"/>
    </row>
    <row r="1029">
      <c r="A1029" s="11">
        <v>43846.444375</v>
      </c>
      <c r="B1029" s="12" t="str">
        <f>HYPERLINK("https://twitter.com/MHSSChoir","@MHSSChoir")</f>
        <v>@MHSSChoir</v>
      </c>
      <c r="C1029" s="1" t="s">
        <v>5016</v>
      </c>
      <c r="D1029" s="1" t="s">
        <v>5017</v>
      </c>
      <c r="E1029" s="12" t="str">
        <f>HYPERLINK("https://twitter.com/MHSSChoir/status/1217833867224199168","1217833867224199168")</f>
        <v>1217833867224199168</v>
      </c>
      <c r="F1029" s="13" t="s">
        <v>5018</v>
      </c>
      <c r="G1029" s="14"/>
      <c r="H1029" s="14"/>
      <c r="I1029" s="15">
        <v>1.0</v>
      </c>
      <c r="J1029" s="15">
        <v>10.0</v>
      </c>
      <c r="K1029" s="12" t="str">
        <f>HYPERLINK("http://twitter.com/download/iphone","Twitter for iPhone")</f>
        <v>Twitter for iPhone</v>
      </c>
      <c r="L1029" s="16">
        <v>270.0</v>
      </c>
      <c r="M1029" s="16">
        <v>194.0</v>
      </c>
      <c r="N1029" s="16">
        <v>6.0</v>
      </c>
      <c r="O1029" s="17"/>
      <c r="P1029" s="18">
        <v>41502.58969907407</v>
      </c>
      <c r="Q1029" s="1" t="s">
        <v>5019</v>
      </c>
      <c r="R1029" s="1" t="s">
        <v>5020</v>
      </c>
      <c r="S1029" s="13" t="s">
        <v>5021</v>
      </c>
      <c r="T1029" s="14"/>
      <c r="U1029" s="19" t="str">
        <f>HYPERLINK("https://pbs.twimg.com/profile_images/378800000308964069/57e8cc9f102a7a0f067728da36453ff3.jpeg","View")</f>
        <v>View</v>
      </c>
      <c r="V1029" s="14"/>
      <c r="W1029" s="14"/>
      <c r="X1029" s="14"/>
      <c r="Y1029" s="14"/>
      <c r="Z1029" s="14"/>
    </row>
    <row r="1030">
      <c r="A1030" s="11">
        <v>43846.44325231481</v>
      </c>
      <c r="B1030" s="12" t="str">
        <f>HYPERLINK("https://twitter.com/salivatesting","@salivatesting")</f>
        <v>@salivatesting</v>
      </c>
      <c r="C1030" s="1" t="s">
        <v>5022</v>
      </c>
      <c r="D1030" s="1" t="s">
        <v>5023</v>
      </c>
      <c r="E1030" s="12" t="str">
        <f>HYPERLINK("https://twitter.com/salivatesting/status/1217833458082439170","1217833458082439170")</f>
        <v>1217833458082439170</v>
      </c>
      <c r="F1030" s="13" t="s">
        <v>5024</v>
      </c>
      <c r="G1030" s="13" t="s">
        <v>5025</v>
      </c>
      <c r="H1030" s="14"/>
      <c r="I1030" s="15">
        <v>0.0</v>
      </c>
      <c r="J1030" s="15">
        <v>0.0</v>
      </c>
      <c r="K1030" s="12" t="str">
        <f>HYPERLINK("https://mobile.twitter.com","Twitter Web App")</f>
        <v>Twitter Web App</v>
      </c>
      <c r="L1030" s="16">
        <v>529.0</v>
      </c>
      <c r="M1030" s="16">
        <v>1075.0</v>
      </c>
      <c r="N1030" s="16">
        <v>0.0</v>
      </c>
      <c r="O1030" s="17"/>
      <c r="P1030" s="18">
        <v>41611.938935185186</v>
      </c>
      <c r="Q1030" s="1" t="s">
        <v>5026</v>
      </c>
      <c r="R1030" s="1" t="s">
        <v>5027</v>
      </c>
      <c r="S1030" s="13" t="s">
        <v>5028</v>
      </c>
      <c r="T1030" s="14"/>
      <c r="U1030" s="19" t="str">
        <f>HYPERLINK("https://pbs.twimg.com/profile_images/423399669775867905/6n7MsiGC.jpeg","View")</f>
        <v>View</v>
      </c>
      <c r="V1030" s="14"/>
      <c r="W1030" s="14"/>
      <c r="X1030" s="14"/>
      <c r="Y1030" s="14"/>
      <c r="Z1030" s="14"/>
    </row>
    <row r="1031">
      <c r="A1031" s="11">
        <v>43846.442152777774</v>
      </c>
      <c r="B1031" s="12" t="str">
        <f>HYPERLINK("https://twitter.com/SweetVirtues","@SweetVirtues")</f>
        <v>@SweetVirtues</v>
      </c>
      <c r="C1031" s="1" t="s">
        <v>5029</v>
      </c>
      <c r="D1031" s="1" t="s">
        <v>5030</v>
      </c>
      <c r="E1031" s="12" t="str">
        <f>HYPERLINK("https://twitter.com/SweetVirtues/status/1217833062374965249","1217833062374965249")</f>
        <v>1217833062374965249</v>
      </c>
      <c r="F1031" s="1" t="s">
        <v>5031</v>
      </c>
      <c r="G1031" s="14"/>
      <c r="H1031" s="12" t="str">
        <f>HYPERLINK("https://ctrlq.org/maps/address/#34.0522,-118.243","Map")</f>
        <v>Map</v>
      </c>
      <c r="I1031" s="15">
        <v>0.0</v>
      </c>
      <c r="J1031" s="15">
        <v>0.0</v>
      </c>
      <c r="K1031" s="12" t="str">
        <f>HYPERLINK("http://instagram.com","Instagram")</f>
        <v>Instagram</v>
      </c>
      <c r="L1031" s="16">
        <v>176.0</v>
      </c>
      <c r="M1031" s="16">
        <v>311.0</v>
      </c>
      <c r="N1031" s="16">
        <v>24.0</v>
      </c>
      <c r="O1031" s="17"/>
      <c r="P1031" s="18">
        <v>41321.66063657407</v>
      </c>
      <c r="Q1031" s="1" t="s">
        <v>5032</v>
      </c>
      <c r="R1031" s="1" t="s">
        <v>5033</v>
      </c>
      <c r="S1031" s="13" t="s">
        <v>5034</v>
      </c>
      <c r="T1031" s="14"/>
      <c r="U1031" s="19" t="str">
        <f>HYPERLINK("https://pbs.twimg.com/profile_images/654453084639244288/C3dOuwVG.jpg","View")</f>
        <v>View</v>
      </c>
      <c r="V1031" s="14"/>
      <c r="W1031" s="14"/>
      <c r="X1031" s="14"/>
      <c r="Y1031" s="14"/>
      <c r="Z1031" s="14"/>
    </row>
    <row r="1032">
      <c r="A1032" s="11">
        <v>43846.44091435186</v>
      </c>
      <c r="B1032" s="12" t="str">
        <f>HYPERLINK("https://twitter.com/kranichfb","@kranichfb")</f>
        <v>@kranichfb</v>
      </c>
      <c r="C1032" s="1" t="s">
        <v>5035</v>
      </c>
      <c r="D1032" s="1" t="s">
        <v>5036</v>
      </c>
      <c r="E1032" s="12" t="str">
        <f>HYPERLINK("https://twitter.com/kranichfb/status/1217832610581315584","1217832610581315584")</f>
        <v>1217832610581315584</v>
      </c>
      <c r="F1032" s="13" t="s">
        <v>5037</v>
      </c>
      <c r="G1032" s="14"/>
      <c r="H1032" s="14"/>
      <c r="I1032" s="15">
        <v>0.0</v>
      </c>
      <c r="J1032" s="15">
        <v>0.0</v>
      </c>
      <c r="K1032" s="12" t="str">
        <f>HYPERLINK("https://mobile.twitter.com","Twitter Web App")</f>
        <v>Twitter Web App</v>
      </c>
      <c r="L1032" s="16">
        <v>84.0</v>
      </c>
      <c r="M1032" s="16">
        <v>178.0</v>
      </c>
      <c r="N1032" s="16">
        <v>2.0</v>
      </c>
      <c r="O1032" s="17"/>
      <c r="P1032" s="18">
        <v>42388.26446759259</v>
      </c>
      <c r="Q1032" s="14"/>
      <c r="R1032" s="1" t="s">
        <v>5038</v>
      </c>
      <c r="S1032" s="14"/>
      <c r="T1032" s="14"/>
      <c r="U1032" s="19" t="str">
        <f>HYPERLINK("https://pbs.twimg.com/profile_images/689416458493800448/ZBAAB32T.jpg","View")</f>
        <v>View</v>
      </c>
      <c r="V1032" s="14"/>
      <c r="W1032" s="14"/>
      <c r="X1032" s="14"/>
      <c r="Y1032" s="14"/>
      <c r="Z1032" s="14"/>
    </row>
    <row r="1033">
      <c r="A1033" s="11">
        <v>43846.44082175926</v>
      </c>
      <c r="B1033" s="12" t="str">
        <f>HYPERLINK("https://twitter.com/STEAMhouseUK","@STEAMhouseUK")</f>
        <v>@STEAMhouseUK</v>
      </c>
      <c r="C1033" s="1" t="s">
        <v>5039</v>
      </c>
      <c r="D1033" s="1" t="s">
        <v>5040</v>
      </c>
      <c r="E1033" s="12" t="str">
        <f>HYPERLINK("https://twitter.com/STEAMhouseUK/status/1217832579526733824","1217832579526733824")</f>
        <v>1217832579526733824</v>
      </c>
      <c r="F1033" s="13" t="s">
        <v>5041</v>
      </c>
      <c r="G1033" s="13" t="s">
        <v>5042</v>
      </c>
      <c r="H1033" s="14"/>
      <c r="I1033" s="15">
        <v>0.0</v>
      </c>
      <c r="J1033" s="15">
        <v>0.0</v>
      </c>
      <c r="K1033" s="12" t="str">
        <f>HYPERLINK("https://www.hootsuite.com","Hootsuite Inc.")</f>
        <v>Hootsuite Inc.</v>
      </c>
      <c r="L1033" s="16">
        <v>2423.0</v>
      </c>
      <c r="M1033" s="16">
        <v>878.0</v>
      </c>
      <c r="N1033" s="16">
        <v>25.0</v>
      </c>
      <c r="O1033" s="17"/>
      <c r="P1033" s="18">
        <v>42766.56444444445</v>
      </c>
      <c r="Q1033" s="1" t="s">
        <v>5043</v>
      </c>
      <c r="R1033" s="1" t="s">
        <v>5044</v>
      </c>
      <c r="S1033" s="13" t="s">
        <v>5045</v>
      </c>
      <c r="T1033" s="14"/>
      <c r="U1033" s="19" t="str">
        <f>HYPERLINK("https://pbs.twimg.com/profile_images/922383094858084353/oNUyutBH.jpg","View")</f>
        <v>View</v>
      </c>
      <c r="V1033" s="14"/>
      <c r="W1033" s="14"/>
      <c r="X1033" s="14"/>
      <c r="Y1033" s="14"/>
      <c r="Z1033" s="14"/>
    </row>
    <row r="1034">
      <c r="A1034" s="11">
        <v>43846.4375</v>
      </c>
      <c r="B1034" s="12" t="str">
        <f>HYPERLINK("https://twitter.com/RORecovery","@RORecovery")</f>
        <v>@RORecovery</v>
      </c>
      <c r="C1034" s="1" t="s">
        <v>5046</v>
      </c>
      <c r="D1034" s="1" t="s">
        <v>5047</v>
      </c>
      <c r="E1034" s="12" t="str">
        <f>HYPERLINK("https://twitter.com/RORecovery/status/1217831375090249729","1217831375090249729")</f>
        <v>1217831375090249729</v>
      </c>
      <c r="F1034" s="13" t="s">
        <v>5048</v>
      </c>
      <c r="G1034" s="14"/>
      <c r="H1034" s="14"/>
      <c r="I1034" s="15">
        <v>0.0</v>
      </c>
      <c r="J1034" s="15">
        <v>0.0</v>
      </c>
      <c r="K1034" s="12" t="str">
        <f>HYPERLINK("https://ads-api.twitter.com","Twitter for Advertisers")</f>
        <v>Twitter for Advertisers</v>
      </c>
      <c r="L1034" s="16">
        <v>799.0</v>
      </c>
      <c r="M1034" s="16">
        <v>598.0</v>
      </c>
      <c r="N1034" s="16">
        <v>27.0</v>
      </c>
      <c r="O1034" s="17"/>
      <c r="P1034" s="18">
        <v>41344.48449074074</v>
      </c>
      <c r="Q1034" s="14"/>
      <c r="R1034" s="1" t="s">
        <v>5049</v>
      </c>
      <c r="S1034" s="13" t="s">
        <v>5050</v>
      </c>
      <c r="T1034" s="14"/>
      <c r="U1034" s="19" t="str">
        <f>HYPERLINK("https://pbs.twimg.com/profile_images/740549979249344513/gdnYI6jv.jpg","View")</f>
        <v>View</v>
      </c>
      <c r="V1034" s="14"/>
      <c r="W1034" s="14"/>
      <c r="X1034" s="14"/>
      <c r="Y1034" s="14"/>
      <c r="Z1034" s="14"/>
    </row>
    <row r="1035">
      <c r="A1035" s="11">
        <v>43846.436331018514</v>
      </c>
      <c r="B1035" s="12" t="str">
        <f>HYPERLINK("https://twitter.com/meditateinbrum","@meditateinbrum")</f>
        <v>@meditateinbrum</v>
      </c>
      <c r="C1035" s="1" t="s">
        <v>5051</v>
      </c>
      <c r="D1035" s="21" t="s">
        <v>5052</v>
      </c>
      <c r="E1035" s="12" t="str">
        <f>HYPERLINK("https://twitter.com/meditateinbrum/status/1217830949767012354","1217830949767012354")</f>
        <v>1217830949767012354</v>
      </c>
      <c r="F1035" s="13" t="s">
        <v>5053</v>
      </c>
      <c r="G1035" s="13" t="s">
        <v>5054</v>
      </c>
      <c r="H1035" s="12" t="str">
        <f>HYPERLINK("https://ctrlq.org/maps/address/#52.4835195,-1.9247273","Map")</f>
        <v>Map</v>
      </c>
      <c r="I1035" s="15">
        <v>0.0</v>
      </c>
      <c r="J1035" s="15">
        <v>0.0</v>
      </c>
      <c r="K1035" s="12" t="str">
        <f>HYPERLINK("https://www.hootsuite.com","Hootsuite Inc.")</f>
        <v>Hootsuite Inc.</v>
      </c>
      <c r="L1035" s="16">
        <v>1414.0</v>
      </c>
      <c r="M1035" s="16">
        <v>438.0</v>
      </c>
      <c r="N1035" s="16">
        <v>60.0</v>
      </c>
      <c r="O1035" s="17"/>
      <c r="P1035" s="18">
        <v>40919.48457175926</v>
      </c>
      <c r="Q1035" s="1" t="s">
        <v>5055</v>
      </c>
      <c r="R1035" s="1" t="s">
        <v>5056</v>
      </c>
      <c r="S1035" s="13" t="s">
        <v>5057</v>
      </c>
      <c r="T1035" s="14"/>
      <c r="U1035" s="19" t="str">
        <f>HYPERLINK("https://pbs.twimg.com/profile_images/817309712551124993/-i47QsJe.jpg","View")</f>
        <v>View</v>
      </c>
      <c r="V1035" s="14"/>
      <c r="W1035" s="14"/>
      <c r="X1035" s="14"/>
      <c r="Y1035" s="14"/>
      <c r="Z1035" s="14"/>
    </row>
    <row r="1036">
      <c r="A1036" s="11">
        <v>43846.43163194445</v>
      </c>
      <c r="B1036" s="12" t="str">
        <f>HYPERLINK("https://twitter.com/FarmingSelfie","@FarmingSelfie")</f>
        <v>@FarmingSelfie</v>
      </c>
      <c r="C1036" s="1" t="s">
        <v>5058</v>
      </c>
      <c r="D1036" s="1" t="s">
        <v>5059</v>
      </c>
      <c r="E1036" s="12" t="str">
        <f>HYPERLINK("https://twitter.com/FarmingSelfie/status/1217829246611181573","1217829246611181573")</f>
        <v>1217829246611181573</v>
      </c>
      <c r="F1036" s="13" t="s">
        <v>5060</v>
      </c>
      <c r="G1036" s="13" t="s">
        <v>5061</v>
      </c>
      <c r="H1036" s="14"/>
      <c r="I1036" s="15">
        <v>1.0</v>
      </c>
      <c r="J1036" s="15">
        <v>1.0</v>
      </c>
      <c r="K1036" s="12" t="str">
        <f>HYPERLINK("https://mobile.twitter.com","Twitter Web App")</f>
        <v>Twitter Web App</v>
      </c>
      <c r="L1036" s="16">
        <v>72.0</v>
      </c>
      <c r="M1036" s="16">
        <v>128.0</v>
      </c>
      <c r="N1036" s="16">
        <v>0.0</v>
      </c>
      <c r="O1036" s="17"/>
      <c r="P1036" s="18">
        <v>43633.27395833333</v>
      </c>
      <c r="Q1036" s="14"/>
      <c r="R1036" s="14"/>
      <c r="S1036" s="13" t="s">
        <v>5062</v>
      </c>
      <c r="T1036" s="14"/>
      <c r="U1036" s="19" t="str">
        <f>HYPERLINK("https://pbs.twimg.com/profile_images/1197527705085980674/KD7NEVtc.jpg","View")</f>
        <v>View</v>
      </c>
      <c r="V1036" s="14"/>
      <c r="W1036" s="14"/>
      <c r="X1036" s="14"/>
      <c r="Y1036" s="14"/>
      <c r="Z1036" s="14"/>
    </row>
    <row r="1037">
      <c r="A1037" s="11">
        <v>43846.43082175926</v>
      </c>
      <c r="B1037" s="12" t="str">
        <f>HYPERLINK("https://twitter.com/yographic39","@yographic39")</f>
        <v>@yographic39</v>
      </c>
      <c r="C1037" s="1" t="s">
        <v>5063</v>
      </c>
      <c r="D1037" s="1" t="s">
        <v>5064</v>
      </c>
      <c r="E1037" s="12" t="str">
        <f>HYPERLINK("https://twitter.com/yographic39/status/1217828954830180353","1217828954830180353")</f>
        <v>1217828954830180353</v>
      </c>
      <c r="F1037" s="13" t="s">
        <v>5065</v>
      </c>
      <c r="G1037" s="14"/>
      <c r="H1037" s="14"/>
      <c r="I1037" s="15">
        <v>2.0</v>
      </c>
      <c r="J1037" s="15">
        <v>3.0</v>
      </c>
      <c r="K1037" s="12" t="str">
        <f>HYPERLINK("http://twitter.com/download/iphone","Twitter for iPhone")</f>
        <v>Twitter for iPhone</v>
      </c>
      <c r="L1037" s="16">
        <v>825.0</v>
      </c>
      <c r="M1037" s="16">
        <v>728.0</v>
      </c>
      <c r="N1037" s="16">
        <v>7.0</v>
      </c>
      <c r="O1037" s="17"/>
      <c r="P1037" s="18">
        <v>42641.78980324074</v>
      </c>
      <c r="Q1037" s="14"/>
      <c r="R1037" s="1" t="s">
        <v>5066</v>
      </c>
      <c r="S1037" s="14"/>
      <c r="T1037" s="14"/>
      <c r="U1037" s="19" t="str">
        <f>HYPERLINK("https://pbs.twimg.com/profile_images/1094042832027840512/dWX72nhZ.jpg","View")</f>
        <v>View</v>
      </c>
      <c r="V1037" s="14"/>
      <c r="W1037" s="14"/>
      <c r="X1037" s="14"/>
      <c r="Y1037" s="14"/>
      <c r="Z1037" s="14"/>
    </row>
    <row r="1038">
      <c r="A1038" s="11">
        <v>43846.42798611111</v>
      </c>
      <c r="B1038" s="12" t="str">
        <f>HYPERLINK("https://twitter.com/SquishSupport","@SquishSupport")</f>
        <v>@SquishSupport</v>
      </c>
      <c r="C1038" s="1" t="s">
        <v>799</v>
      </c>
      <c r="D1038" s="1" t="s">
        <v>5067</v>
      </c>
      <c r="E1038" s="12" t="str">
        <f>HYPERLINK("https://twitter.com/SquishSupport/status/1217827924478431233","1217827924478431233")</f>
        <v>1217827924478431233</v>
      </c>
      <c r="F1038" s="14"/>
      <c r="G1038" s="13" t="s">
        <v>5068</v>
      </c>
      <c r="H1038" s="14"/>
      <c r="I1038" s="15">
        <v>1.0</v>
      </c>
      <c r="J1038" s="15">
        <v>2.0</v>
      </c>
      <c r="K1038" s="12" t="str">
        <f>HYPERLINK("http://twitter.com/download/android","Twitter for Android")</f>
        <v>Twitter for Android</v>
      </c>
      <c r="L1038" s="16">
        <v>24.0</v>
      </c>
      <c r="M1038" s="16">
        <v>109.0</v>
      </c>
      <c r="N1038" s="16">
        <v>0.0</v>
      </c>
      <c r="O1038" s="17"/>
      <c r="P1038" s="18">
        <v>43790.01303240741</v>
      </c>
      <c r="Q1038" s="1" t="s">
        <v>802</v>
      </c>
      <c r="R1038" s="1" t="s">
        <v>803</v>
      </c>
      <c r="S1038" s="13" t="s">
        <v>804</v>
      </c>
      <c r="T1038" s="14"/>
      <c r="U1038" s="19" t="str">
        <f>HYPERLINK("https://pbs.twimg.com/profile_images/1197383912084905984/1yZnevKP.png","View")</f>
        <v>View</v>
      </c>
      <c r="V1038" s="14"/>
      <c r="W1038" s="14"/>
      <c r="X1038" s="14"/>
      <c r="Y1038" s="14"/>
      <c r="Z1038" s="14"/>
    </row>
    <row r="1039">
      <c r="A1039" s="11">
        <v>43846.42763888889</v>
      </c>
      <c r="B1039" s="12" t="str">
        <f>HYPERLINK("https://twitter.com/reiynnn","@reiynnn")</f>
        <v>@reiynnn</v>
      </c>
      <c r="C1039" s="1" t="s">
        <v>5069</v>
      </c>
      <c r="D1039" s="1" t="s">
        <v>5070</v>
      </c>
      <c r="E1039" s="12" t="str">
        <f>HYPERLINK("https://twitter.com/reiynnn/status/1217827798653403137","1217827798653403137")</f>
        <v>1217827798653403137</v>
      </c>
      <c r="F1039" s="1" t="s">
        <v>5071</v>
      </c>
      <c r="G1039" s="13" t="s">
        <v>5072</v>
      </c>
      <c r="H1039" s="14"/>
      <c r="I1039" s="15">
        <v>0.0</v>
      </c>
      <c r="J1039" s="15">
        <v>2.0</v>
      </c>
      <c r="K1039" s="12" t="str">
        <f t="shared" ref="K1039:K1040" si="102">HYPERLINK("http://twitter.com/download/iphone","Twitter for iPhone")</f>
        <v>Twitter for iPhone</v>
      </c>
      <c r="L1039" s="16">
        <v>2.0</v>
      </c>
      <c r="M1039" s="16">
        <v>24.0</v>
      </c>
      <c r="N1039" s="16">
        <v>0.0</v>
      </c>
      <c r="O1039" s="17"/>
      <c r="P1039" s="18">
        <v>42664.72400462963</v>
      </c>
      <c r="Q1039" s="14"/>
      <c r="R1039" s="1" t="s">
        <v>5073</v>
      </c>
      <c r="S1039" s="14"/>
      <c r="T1039" s="14"/>
      <c r="U1039" s="19" t="str">
        <f>HYPERLINK("https://pbs.twimg.com/profile_images/1112421998070661120/hkFU6cRW.jpg","View")</f>
        <v>View</v>
      </c>
      <c r="V1039" s="14"/>
      <c r="W1039" s="14"/>
      <c r="X1039" s="14"/>
      <c r="Y1039" s="14"/>
      <c r="Z1039" s="14"/>
    </row>
    <row r="1040">
      <c r="A1040" s="11">
        <v>43846.42613425926</v>
      </c>
      <c r="B1040" s="12" t="str">
        <f>HYPERLINK("https://twitter.com/ATHannington","@ATHannington")</f>
        <v>@ATHannington</v>
      </c>
      <c r="C1040" s="1" t="s">
        <v>5074</v>
      </c>
      <c r="D1040" s="1" t="s">
        <v>5075</v>
      </c>
      <c r="E1040" s="12" t="str">
        <f>HYPERLINK("https://twitter.com/ATHannington/status/1217827253616365568","1217827253616365568")</f>
        <v>1217827253616365568</v>
      </c>
      <c r="F1040" s="14"/>
      <c r="G1040" s="13" t="s">
        <v>5076</v>
      </c>
      <c r="H1040" s="14"/>
      <c r="I1040" s="15">
        <v>0.0</v>
      </c>
      <c r="J1040" s="15">
        <v>2.0</v>
      </c>
      <c r="K1040" s="12" t="str">
        <f t="shared" si="102"/>
        <v>Twitter for iPhone</v>
      </c>
      <c r="L1040" s="16">
        <v>172.0</v>
      </c>
      <c r="M1040" s="16">
        <v>541.0</v>
      </c>
      <c r="N1040" s="16">
        <v>2.0</v>
      </c>
      <c r="O1040" s="17"/>
      <c r="P1040" s="18">
        <v>43428.35967592592</v>
      </c>
      <c r="Q1040" s="1" t="s">
        <v>5077</v>
      </c>
      <c r="R1040" s="1" t="s">
        <v>5078</v>
      </c>
      <c r="S1040" s="14"/>
      <c r="T1040" s="14"/>
      <c r="U1040" s="19" t="str">
        <f>HYPERLINK("https://pbs.twimg.com/profile_images/1099673108590616576/q3L3Ixrr.jpg","View")</f>
        <v>View</v>
      </c>
      <c r="V1040" s="14"/>
      <c r="W1040" s="14"/>
      <c r="X1040" s="14"/>
      <c r="Y1040" s="14"/>
      <c r="Z1040" s="14"/>
    </row>
    <row r="1041">
      <c r="A1041" s="11">
        <v>43846.425520833334</v>
      </c>
      <c r="B1041" s="12" t="str">
        <f>HYPERLINK("https://twitter.com/padhughes","@padhughes")</f>
        <v>@padhughes</v>
      </c>
      <c r="C1041" s="1" t="s">
        <v>5079</v>
      </c>
      <c r="D1041" s="1" t="s">
        <v>5080</v>
      </c>
      <c r="E1041" s="12" t="str">
        <f>HYPERLINK("https://twitter.com/padhughes/status/1217827034858164224","1217827034858164224")</f>
        <v>1217827034858164224</v>
      </c>
      <c r="F1041" s="14"/>
      <c r="G1041" s="13" t="s">
        <v>5081</v>
      </c>
      <c r="H1041" s="14"/>
      <c r="I1041" s="15">
        <v>0.0</v>
      </c>
      <c r="J1041" s="15">
        <v>2.0</v>
      </c>
      <c r="K1041" s="12" t="str">
        <f>HYPERLINK("http://twitter.com/download/android","Twitter for Android")</f>
        <v>Twitter for Android</v>
      </c>
      <c r="L1041" s="16">
        <v>56.0</v>
      </c>
      <c r="M1041" s="16">
        <v>104.0</v>
      </c>
      <c r="N1041" s="16">
        <v>1.0</v>
      </c>
      <c r="O1041" s="17"/>
      <c r="P1041" s="18">
        <v>40705.497141203705</v>
      </c>
      <c r="Q1041" s="1" t="s">
        <v>5082</v>
      </c>
      <c r="R1041" s="1" t="s">
        <v>5083</v>
      </c>
      <c r="S1041" s="14"/>
      <c r="T1041" s="14"/>
      <c r="U1041" s="19" t="str">
        <f>HYPERLINK("https://pbs.twimg.com/profile_images/1129776541376946176/TPPvCtKe.jpg","View")</f>
        <v>View</v>
      </c>
      <c r="V1041" s="14"/>
      <c r="W1041" s="14"/>
      <c r="X1041" s="14"/>
      <c r="Y1041" s="14"/>
      <c r="Z1041" s="14"/>
    </row>
    <row r="1042">
      <c r="A1042" s="11">
        <v>43846.424305555556</v>
      </c>
      <c r="B1042" s="12" t="str">
        <f>HYPERLINK("https://twitter.com/theaaazone","@theaaazone")</f>
        <v>@theaaazone</v>
      </c>
      <c r="C1042" s="1" t="s">
        <v>5084</v>
      </c>
      <c r="D1042" s="1" t="s">
        <v>5085</v>
      </c>
      <c r="E1042" s="12" t="str">
        <f>HYPERLINK("https://twitter.com/theaaazone/status/1217826591985680385","1217826591985680385")</f>
        <v>1217826591985680385</v>
      </c>
      <c r="F1042" s="14"/>
      <c r="G1042" s="13" t="s">
        <v>5086</v>
      </c>
      <c r="H1042" s="14"/>
      <c r="I1042" s="15">
        <v>1.0</v>
      </c>
      <c r="J1042" s="15">
        <v>1.0</v>
      </c>
      <c r="K1042" s="12" t="str">
        <f>HYPERLINK("https://about.twitter.com/products/tweetdeck","TweetDeck")</f>
        <v>TweetDeck</v>
      </c>
      <c r="L1042" s="16">
        <v>219.0</v>
      </c>
      <c r="M1042" s="16">
        <v>138.0</v>
      </c>
      <c r="N1042" s="16">
        <v>2.0</v>
      </c>
      <c r="O1042" s="17"/>
      <c r="P1042" s="18">
        <v>42748.381377314814</v>
      </c>
      <c r="Q1042" s="14"/>
      <c r="R1042" s="14"/>
      <c r="S1042" s="14"/>
      <c r="T1042" s="14"/>
      <c r="U1042" s="19" t="str">
        <f>HYPERLINK("https://pbs.twimg.com/profile_images/842701143075700738/SU9JYcwI.jpg","View")</f>
        <v>View</v>
      </c>
      <c r="V1042" s="14"/>
      <c r="W1042" s="14"/>
      <c r="X1042" s="14"/>
      <c r="Y1042" s="14"/>
      <c r="Z1042" s="14"/>
    </row>
    <row r="1043">
      <c r="A1043" s="11">
        <v>43846.424108796295</v>
      </c>
      <c r="B1043" s="12" t="str">
        <f>HYPERLINK("https://twitter.com/MichelleKWelsh","@MichelleKWelsh")</f>
        <v>@MichelleKWelsh</v>
      </c>
      <c r="C1043" s="1" t="s">
        <v>5087</v>
      </c>
      <c r="D1043" s="1" t="s">
        <v>5088</v>
      </c>
      <c r="E1043" s="12" t="str">
        <f>HYPERLINK("https://twitter.com/MichelleKWelsh/status/1217826523463417856","1217826523463417856")</f>
        <v>1217826523463417856</v>
      </c>
      <c r="F1043" s="13" t="s">
        <v>5089</v>
      </c>
      <c r="G1043" s="14"/>
      <c r="H1043" s="14"/>
      <c r="I1043" s="15">
        <v>0.0</v>
      </c>
      <c r="J1043" s="15">
        <v>0.0</v>
      </c>
      <c r="K1043" s="12" t="str">
        <f>HYPERLINK("http://twitter.com","Twitter Web Client")</f>
        <v>Twitter Web Client</v>
      </c>
      <c r="L1043" s="16">
        <v>273.0</v>
      </c>
      <c r="M1043" s="16">
        <v>278.0</v>
      </c>
      <c r="N1043" s="16">
        <v>13.0</v>
      </c>
      <c r="O1043" s="17"/>
      <c r="P1043" s="18">
        <v>42453.65107638889</v>
      </c>
      <c r="Q1043" s="14"/>
      <c r="R1043" s="1" t="s">
        <v>5090</v>
      </c>
      <c r="S1043" s="13" t="s">
        <v>5091</v>
      </c>
      <c r="T1043" s="14"/>
      <c r="U1043" s="19" t="str">
        <f>HYPERLINK("https://pbs.twimg.com/profile_images/713091208076070912/JZurRyBm.jpg","View")</f>
        <v>View</v>
      </c>
      <c r="V1043" s="14"/>
      <c r="W1043" s="14"/>
      <c r="X1043" s="14"/>
      <c r="Y1043" s="14"/>
      <c r="Z1043" s="14"/>
    </row>
    <row r="1044">
      <c r="A1044" s="11">
        <v>43846.420219907406</v>
      </c>
      <c r="B1044" s="12" t="str">
        <f>HYPERLINK("https://twitter.com/TMNinja","@TMNinja")</f>
        <v>@TMNinja</v>
      </c>
      <c r="C1044" s="1" t="s">
        <v>558</v>
      </c>
      <c r="D1044" s="1" t="s">
        <v>559</v>
      </c>
      <c r="E1044" s="12" t="str">
        <f>HYPERLINK("https://twitter.com/TMNinja/status/1217825111010574336","1217825111010574336")</f>
        <v>1217825111010574336</v>
      </c>
      <c r="F1044" s="13" t="s">
        <v>560</v>
      </c>
      <c r="G1044" s="13" t="s">
        <v>5092</v>
      </c>
      <c r="H1044" s="14"/>
      <c r="I1044" s="15">
        <v>0.0</v>
      </c>
      <c r="J1044" s="15">
        <v>0.0</v>
      </c>
      <c r="K1044" s="12" t="str">
        <f>HYPERLINK("https://buffer.com","Buffer")</f>
        <v>Buffer</v>
      </c>
      <c r="L1044" s="16">
        <v>34405.0</v>
      </c>
      <c r="M1044" s="16">
        <v>15405.0</v>
      </c>
      <c r="N1044" s="16">
        <v>1884.0</v>
      </c>
      <c r="O1044" s="20" t="s">
        <v>38</v>
      </c>
      <c r="P1044" s="18">
        <v>39982.609548611115</v>
      </c>
      <c r="Q1044" s="1" t="s">
        <v>550</v>
      </c>
      <c r="R1044" s="1" t="s">
        <v>562</v>
      </c>
      <c r="S1044" s="13" t="s">
        <v>563</v>
      </c>
      <c r="T1044" s="14"/>
      <c r="U1044" s="19" t="str">
        <f>HYPERLINK("https://pbs.twimg.com/profile_images/1734246631/Craig_BW_Headshot_small.jpg.jpg","View")</f>
        <v>View</v>
      </c>
      <c r="V1044" s="14"/>
      <c r="W1044" s="14"/>
      <c r="X1044" s="14"/>
      <c r="Y1044" s="14"/>
      <c r="Z1044" s="14"/>
    </row>
    <row r="1045">
      <c r="A1045" s="11">
        <v>43846.42019675926</v>
      </c>
      <c r="B1045" s="12" t="str">
        <f>HYPERLINK("https://twitter.com/achievebeyondus","@achievebeyondus")</f>
        <v>@achievebeyondus</v>
      </c>
      <c r="C1045" s="1" t="s">
        <v>5093</v>
      </c>
      <c r="D1045" s="1" t="s">
        <v>5094</v>
      </c>
      <c r="E1045" s="12" t="str">
        <f>HYPERLINK("https://twitter.com/achievebeyondus/status/1217825103049895936","1217825103049895936")</f>
        <v>1217825103049895936</v>
      </c>
      <c r="F1045" s="13" t="s">
        <v>5095</v>
      </c>
      <c r="G1045" s="14"/>
      <c r="H1045" s="14"/>
      <c r="I1045" s="15">
        <v>1.0</v>
      </c>
      <c r="J1045" s="15">
        <v>0.0</v>
      </c>
      <c r="K1045" s="12" t="str">
        <f>HYPERLINK("https://www.hootsuite.com","Hootsuite Inc.")</f>
        <v>Hootsuite Inc.</v>
      </c>
      <c r="L1045" s="16">
        <v>2852.0</v>
      </c>
      <c r="M1045" s="16">
        <v>3213.0</v>
      </c>
      <c r="N1045" s="16">
        <v>69.0</v>
      </c>
      <c r="O1045" s="17"/>
      <c r="P1045" s="18">
        <v>40130.66538194445</v>
      </c>
      <c r="Q1045" s="1" t="s">
        <v>809</v>
      </c>
      <c r="R1045" s="1" t="s">
        <v>5096</v>
      </c>
      <c r="S1045" s="13" t="s">
        <v>5097</v>
      </c>
      <c r="T1045" s="14"/>
      <c r="U1045" s="19" t="str">
        <f>HYPERLINK("https://pbs.twimg.com/profile_images/479375974128050177/CaYjA1dD.jpeg","View")</f>
        <v>View</v>
      </c>
      <c r="V1045" s="14"/>
      <c r="W1045" s="14"/>
      <c r="X1045" s="14"/>
      <c r="Y1045" s="14"/>
      <c r="Z1045" s="14"/>
    </row>
    <row r="1046">
      <c r="A1046" s="11">
        <v>43846.4200462963</v>
      </c>
      <c r="B1046" s="12" t="str">
        <f>HYPERLINK("https://twitter.com/GarlandVance","@GarlandVance")</f>
        <v>@GarlandVance</v>
      </c>
      <c r="C1046" s="1" t="s">
        <v>2132</v>
      </c>
      <c r="D1046" s="1" t="s">
        <v>5098</v>
      </c>
      <c r="E1046" s="12" t="str">
        <f>HYPERLINK("https://twitter.com/GarlandVance/status/1217825047529828352","1217825047529828352")</f>
        <v>1217825047529828352</v>
      </c>
      <c r="F1046" s="13" t="s">
        <v>5099</v>
      </c>
      <c r="G1046" s="14"/>
      <c r="H1046" s="14"/>
      <c r="I1046" s="15">
        <v>0.0</v>
      </c>
      <c r="J1046" s="15">
        <v>0.0</v>
      </c>
      <c r="K1046" s="12" t="str">
        <f>HYPERLINK("https://coschedule.com","CoSchedule")</f>
        <v>CoSchedule</v>
      </c>
      <c r="L1046" s="16">
        <v>7551.0</v>
      </c>
      <c r="M1046" s="16">
        <v>2894.0</v>
      </c>
      <c r="N1046" s="16">
        <v>34.0</v>
      </c>
      <c r="O1046" s="17"/>
      <c r="P1046" s="18">
        <v>40174.59726851852</v>
      </c>
      <c r="Q1046" s="1" t="s">
        <v>2135</v>
      </c>
      <c r="R1046" s="1" t="s">
        <v>2136</v>
      </c>
      <c r="S1046" s="13" t="s">
        <v>2137</v>
      </c>
      <c r="T1046" s="14"/>
      <c r="U1046" s="19" t="str">
        <f>HYPERLINK("https://pbs.twimg.com/profile_images/723172806058369025/Jz4o6CKX.jpg","View")</f>
        <v>View</v>
      </c>
      <c r="V1046" s="14"/>
      <c r="W1046" s="14"/>
      <c r="X1046" s="14"/>
      <c r="Y1046" s="14"/>
      <c r="Z1046" s="14"/>
    </row>
    <row r="1047">
      <c r="A1047" s="11">
        <v>43846.419074074074</v>
      </c>
      <c r="B1047" s="12" t="str">
        <f>HYPERLINK("https://twitter.com/_Paul_Hill_","@_Paul_Hill_")</f>
        <v>@_Paul_Hill_</v>
      </c>
      <c r="C1047" s="1" t="s">
        <v>2347</v>
      </c>
      <c r="D1047" s="1" t="s">
        <v>5100</v>
      </c>
      <c r="E1047" s="12" t="str">
        <f>HYPERLINK("https://twitter.com/_Paul_Hill_/status/1217824699016675329","1217824699016675329")</f>
        <v>1217824699016675329</v>
      </c>
      <c r="F1047" s="14"/>
      <c r="G1047" s="13" t="s">
        <v>5101</v>
      </c>
      <c r="H1047" s="14"/>
      <c r="I1047" s="15">
        <v>5.0</v>
      </c>
      <c r="J1047" s="15">
        <v>36.0</v>
      </c>
      <c r="K1047" s="12" t="str">
        <f>HYPERLINK("http://twitter.com/download/android","Twitter for Android")</f>
        <v>Twitter for Android</v>
      </c>
      <c r="L1047" s="16">
        <v>1525.0</v>
      </c>
      <c r="M1047" s="16">
        <v>1626.0</v>
      </c>
      <c r="N1047" s="16">
        <v>3.0</v>
      </c>
      <c r="O1047" s="17"/>
      <c r="P1047" s="18">
        <v>43743.73486111111</v>
      </c>
      <c r="Q1047" s="1" t="s">
        <v>2350</v>
      </c>
      <c r="R1047" s="1" t="s">
        <v>2351</v>
      </c>
      <c r="S1047" s="14"/>
      <c r="T1047" s="14"/>
      <c r="U1047" s="19" t="str">
        <f>HYPERLINK("https://pbs.twimg.com/profile_images/1216313941162364929/IJwqd_Fi.jpg","View")</f>
        <v>View</v>
      </c>
      <c r="V1047" s="14"/>
      <c r="W1047" s="14"/>
      <c r="X1047" s="14"/>
      <c r="Y1047" s="14"/>
      <c r="Z1047" s="14"/>
    </row>
    <row r="1048">
      <c r="A1048" s="11">
        <v>43846.41761574074</v>
      </c>
      <c r="B1048" s="12" t="str">
        <f>HYPERLINK("https://twitter.com/think_hypno","@think_hypno")</f>
        <v>@think_hypno</v>
      </c>
      <c r="C1048" s="1" t="s">
        <v>5102</v>
      </c>
      <c r="D1048" s="1" t="s">
        <v>5103</v>
      </c>
      <c r="E1048" s="12" t="str">
        <f>HYPERLINK("https://twitter.com/think_hypno/status/1217824169829814272","1217824169829814272")</f>
        <v>1217824169829814272</v>
      </c>
      <c r="F1048" s="13" t="s">
        <v>5104</v>
      </c>
      <c r="G1048" s="13" t="s">
        <v>5105</v>
      </c>
      <c r="H1048" s="14"/>
      <c r="I1048" s="15">
        <v>0.0</v>
      </c>
      <c r="J1048" s="15">
        <v>0.0</v>
      </c>
      <c r="K1048" s="12" t="str">
        <f t="shared" ref="K1048:K1049" si="103">HYPERLINK("https://www.hootsuite.com","Hootsuite Inc.")</f>
        <v>Hootsuite Inc.</v>
      </c>
      <c r="L1048" s="16">
        <v>156.0</v>
      </c>
      <c r="M1048" s="16">
        <v>525.0</v>
      </c>
      <c r="N1048" s="16">
        <v>0.0</v>
      </c>
      <c r="O1048" s="17"/>
      <c r="P1048" s="18">
        <v>42809.45618055556</v>
      </c>
      <c r="Q1048" s="1" t="s">
        <v>5106</v>
      </c>
      <c r="R1048" s="1" t="s">
        <v>5107</v>
      </c>
      <c r="S1048" s="14"/>
      <c r="T1048" s="14"/>
      <c r="U1048" s="19" t="str">
        <f>HYPERLINK("https://pbs.twimg.com/profile_images/842129016391884807/VLMyhXMB.jpg","View")</f>
        <v>View</v>
      </c>
      <c r="V1048" s="14"/>
      <c r="W1048" s="14"/>
      <c r="X1048" s="14"/>
      <c r="Y1048" s="14"/>
      <c r="Z1048" s="14"/>
    </row>
    <row r="1049">
      <c r="A1049" s="11">
        <v>43846.417442129634</v>
      </c>
      <c r="B1049" s="12" t="str">
        <f>HYPERLINK("https://twitter.com/Tempo_Group","@Tempo_Group")</f>
        <v>@Tempo_Group</v>
      </c>
      <c r="C1049" s="1" t="s">
        <v>5108</v>
      </c>
      <c r="D1049" s="1" t="s">
        <v>5109</v>
      </c>
      <c r="E1049" s="12" t="str">
        <f>HYPERLINK("https://twitter.com/Tempo_Group/status/1217824107615657990","1217824107615657990")</f>
        <v>1217824107615657990</v>
      </c>
      <c r="F1049" s="13" t="s">
        <v>5110</v>
      </c>
      <c r="G1049" s="13" t="s">
        <v>5111</v>
      </c>
      <c r="H1049" s="14"/>
      <c r="I1049" s="15">
        <v>0.0</v>
      </c>
      <c r="J1049" s="15">
        <v>0.0</v>
      </c>
      <c r="K1049" s="12" t="str">
        <f t="shared" si="103"/>
        <v>Hootsuite Inc.</v>
      </c>
      <c r="L1049" s="16">
        <v>297.0</v>
      </c>
      <c r="M1049" s="16">
        <v>370.0</v>
      </c>
      <c r="N1049" s="16">
        <v>3.0</v>
      </c>
      <c r="O1049" s="17"/>
      <c r="P1049" s="18">
        <v>41787.49332175926</v>
      </c>
      <c r="Q1049" s="1" t="s">
        <v>5112</v>
      </c>
      <c r="R1049" s="1" t="s">
        <v>5113</v>
      </c>
      <c r="S1049" s="13" t="s">
        <v>5114</v>
      </c>
      <c r="T1049" s="14"/>
      <c r="U1049" s="19" t="str">
        <f>HYPERLINK("https://pbs.twimg.com/profile_images/971117471062097920/sRpm-Gmb.jpg","View")</f>
        <v>View</v>
      </c>
      <c r="V1049" s="14"/>
      <c r="W1049" s="14"/>
      <c r="X1049" s="14"/>
      <c r="Y1049" s="14"/>
      <c r="Z1049" s="14"/>
    </row>
    <row r="1050">
      <c r="A1050" s="11">
        <v>43846.416979166665</v>
      </c>
      <c r="B1050" s="12" t="str">
        <f>HYPERLINK("https://twitter.com/Writing_Doctors","@Writing_Doctors")</f>
        <v>@Writing_Doctors</v>
      </c>
      <c r="C1050" s="1" t="s">
        <v>5115</v>
      </c>
      <c r="D1050" s="1" t="s">
        <v>5116</v>
      </c>
      <c r="E1050" s="12" t="str">
        <f>HYPERLINK("https://twitter.com/Writing_Doctors/status/1217823939621216256","1217823939621216256")</f>
        <v>1217823939621216256</v>
      </c>
      <c r="F1050" s="13" t="s">
        <v>5117</v>
      </c>
      <c r="G1050" s="14"/>
      <c r="H1050" s="14"/>
      <c r="I1050" s="15">
        <v>0.0</v>
      </c>
      <c r="J1050" s="15">
        <v>1.0</v>
      </c>
      <c r="K1050" s="12" t="str">
        <f>HYPERLINK("https://www.socialoomph.com","SocialOomph")</f>
        <v>SocialOomph</v>
      </c>
      <c r="L1050" s="16">
        <v>83.0</v>
      </c>
      <c r="M1050" s="16">
        <v>49.0</v>
      </c>
      <c r="N1050" s="16">
        <v>6.0</v>
      </c>
      <c r="O1050" s="17"/>
      <c r="P1050" s="18">
        <v>41689.242164351854</v>
      </c>
      <c r="Q1050" s="14"/>
      <c r="R1050" s="1" t="s">
        <v>5118</v>
      </c>
      <c r="S1050" s="13" t="s">
        <v>5119</v>
      </c>
      <c r="T1050" s="14"/>
      <c r="U1050" s="19" t="str">
        <f>HYPERLINK("https://pbs.twimg.com/profile_images/436092675540787200/eCYxUFND.jpeg","View")</f>
        <v>View</v>
      </c>
      <c r="V1050" s="14"/>
      <c r="W1050" s="14"/>
      <c r="X1050" s="14"/>
      <c r="Y1050" s="14"/>
      <c r="Z1050" s="14"/>
    </row>
    <row r="1051">
      <c r="A1051" s="11">
        <v>43846.41667824074</v>
      </c>
      <c r="B1051" s="12" t="str">
        <f>HYPERLINK("https://twitter.com/WeHearYouZA","@WeHearYouZA")</f>
        <v>@WeHearYouZA</v>
      </c>
      <c r="C1051" s="1" t="s">
        <v>2299</v>
      </c>
      <c r="D1051" s="1" t="s">
        <v>5120</v>
      </c>
      <c r="E1051" s="12" t="str">
        <f>HYPERLINK("https://twitter.com/WeHearYouZA/status/1217823828769820672","1217823828769820672")</f>
        <v>1217823828769820672</v>
      </c>
      <c r="F1051" s="14"/>
      <c r="G1051" s="13" t="s">
        <v>5121</v>
      </c>
      <c r="H1051" s="14"/>
      <c r="I1051" s="15">
        <v>0.0</v>
      </c>
      <c r="J1051" s="15">
        <v>0.0</v>
      </c>
      <c r="K1051" s="12" t="str">
        <f>HYPERLINK("https://about.twitter.com/products/tweetdeck","TweetDeck")</f>
        <v>TweetDeck</v>
      </c>
      <c r="L1051" s="16">
        <v>26.0</v>
      </c>
      <c r="M1051" s="16">
        <v>43.0</v>
      </c>
      <c r="N1051" s="16">
        <v>4.0</v>
      </c>
      <c r="O1051" s="17"/>
      <c r="P1051" s="18">
        <v>43661.22396990741</v>
      </c>
      <c r="Q1051" s="1" t="s">
        <v>2302</v>
      </c>
      <c r="R1051" s="1" t="s">
        <v>2303</v>
      </c>
      <c r="S1051" s="13" t="s">
        <v>2304</v>
      </c>
      <c r="T1051" s="14"/>
      <c r="U1051" s="19" t="str">
        <f>HYPERLINK("https://pbs.twimg.com/profile_images/1153562188415737856/1QVWKhWI.jpg","View")</f>
        <v>View</v>
      </c>
      <c r="V1051" s="14"/>
      <c r="W1051" s="14"/>
      <c r="X1051" s="14"/>
      <c r="Y1051" s="14"/>
      <c r="Z1051" s="14"/>
    </row>
    <row r="1052">
      <c r="A1052" s="11">
        <v>43846.413622685184</v>
      </c>
      <c r="B1052" s="12" t="str">
        <f>HYPERLINK("https://twitter.com/wedidyoucan","@wedidyoucan")</f>
        <v>@wedidyoucan</v>
      </c>
      <c r="C1052" s="1" t="s">
        <v>5122</v>
      </c>
      <c r="D1052" s="1" t="s">
        <v>4836</v>
      </c>
      <c r="E1052" s="12" t="str">
        <f>HYPERLINK("https://twitter.com/wedidyoucan/status/1217822722820071425","1217822722820071425")</f>
        <v>1217822722820071425</v>
      </c>
      <c r="F1052" s="13" t="s">
        <v>4837</v>
      </c>
      <c r="G1052" s="13" t="s">
        <v>5123</v>
      </c>
      <c r="H1052" s="14"/>
      <c r="I1052" s="15">
        <v>0.0</v>
      </c>
      <c r="J1052" s="15">
        <v>0.0</v>
      </c>
      <c r="K1052" s="12" t="str">
        <f t="shared" ref="K1052:K1053" si="104">HYPERLINK("https://socialportalpro.com","Social Tweeting")</f>
        <v>Social Tweeting</v>
      </c>
      <c r="L1052" s="16">
        <v>4086.0</v>
      </c>
      <c r="M1052" s="16">
        <v>5749.0</v>
      </c>
      <c r="N1052" s="16">
        <v>9.0</v>
      </c>
      <c r="O1052" s="17"/>
      <c r="P1052" s="18">
        <v>39900.91758101852</v>
      </c>
      <c r="Q1052" s="1" t="s">
        <v>5124</v>
      </c>
      <c r="R1052" s="1" t="s">
        <v>5125</v>
      </c>
      <c r="S1052" s="13" t="s">
        <v>5126</v>
      </c>
      <c r="T1052" s="14"/>
      <c r="U1052" s="19" t="str">
        <f>HYPERLINK("https://pbs.twimg.com/profile_images/125797029/smallfam.JPG","View")</f>
        <v>View</v>
      </c>
      <c r="V1052" s="14"/>
      <c r="W1052" s="14"/>
      <c r="X1052" s="14"/>
      <c r="Y1052" s="14"/>
      <c r="Z1052" s="14"/>
    </row>
    <row r="1053">
      <c r="A1053" s="11">
        <v>43846.41342592593</v>
      </c>
      <c r="B1053" s="12" t="str">
        <f>HYPERLINK("https://twitter.com/Billm1492","@Billm1492")</f>
        <v>@Billm1492</v>
      </c>
      <c r="C1053" s="1" t="s">
        <v>5127</v>
      </c>
      <c r="D1053" s="1" t="s">
        <v>4836</v>
      </c>
      <c r="E1053" s="12" t="str">
        <f>HYPERLINK("https://twitter.com/Billm1492/status/1217822650430566406","1217822650430566406")</f>
        <v>1217822650430566406</v>
      </c>
      <c r="F1053" s="13" t="s">
        <v>4837</v>
      </c>
      <c r="G1053" s="13" t="s">
        <v>5128</v>
      </c>
      <c r="H1053" s="14"/>
      <c r="I1053" s="15">
        <v>0.0</v>
      </c>
      <c r="J1053" s="15">
        <v>0.0</v>
      </c>
      <c r="K1053" s="12" t="str">
        <f t="shared" si="104"/>
        <v>Social Tweeting</v>
      </c>
      <c r="L1053" s="16">
        <v>7.0</v>
      </c>
      <c r="M1053" s="16">
        <v>42.0</v>
      </c>
      <c r="N1053" s="16">
        <v>0.0</v>
      </c>
      <c r="O1053" s="17"/>
      <c r="P1053" s="18">
        <v>42153.38512731482</v>
      </c>
      <c r="Q1053" s="14"/>
      <c r="R1053" s="14"/>
      <c r="S1053" s="14"/>
      <c r="T1053" s="14"/>
      <c r="U1053" s="19" t="str">
        <f>HYPERLINK("https://pbs.twimg.com/profile_images/604276963528679424/MLyVmtXQ.jpg","View")</f>
        <v>View</v>
      </c>
      <c r="V1053" s="14"/>
      <c r="W1053" s="14"/>
      <c r="X1053" s="14"/>
      <c r="Y1053" s="14"/>
      <c r="Z1053" s="14"/>
    </row>
    <row r="1054">
      <c r="A1054" s="11">
        <v>43846.4086574074</v>
      </c>
      <c r="B1054" s="12" t="str">
        <f>HYPERLINK("https://twitter.com/empowerhouseinc","@empowerhouseinc")</f>
        <v>@empowerhouseinc</v>
      </c>
      <c r="C1054" s="1" t="s">
        <v>5129</v>
      </c>
      <c r="D1054" s="1" t="s">
        <v>5130</v>
      </c>
      <c r="E1054" s="12" t="str">
        <f>HYPERLINK("https://twitter.com/empowerhouseinc/status/1217820920934518784","1217820920934518784")</f>
        <v>1217820920934518784</v>
      </c>
      <c r="F1054" s="13" t="s">
        <v>5131</v>
      </c>
      <c r="G1054" s="14"/>
      <c r="H1054" s="14"/>
      <c r="I1054" s="15">
        <v>1.0</v>
      </c>
      <c r="J1054" s="15">
        <v>0.0</v>
      </c>
      <c r="K1054" s="12" t="str">
        <f>HYPERLINK("http://twitter.com/download/iphone","Twitter for iPhone")</f>
        <v>Twitter for iPhone</v>
      </c>
      <c r="L1054" s="16">
        <v>72.0</v>
      </c>
      <c r="M1054" s="16">
        <v>240.0</v>
      </c>
      <c r="N1054" s="16">
        <v>0.0</v>
      </c>
      <c r="O1054" s="17"/>
      <c r="P1054" s="18">
        <v>42760.82953703703</v>
      </c>
      <c r="Q1054" s="14"/>
      <c r="R1054" s="1" t="s">
        <v>5132</v>
      </c>
      <c r="S1054" s="13" t="s">
        <v>5133</v>
      </c>
      <c r="T1054" s="14"/>
      <c r="U1054" s="19" t="str">
        <f>HYPERLINK("https://pbs.twimg.com/profile_images/824424732082597890/Wfg6SJfx.jpg","View")</f>
        <v>View</v>
      </c>
      <c r="V1054" s="14"/>
      <c r="W1054" s="14"/>
      <c r="X1054" s="14"/>
      <c r="Y1054" s="14"/>
      <c r="Z1054" s="14"/>
    </row>
    <row r="1055">
      <c r="A1055" s="11">
        <v>43846.40694444445</v>
      </c>
      <c r="B1055" s="12" t="str">
        <f>HYPERLINK("https://twitter.com/InsightBusWorks","@InsightBusWorks")</f>
        <v>@InsightBusWorks</v>
      </c>
      <c r="C1055" s="1" t="s">
        <v>5134</v>
      </c>
      <c r="D1055" s="1" t="s">
        <v>5135</v>
      </c>
      <c r="E1055" s="12" t="str">
        <f>HYPERLINK("https://twitter.com/InsightBusWorks/status/1217820300445921281","1217820300445921281")</f>
        <v>1217820300445921281</v>
      </c>
      <c r="F1055" s="13" t="s">
        <v>5136</v>
      </c>
      <c r="G1055" s="13" t="s">
        <v>5137</v>
      </c>
      <c r="H1055" s="14"/>
      <c r="I1055" s="15">
        <v>0.0</v>
      </c>
      <c r="J1055" s="15">
        <v>0.0</v>
      </c>
      <c r="K1055" s="12" t="str">
        <f>HYPERLINK("https://about.twitter.com/products/tweetdeck","TweetDeck")</f>
        <v>TweetDeck</v>
      </c>
      <c r="L1055" s="16">
        <v>1604.0</v>
      </c>
      <c r="M1055" s="16">
        <v>1431.0</v>
      </c>
      <c r="N1055" s="16">
        <v>38.0</v>
      </c>
      <c r="O1055" s="17"/>
      <c r="P1055" s="18">
        <v>40938.32407407407</v>
      </c>
      <c r="Q1055" s="1" t="s">
        <v>5138</v>
      </c>
      <c r="R1055" s="1" t="s">
        <v>5139</v>
      </c>
      <c r="S1055" s="13" t="s">
        <v>5140</v>
      </c>
      <c r="T1055" s="14"/>
      <c r="U1055" s="19" t="str">
        <f>HYPERLINK("https://pbs.twimg.com/profile_images/738547024836993024/m5TRvAjy.jpg","View")</f>
        <v>View</v>
      </c>
      <c r="V1055" s="14"/>
      <c r="W1055" s="14"/>
      <c r="X1055" s="14"/>
      <c r="Y1055" s="14"/>
      <c r="Z1055" s="14"/>
    </row>
    <row r="1056">
      <c r="A1056" s="11">
        <v>43846.40650462963</v>
      </c>
      <c r="B1056" s="12" t="str">
        <f>HYPERLINK("https://twitter.com/itsgardningtime","@itsgardningtime")</f>
        <v>@itsgardningtime</v>
      </c>
      <c r="C1056" s="1" t="s">
        <v>1169</v>
      </c>
      <c r="D1056" s="1" t="s">
        <v>1170</v>
      </c>
      <c r="E1056" s="12" t="str">
        <f>HYPERLINK("https://twitter.com/itsgardningtime/status/1217820140907024384","1217820140907024384")</f>
        <v>1217820140907024384</v>
      </c>
      <c r="F1056" s="13" t="s">
        <v>1171</v>
      </c>
      <c r="G1056" s="14"/>
      <c r="H1056" s="14"/>
      <c r="I1056" s="15">
        <v>0.0</v>
      </c>
      <c r="J1056" s="15">
        <v>0.0</v>
      </c>
      <c r="K1056" s="12" t="str">
        <f>HYPERLINK("http://itsgardeningtime.com","its_twitter_app")</f>
        <v>its_twitter_app</v>
      </c>
      <c r="L1056" s="16">
        <v>4886.0</v>
      </c>
      <c r="M1056" s="16">
        <v>1450.0</v>
      </c>
      <c r="N1056" s="16">
        <v>112.0</v>
      </c>
      <c r="O1056" s="17"/>
      <c r="P1056" s="18">
        <v>41797.48112268519</v>
      </c>
      <c r="Q1056" s="1" t="s">
        <v>1172</v>
      </c>
      <c r="R1056" s="1" t="s">
        <v>1173</v>
      </c>
      <c r="S1056" s="13" t="s">
        <v>1174</v>
      </c>
      <c r="T1056" s="14"/>
      <c r="U1056" s="19" t="str">
        <f>HYPERLINK("https://pbs.twimg.com/profile_images/475316354694660096/LwQ1yvEV.jpeg","View")</f>
        <v>View</v>
      </c>
      <c r="V1056" s="14"/>
      <c r="W1056" s="14"/>
      <c r="X1056" s="14"/>
      <c r="Y1056" s="14"/>
      <c r="Z1056" s="14"/>
    </row>
    <row r="1057">
      <c r="A1057" s="11">
        <v>43846.40626157407</v>
      </c>
      <c r="B1057" s="12" t="str">
        <f>HYPERLINK("https://twitter.com/s_aleem","@s_aleem")</f>
        <v>@s_aleem</v>
      </c>
      <c r="C1057" s="1" t="s">
        <v>5141</v>
      </c>
      <c r="D1057" s="1" t="s">
        <v>5142</v>
      </c>
      <c r="E1057" s="12" t="str">
        <f>HYPERLINK("https://twitter.com/s_aleem/status/1217820053019807745","1217820053019807745")</f>
        <v>1217820053019807745</v>
      </c>
      <c r="F1057" s="13" t="s">
        <v>5143</v>
      </c>
      <c r="G1057" s="14"/>
      <c r="H1057" s="14"/>
      <c r="I1057" s="15">
        <v>1.0</v>
      </c>
      <c r="J1057" s="15">
        <v>0.0</v>
      </c>
      <c r="K1057" s="12" t="str">
        <f>HYPERLINK("https://www.semrush.com/","SEMrush Social Media Tool")</f>
        <v>SEMrush Social Media Tool</v>
      </c>
      <c r="L1057" s="16">
        <v>2009.0</v>
      </c>
      <c r="M1057" s="16">
        <v>571.0</v>
      </c>
      <c r="N1057" s="16">
        <v>22.0</v>
      </c>
      <c r="O1057" s="17"/>
      <c r="P1057" s="18">
        <v>40962.17474537037</v>
      </c>
      <c r="Q1057" s="1" t="s">
        <v>5144</v>
      </c>
      <c r="R1057" s="1" t="s">
        <v>5145</v>
      </c>
      <c r="S1057" s="13" t="s">
        <v>5146</v>
      </c>
      <c r="T1057" s="14"/>
      <c r="U1057" s="19" t="str">
        <f>HYPERLINK("https://pbs.twimg.com/profile_images/917455358720745474/jYajSLBZ.jpg","View")</f>
        <v>View</v>
      </c>
      <c r="V1057" s="14"/>
      <c r="W1057" s="14"/>
      <c r="X1057" s="14"/>
      <c r="Y1057" s="14"/>
      <c r="Z1057" s="14"/>
    </row>
    <row r="1058">
      <c r="A1058" s="11">
        <v>43846.406076388885</v>
      </c>
      <c r="B1058" s="12" t="str">
        <f>HYPERLINK("https://twitter.com/StaywellOH","@StaywellOH")</f>
        <v>@StaywellOH</v>
      </c>
      <c r="C1058" s="1" t="s">
        <v>5147</v>
      </c>
      <c r="D1058" s="1" t="s">
        <v>5148</v>
      </c>
      <c r="E1058" s="12" t="str">
        <f>HYPERLINK("https://twitter.com/StaywellOH/status/1217819988494561280","1217819988494561280")</f>
        <v>1217819988494561280</v>
      </c>
      <c r="F1058" s="14"/>
      <c r="G1058" s="13" t="s">
        <v>5149</v>
      </c>
      <c r="H1058" s="14"/>
      <c r="I1058" s="15">
        <v>1.0</v>
      </c>
      <c r="J1058" s="15">
        <v>1.0</v>
      </c>
      <c r="K1058" s="12" t="str">
        <f t="shared" ref="K1058:K1059" si="105">HYPERLINK("https://mobile.twitter.com","Twitter Web App")</f>
        <v>Twitter Web App</v>
      </c>
      <c r="L1058" s="16">
        <v>12097.0</v>
      </c>
      <c r="M1058" s="16">
        <v>9227.0</v>
      </c>
      <c r="N1058" s="16">
        <v>239.0</v>
      </c>
      <c r="O1058" s="17"/>
      <c r="P1058" s="18">
        <v>42158.29020833333</v>
      </c>
      <c r="Q1058" s="1" t="s">
        <v>1194</v>
      </c>
      <c r="R1058" s="1" t="s">
        <v>5150</v>
      </c>
      <c r="S1058" s="13" t="s">
        <v>5151</v>
      </c>
      <c r="T1058" s="14"/>
      <c r="U1058" s="19" t="str">
        <f>HYPERLINK("https://pbs.twimg.com/profile_images/606053718086270977/NH7FHNHQ.png","View")</f>
        <v>View</v>
      </c>
      <c r="V1058" s="14"/>
      <c r="W1058" s="14"/>
      <c r="X1058" s="14"/>
      <c r="Y1058" s="14"/>
      <c r="Z1058" s="14"/>
    </row>
    <row r="1059">
      <c r="A1059" s="11">
        <v>43846.40449074074</v>
      </c>
      <c r="B1059" s="12" t="str">
        <f>HYPERLINK("https://twitter.com/manojpandey66","@manojpandey66")</f>
        <v>@manojpandey66</v>
      </c>
      <c r="C1059" s="1" t="s">
        <v>1163</v>
      </c>
      <c r="D1059" s="1" t="s">
        <v>5152</v>
      </c>
      <c r="E1059" s="12" t="str">
        <f>HYPERLINK("https://twitter.com/manojpandey66/status/1217819414088667136","1217819414088667136")</f>
        <v>1217819414088667136</v>
      </c>
      <c r="F1059" s="14"/>
      <c r="G1059" s="13" t="s">
        <v>5153</v>
      </c>
      <c r="H1059" s="14"/>
      <c r="I1059" s="15">
        <v>0.0</v>
      </c>
      <c r="J1059" s="15">
        <v>0.0</v>
      </c>
      <c r="K1059" s="12" t="str">
        <f t="shared" si="105"/>
        <v>Twitter Web App</v>
      </c>
      <c r="L1059" s="16">
        <v>1372.0</v>
      </c>
      <c r="M1059" s="16">
        <v>555.0</v>
      </c>
      <c r="N1059" s="16">
        <v>7.0</v>
      </c>
      <c r="O1059" s="17"/>
      <c r="P1059" s="18">
        <v>40746.0390625</v>
      </c>
      <c r="Q1059" s="1" t="s">
        <v>1166</v>
      </c>
      <c r="R1059" s="1" t="s">
        <v>1167</v>
      </c>
      <c r="S1059" s="13" t="s">
        <v>1168</v>
      </c>
      <c r="T1059" s="14"/>
      <c r="U1059" s="19" t="str">
        <f>HYPERLINK("https://pbs.twimg.com/profile_images/1134750107302125569/VwLz3fkd.png","View")</f>
        <v>View</v>
      </c>
      <c r="V1059" s="14"/>
      <c r="W1059" s="14"/>
      <c r="X1059" s="14"/>
      <c r="Y1059" s="14"/>
      <c r="Z1059" s="14"/>
    </row>
    <row r="1060">
      <c r="A1060" s="11">
        <v>43846.403136574074</v>
      </c>
      <c r="B1060" s="12" t="str">
        <f>HYPERLINK("https://twitter.com/OlderRelative","@OlderRelative")</f>
        <v>@OlderRelative</v>
      </c>
      <c r="C1060" s="1" t="s">
        <v>5154</v>
      </c>
      <c r="D1060" s="1" t="s">
        <v>5155</v>
      </c>
      <c r="E1060" s="12" t="str">
        <f>HYPERLINK("https://twitter.com/OlderRelative/status/1217818919576227845","1217818919576227845")</f>
        <v>1217818919576227845</v>
      </c>
      <c r="F1060" s="1" t="s">
        <v>5156</v>
      </c>
      <c r="G1060" s="13" t="s">
        <v>5157</v>
      </c>
      <c r="H1060" s="14"/>
      <c r="I1060" s="15">
        <v>2.0</v>
      </c>
      <c r="J1060" s="15">
        <v>6.0</v>
      </c>
      <c r="K1060" s="12" t="str">
        <f>HYPERLINK("http://twitter.com/download/iphone","Twitter for iPhone")</f>
        <v>Twitter for iPhone</v>
      </c>
      <c r="L1060" s="16">
        <v>14799.0</v>
      </c>
      <c r="M1060" s="16">
        <v>12967.0</v>
      </c>
      <c r="N1060" s="16">
        <v>269.0</v>
      </c>
      <c r="O1060" s="17"/>
      <c r="P1060" s="18">
        <v>40927.37614583333</v>
      </c>
      <c r="Q1060" s="1" t="s">
        <v>263</v>
      </c>
      <c r="R1060" s="1" t="s">
        <v>5158</v>
      </c>
      <c r="S1060" s="13" t="s">
        <v>5159</v>
      </c>
      <c r="T1060" s="14"/>
      <c r="U1060" s="19" t="str">
        <f>HYPERLINK("https://pbs.twimg.com/profile_images/1109134846729822208/IAQVFLrN.png","View")</f>
        <v>View</v>
      </c>
      <c r="V1060" s="14"/>
      <c r="W1060" s="14"/>
      <c r="X1060" s="14"/>
      <c r="Y1060" s="14"/>
      <c r="Z1060" s="14"/>
    </row>
    <row r="1061">
      <c r="A1061" s="11">
        <v>43846.40081018519</v>
      </c>
      <c r="B1061" s="12" t="str">
        <f>HYPERLINK("https://twitter.com/naturments","@naturments")</f>
        <v>@naturments</v>
      </c>
      <c r="C1061" s="1" t="s">
        <v>5160</v>
      </c>
      <c r="D1061" s="1" t="s">
        <v>5161</v>
      </c>
      <c r="E1061" s="12" t="str">
        <f>HYPERLINK("https://twitter.com/naturments/status/1217818077724692485","1217818077724692485")</f>
        <v>1217818077724692485</v>
      </c>
      <c r="F1061" s="13" t="s">
        <v>5162</v>
      </c>
      <c r="G1061" s="13" t="s">
        <v>5163</v>
      </c>
      <c r="H1061" s="14"/>
      <c r="I1061" s="15">
        <v>0.0</v>
      </c>
      <c r="J1061" s="15">
        <v>0.0</v>
      </c>
      <c r="K1061" s="12" t="str">
        <f>HYPERLINK("https://social.zoho.com","Zoho Social")</f>
        <v>Zoho Social</v>
      </c>
      <c r="L1061" s="16">
        <v>86.0</v>
      </c>
      <c r="M1061" s="16">
        <v>146.0</v>
      </c>
      <c r="N1061" s="16">
        <v>2.0</v>
      </c>
      <c r="O1061" s="17"/>
      <c r="P1061" s="18">
        <v>43026.4789699074</v>
      </c>
      <c r="Q1061" s="1" t="s">
        <v>56</v>
      </c>
      <c r="R1061" s="1" t="s">
        <v>5164</v>
      </c>
      <c r="S1061" s="13" t="s">
        <v>5165</v>
      </c>
      <c r="T1061" s="14"/>
      <c r="U1061" s="19" t="str">
        <f>HYPERLINK("https://pbs.twimg.com/profile_images/996691773425573888/-gyAA-m-.jpg","View")</f>
        <v>View</v>
      </c>
      <c r="V1061" s="14"/>
      <c r="W1061" s="14"/>
      <c r="X1061" s="14"/>
      <c r="Y1061" s="14"/>
      <c r="Z1061" s="14"/>
    </row>
    <row r="1062">
      <c r="A1062" s="11">
        <v>43846.400555555556</v>
      </c>
      <c r="B1062" s="12" t="str">
        <f>HYPERLINK("https://twitter.com/maturethinking1","@maturethinking1")</f>
        <v>@maturethinking1</v>
      </c>
      <c r="C1062" s="1" t="s">
        <v>5166</v>
      </c>
      <c r="D1062" s="1" t="s">
        <v>5167</v>
      </c>
      <c r="E1062" s="12" t="str">
        <f>HYPERLINK("https://twitter.com/maturethinking1/status/1217817988159746049","1217817988159746049")</f>
        <v>1217817988159746049</v>
      </c>
      <c r="F1062" s="1" t="s">
        <v>5168</v>
      </c>
      <c r="G1062" s="13" t="s">
        <v>5169</v>
      </c>
      <c r="H1062" s="14"/>
      <c r="I1062" s="15">
        <v>0.0</v>
      </c>
      <c r="J1062" s="15">
        <v>0.0</v>
      </c>
      <c r="K1062" s="12" t="str">
        <f t="shared" ref="K1062:K1063" si="106">HYPERLINK("https://mobile.twitter.com","Twitter Web App")</f>
        <v>Twitter Web App</v>
      </c>
      <c r="L1062" s="16">
        <v>2544.0</v>
      </c>
      <c r="M1062" s="16">
        <v>4898.0</v>
      </c>
      <c r="N1062" s="16">
        <v>37.0</v>
      </c>
      <c r="O1062" s="17"/>
      <c r="P1062" s="18">
        <v>42486.443136574075</v>
      </c>
      <c r="Q1062" s="1" t="s">
        <v>268</v>
      </c>
      <c r="R1062" s="1" t="s">
        <v>5170</v>
      </c>
      <c r="S1062" s="13" t="s">
        <v>5171</v>
      </c>
      <c r="T1062" s="14"/>
      <c r="U1062" s="19" t="str">
        <f>HYPERLINK("https://pbs.twimg.com/profile_images/724983913362378752/DD9JIMIz.jpg","View")</f>
        <v>View</v>
      </c>
      <c r="V1062" s="14"/>
      <c r="W1062" s="14"/>
      <c r="X1062" s="14"/>
      <c r="Y1062" s="14"/>
      <c r="Z1062" s="14"/>
    </row>
    <row r="1063">
      <c r="A1063" s="11">
        <v>43846.4000462963</v>
      </c>
      <c r="B1063" s="12" t="str">
        <f>HYPERLINK("https://twitter.com/DeborahStone_","@DeborahStone_")</f>
        <v>@DeborahStone_</v>
      </c>
      <c r="C1063" s="1" t="s">
        <v>5172</v>
      </c>
      <c r="D1063" s="1" t="s">
        <v>5173</v>
      </c>
      <c r="E1063" s="12" t="str">
        <f>HYPERLINK("https://twitter.com/DeborahStone_/status/1217817801890717696","1217817801890717696")</f>
        <v>1217817801890717696</v>
      </c>
      <c r="F1063" s="1" t="s">
        <v>5168</v>
      </c>
      <c r="G1063" s="13" t="s">
        <v>5174</v>
      </c>
      <c r="H1063" s="14"/>
      <c r="I1063" s="15">
        <v>0.0</v>
      </c>
      <c r="J1063" s="15">
        <v>0.0</v>
      </c>
      <c r="K1063" s="12" t="str">
        <f t="shared" si="106"/>
        <v>Twitter Web App</v>
      </c>
      <c r="L1063" s="16">
        <v>1495.0</v>
      </c>
      <c r="M1063" s="16">
        <v>2320.0</v>
      </c>
      <c r="N1063" s="16">
        <v>13.0</v>
      </c>
      <c r="O1063" s="17"/>
      <c r="P1063" s="18">
        <v>43311.463171296295</v>
      </c>
      <c r="Q1063" s="1" t="s">
        <v>268</v>
      </c>
      <c r="R1063" s="1" t="s">
        <v>5175</v>
      </c>
      <c r="S1063" s="13" t="s">
        <v>5176</v>
      </c>
      <c r="T1063" s="14"/>
      <c r="U1063" s="19" t="str">
        <f>HYPERLINK("https://pbs.twimg.com/profile_images/1113695050280706049/Dr_zv61o.png","View")</f>
        <v>View</v>
      </c>
      <c r="V1063" s="14"/>
      <c r="W1063" s="14"/>
      <c r="X1063" s="14"/>
      <c r="Y1063" s="14"/>
      <c r="Z1063" s="14"/>
    </row>
    <row r="1064">
      <c r="A1064" s="11">
        <v>43846.398368055554</v>
      </c>
      <c r="B1064" s="12" t="str">
        <f>HYPERLINK("https://twitter.com/UrsulaParedes1","@UrsulaParedes1")</f>
        <v>@UrsulaParedes1</v>
      </c>
      <c r="C1064" s="1" t="s">
        <v>5177</v>
      </c>
      <c r="D1064" s="1" t="s">
        <v>5178</v>
      </c>
      <c r="E1064" s="12" t="str">
        <f>HYPERLINK("https://twitter.com/UrsulaParedes1/status/1217817191279665152","1217817191279665152")</f>
        <v>1217817191279665152</v>
      </c>
      <c r="F1064" s="14"/>
      <c r="G1064" s="14"/>
      <c r="H1064" s="14"/>
      <c r="I1064" s="15">
        <v>1.0</v>
      </c>
      <c r="J1064" s="15">
        <v>6.0</v>
      </c>
      <c r="K1064" s="12" t="str">
        <f>HYPERLINK("http://twitter.com/download/android","Twitter for Android")</f>
        <v>Twitter for Android</v>
      </c>
      <c r="L1064" s="16">
        <v>106.0</v>
      </c>
      <c r="M1064" s="16">
        <v>183.0</v>
      </c>
      <c r="N1064" s="16">
        <v>0.0</v>
      </c>
      <c r="O1064" s="17"/>
      <c r="P1064" s="18">
        <v>42569.26832175926</v>
      </c>
      <c r="Q1064" s="1" t="s">
        <v>5179</v>
      </c>
      <c r="R1064" s="1" t="s">
        <v>5180</v>
      </c>
      <c r="S1064" s="14"/>
      <c r="T1064" s="14"/>
      <c r="U1064" s="19" t="str">
        <f>HYPERLINK("https://pbs.twimg.com/profile_images/966453214039171072/oQHU0PIY.jpg","View")</f>
        <v>View</v>
      </c>
      <c r="V1064" s="14"/>
      <c r="W1064" s="14"/>
      <c r="X1064" s="14"/>
      <c r="Y1064" s="14"/>
      <c r="Z1064" s="14"/>
    </row>
    <row r="1065">
      <c r="A1065" s="11">
        <v>43846.39766203704</v>
      </c>
      <c r="B1065" s="12" t="str">
        <f>HYPERLINK("https://twitter.com/mBIT4success","@mBIT4success")</f>
        <v>@mBIT4success</v>
      </c>
      <c r="C1065" s="1" t="s">
        <v>3000</v>
      </c>
      <c r="D1065" s="1" t="s">
        <v>5181</v>
      </c>
      <c r="E1065" s="12" t="str">
        <f>HYPERLINK("https://twitter.com/mBIT4success/status/1217816938954612738","1217816938954612738")</f>
        <v>1217816938954612738</v>
      </c>
      <c r="F1065" s="1" t="s">
        <v>5182</v>
      </c>
      <c r="G1065" s="13" t="s">
        <v>5183</v>
      </c>
      <c r="H1065" s="14"/>
      <c r="I1065" s="15">
        <v>0.0</v>
      </c>
      <c r="J1065" s="15">
        <v>0.0</v>
      </c>
      <c r="K1065" s="12" t="str">
        <f>HYPERLINK("http://twitter.com/#!/download/ipad","Twitter for iPad")</f>
        <v>Twitter for iPad</v>
      </c>
      <c r="L1065" s="16">
        <v>795.0</v>
      </c>
      <c r="M1065" s="16">
        <v>645.0</v>
      </c>
      <c r="N1065" s="16">
        <v>82.0</v>
      </c>
      <c r="O1065" s="17"/>
      <c r="P1065" s="18">
        <v>41418.204618055555</v>
      </c>
      <c r="Q1065" s="1" t="s">
        <v>3003</v>
      </c>
      <c r="R1065" s="1" t="s">
        <v>3004</v>
      </c>
      <c r="S1065" s="13" t="s">
        <v>3005</v>
      </c>
      <c r="T1065" s="14"/>
      <c r="U1065" s="19" t="str">
        <f>HYPERLINK("https://pbs.twimg.com/profile_images/378800000140155399/c453613fa41c5099d84b894b496158a7.jpeg","View")</f>
        <v>View</v>
      </c>
      <c r="V1065" s="14"/>
      <c r="W1065" s="14"/>
      <c r="X1065" s="14"/>
      <c r="Y1065" s="14"/>
      <c r="Z1065" s="14"/>
    </row>
    <row r="1066">
      <c r="A1066" s="11">
        <v>43846.39747685185</v>
      </c>
      <c r="B1066" s="12" t="str">
        <f>HYPERLINK("https://twitter.com/dctalktherapy","@dctalktherapy")</f>
        <v>@dctalktherapy</v>
      </c>
      <c r="C1066" s="1" t="s">
        <v>5184</v>
      </c>
      <c r="D1066" s="1" t="s">
        <v>5185</v>
      </c>
      <c r="E1066" s="12" t="str">
        <f>HYPERLINK("https://twitter.com/dctalktherapy/status/1217816868993499138","1217816868993499138")</f>
        <v>1217816868993499138</v>
      </c>
      <c r="F1066" s="13" t="s">
        <v>5186</v>
      </c>
      <c r="G1066" s="14"/>
      <c r="H1066" s="14"/>
      <c r="I1066" s="15">
        <v>0.0</v>
      </c>
      <c r="J1066" s="15">
        <v>0.0</v>
      </c>
      <c r="K1066" s="12" t="str">
        <f>HYPERLINK("https://mobile.twitter.com","Twitter Web App")</f>
        <v>Twitter Web App</v>
      </c>
      <c r="L1066" s="16">
        <v>2703.0</v>
      </c>
      <c r="M1066" s="16">
        <v>1186.0</v>
      </c>
      <c r="N1066" s="16">
        <v>61.0</v>
      </c>
      <c r="O1066" s="17"/>
      <c r="P1066" s="18">
        <v>39838.746087962965</v>
      </c>
      <c r="Q1066" s="1" t="s">
        <v>2263</v>
      </c>
      <c r="R1066" s="1" t="s">
        <v>5187</v>
      </c>
      <c r="S1066" s="13" t="s">
        <v>5188</v>
      </c>
      <c r="T1066" s="14"/>
      <c r="U1066" s="19" t="str">
        <f>HYPERLINK("https://pbs.twimg.com/profile_images/447100856794509312/BPpp-R5n.jpeg","View")</f>
        <v>View</v>
      </c>
      <c r="V1066" s="14"/>
      <c r="W1066" s="14"/>
      <c r="X1066" s="14"/>
      <c r="Y1066" s="14"/>
      <c r="Z1066" s="14"/>
    </row>
    <row r="1067">
      <c r="A1067" s="11">
        <v>43846.395949074074</v>
      </c>
      <c r="B1067" s="12" t="str">
        <f>HYPERLINK("https://twitter.com/HerbalGardenFL","@HerbalGardenFL")</f>
        <v>@HerbalGardenFL</v>
      </c>
      <c r="C1067" s="1" t="s">
        <v>1803</v>
      </c>
      <c r="D1067" s="1" t="s">
        <v>5189</v>
      </c>
      <c r="E1067" s="12" t="str">
        <f>HYPERLINK("https://twitter.com/HerbalGardenFL/status/1217816317052510208","1217816317052510208")</f>
        <v>1217816317052510208</v>
      </c>
      <c r="F1067" s="1" t="s">
        <v>5190</v>
      </c>
      <c r="G1067" s="14"/>
      <c r="H1067" s="14"/>
      <c r="I1067" s="15">
        <v>0.0</v>
      </c>
      <c r="J1067" s="15">
        <v>1.0</v>
      </c>
      <c r="K1067" s="12" t="str">
        <f>HYPERLINK("https://kuku.io","Link account with KUKU.io")</f>
        <v>Link account with KUKU.io</v>
      </c>
      <c r="L1067" s="16">
        <v>129.0</v>
      </c>
      <c r="M1067" s="16">
        <v>90.0</v>
      </c>
      <c r="N1067" s="16">
        <v>3.0</v>
      </c>
      <c r="O1067" s="17"/>
      <c r="P1067" s="18">
        <v>41130.93263888889</v>
      </c>
      <c r="Q1067" s="1" t="s">
        <v>1806</v>
      </c>
      <c r="R1067" s="1" t="s">
        <v>1807</v>
      </c>
      <c r="S1067" s="13" t="s">
        <v>1808</v>
      </c>
      <c r="T1067" s="14"/>
      <c r="U1067" s="19" t="str">
        <f>HYPERLINK("https://pbs.twimg.com/profile_images/713345260160679936/WZnIHWw4.jpg","View")</f>
        <v>View</v>
      </c>
      <c r="V1067" s="14"/>
      <c r="W1067" s="14"/>
      <c r="X1067" s="14"/>
      <c r="Y1067" s="14"/>
      <c r="Z1067" s="14"/>
    </row>
    <row r="1068">
      <c r="A1068" s="11">
        <v>43846.39586805555</v>
      </c>
      <c r="B1068" s="12" t="str">
        <f>HYPERLINK("https://twitter.com/xcode_ls","@xcode_ls")</f>
        <v>@xcode_ls</v>
      </c>
      <c r="C1068" s="1" t="s">
        <v>5191</v>
      </c>
      <c r="D1068" s="1" t="s">
        <v>5142</v>
      </c>
      <c r="E1068" s="12" t="str">
        <f>HYPERLINK("https://twitter.com/xcode_ls/status/1217816285452685313","1217816285452685313")</f>
        <v>1217816285452685313</v>
      </c>
      <c r="F1068" s="13" t="s">
        <v>5143</v>
      </c>
      <c r="G1068" s="14"/>
      <c r="H1068" s="14"/>
      <c r="I1068" s="15">
        <v>0.0</v>
      </c>
      <c r="J1068" s="15">
        <v>0.0</v>
      </c>
      <c r="K1068" s="12" t="str">
        <f>HYPERLINK("https://www.semrush.com/","SEMrush Social Media Tool")</f>
        <v>SEMrush Social Media Tool</v>
      </c>
      <c r="L1068" s="16">
        <v>758.0</v>
      </c>
      <c r="M1068" s="16">
        <v>397.0</v>
      </c>
      <c r="N1068" s="16">
        <v>15.0</v>
      </c>
      <c r="O1068" s="17"/>
      <c r="P1068" s="18">
        <v>40527.97767361111</v>
      </c>
      <c r="Q1068" s="14"/>
      <c r="R1068" s="1" t="s">
        <v>5192</v>
      </c>
      <c r="S1068" s="13" t="s">
        <v>5193</v>
      </c>
      <c r="T1068" s="14"/>
      <c r="U1068" s="19" t="str">
        <f>HYPERLINK("https://pbs.twimg.com/profile_images/786101037346193408/_wTgQt0G.jpg","View")</f>
        <v>View</v>
      </c>
      <c r="V1068" s="14"/>
      <c r="W1068" s="14"/>
      <c r="X1068" s="14"/>
      <c r="Y1068" s="14"/>
      <c r="Z1068" s="14"/>
    </row>
    <row r="1069">
      <c r="A1069" s="11">
        <v>43846.3937037037</v>
      </c>
      <c r="B1069" s="12" t="str">
        <f>HYPERLINK("https://twitter.com/inspiredsto","@inspiredsto")</f>
        <v>@inspiredsto</v>
      </c>
      <c r="C1069" s="1" t="s">
        <v>5194</v>
      </c>
      <c r="D1069" s="1" t="s">
        <v>5195</v>
      </c>
      <c r="E1069" s="12" t="str">
        <f>HYPERLINK("https://twitter.com/inspiredsto/status/1217815505114976257","1217815505114976257")</f>
        <v>1217815505114976257</v>
      </c>
      <c r="F1069" s="14"/>
      <c r="G1069" s="14"/>
      <c r="H1069" s="14"/>
      <c r="I1069" s="15">
        <v>1.0</v>
      </c>
      <c r="J1069" s="15">
        <v>6.0</v>
      </c>
      <c r="K1069" s="12" t="str">
        <f>HYPERLINK("http://twitter.com/download/android","Twitter for Android")</f>
        <v>Twitter for Android</v>
      </c>
      <c r="L1069" s="16">
        <v>971.0</v>
      </c>
      <c r="M1069" s="16">
        <v>506.0</v>
      </c>
      <c r="N1069" s="16">
        <v>48.0</v>
      </c>
      <c r="O1069" s="17"/>
      <c r="P1069" s="18">
        <v>41882.114166666666</v>
      </c>
      <c r="Q1069" s="1" t="s">
        <v>5196</v>
      </c>
      <c r="R1069" s="1" t="s">
        <v>5197</v>
      </c>
      <c r="S1069" s="14"/>
      <c r="T1069" s="14"/>
      <c r="U1069" s="19" t="str">
        <f>HYPERLINK("https://pbs.twimg.com/profile_images/581334892883144704/ArmG_q9b.jpg","View")</f>
        <v>View</v>
      </c>
      <c r="V1069" s="14"/>
      <c r="W1069" s="14"/>
      <c r="X1069" s="14"/>
      <c r="Y1069" s="14"/>
      <c r="Z1069" s="14"/>
    </row>
    <row r="1070">
      <c r="A1070" s="11">
        <v>43846.390706018516</v>
      </c>
      <c r="B1070" s="12" t="str">
        <f>HYPERLINK("https://twitter.com/LifestyleLight","@LifestyleLight")</f>
        <v>@LifestyleLight</v>
      </c>
      <c r="C1070" s="1" t="s">
        <v>5198</v>
      </c>
      <c r="D1070" s="1" t="s">
        <v>5199</v>
      </c>
      <c r="E1070" s="12" t="str">
        <f>HYPERLINK("https://twitter.com/LifestyleLight/status/1217814416680476673","1217814416680476673")</f>
        <v>1217814416680476673</v>
      </c>
      <c r="F1070" s="13" t="s">
        <v>5200</v>
      </c>
      <c r="G1070" s="13" t="s">
        <v>5201</v>
      </c>
      <c r="H1070" s="14"/>
      <c r="I1070" s="15">
        <v>0.0</v>
      </c>
      <c r="J1070" s="15">
        <v>0.0</v>
      </c>
      <c r="K1070" s="12" t="str">
        <f>HYPERLINK("https://missinglettr.com","Missinglettr")</f>
        <v>Missinglettr</v>
      </c>
      <c r="L1070" s="16">
        <v>4.0</v>
      </c>
      <c r="M1070" s="16">
        <v>6.0</v>
      </c>
      <c r="N1070" s="16">
        <v>0.0</v>
      </c>
      <c r="O1070" s="17"/>
      <c r="P1070" s="18">
        <v>43329.48469907408</v>
      </c>
      <c r="Q1070" s="1" t="s">
        <v>5202</v>
      </c>
      <c r="R1070" s="1" t="s">
        <v>5203</v>
      </c>
      <c r="S1070" s="13" t="s">
        <v>5204</v>
      </c>
      <c r="T1070" s="14"/>
      <c r="U1070" s="19" t="str">
        <f>HYPERLINK("https://pbs.twimg.com/profile_images/1030479716787146753/11d2Qx41.jpg","View")</f>
        <v>View</v>
      </c>
      <c r="V1070" s="14"/>
      <c r="W1070" s="14"/>
      <c r="X1070" s="14"/>
      <c r="Y1070" s="14"/>
      <c r="Z1070" s="14"/>
    </row>
    <row r="1071">
      <c r="A1071" s="11">
        <v>43846.39068287037</v>
      </c>
      <c r="B1071" s="12" t="str">
        <f>HYPERLINK("https://twitter.com/wtoddmaddox","@wtoddmaddox")</f>
        <v>@wtoddmaddox</v>
      </c>
      <c r="C1071" s="1" t="s">
        <v>5205</v>
      </c>
      <c r="D1071" s="1" t="s">
        <v>5206</v>
      </c>
      <c r="E1071" s="12" t="str">
        <f>HYPERLINK("https://twitter.com/wtoddmaddox/status/1217814406672928770","1217814406672928770")</f>
        <v>1217814406672928770</v>
      </c>
      <c r="F1071" s="13" t="s">
        <v>5207</v>
      </c>
      <c r="G1071" s="14"/>
      <c r="H1071" s="14"/>
      <c r="I1071" s="15">
        <v>0.0</v>
      </c>
      <c r="J1071" s="15">
        <v>0.0</v>
      </c>
      <c r="K1071" s="12" t="str">
        <f>HYPERLINK("https://mobile.twitter.com","Twitter Web App")</f>
        <v>Twitter Web App</v>
      </c>
      <c r="L1071" s="16">
        <v>348.0</v>
      </c>
      <c r="M1071" s="16">
        <v>239.0</v>
      </c>
      <c r="N1071" s="16">
        <v>18.0</v>
      </c>
      <c r="O1071" s="17"/>
      <c r="P1071" s="18">
        <v>43079.85123842592</v>
      </c>
      <c r="Q1071" s="1" t="s">
        <v>5208</v>
      </c>
      <c r="R1071" s="1" t="s">
        <v>5209</v>
      </c>
      <c r="S1071" s="14"/>
      <c r="T1071" s="14"/>
      <c r="U1071" s="19" t="str">
        <f>HYPERLINK("https://pbs.twimg.com/profile_images/940685669503868928/oxUAe-RW.jpg","View")</f>
        <v>View</v>
      </c>
      <c r="V1071" s="14"/>
      <c r="W1071" s="14"/>
      <c r="X1071" s="14"/>
      <c r="Y1071" s="14"/>
      <c r="Z1071" s="14"/>
    </row>
    <row r="1072">
      <c r="A1072" s="11">
        <v>43846.38890046296</v>
      </c>
      <c r="B1072" s="12" t="str">
        <f>HYPERLINK("https://twitter.com/TawannaBSmith","@TawannaBSmith")</f>
        <v>@TawannaBSmith</v>
      </c>
      <c r="C1072" s="1" t="s">
        <v>5210</v>
      </c>
      <c r="D1072" s="1" t="s">
        <v>1661</v>
      </c>
      <c r="E1072" s="12" t="str">
        <f>HYPERLINK("https://twitter.com/TawannaBSmith/status/1217813764046761986","1217813764046761986")</f>
        <v>1217813764046761986</v>
      </c>
      <c r="F1072" s="13" t="s">
        <v>1662</v>
      </c>
      <c r="G1072" s="13" t="s">
        <v>5211</v>
      </c>
      <c r="H1072" s="14"/>
      <c r="I1072" s="15">
        <v>0.0</v>
      </c>
      <c r="J1072" s="15">
        <v>1.0</v>
      </c>
      <c r="K1072" s="12" t="str">
        <f t="shared" ref="K1072:K1073" si="107">HYPERLINK("https://buffer.com","Buffer")</f>
        <v>Buffer</v>
      </c>
      <c r="L1072" s="16">
        <v>14121.0</v>
      </c>
      <c r="M1072" s="16">
        <v>8701.0</v>
      </c>
      <c r="N1072" s="16">
        <v>787.0</v>
      </c>
      <c r="O1072" s="17"/>
      <c r="P1072" s="18">
        <v>39950.147893518515</v>
      </c>
      <c r="Q1072" s="13" t="s">
        <v>5212</v>
      </c>
      <c r="R1072" s="1" t="s">
        <v>5213</v>
      </c>
      <c r="S1072" s="13" t="s">
        <v>5214</v>
      </c>
      <c r="T1072" s="14"/>
      <c r="U1072" s="19" t="str">
        <f>HYPERLINK("https://pbs.twimg.com/profile_images/848881593401970688/CGwgWGXL.jpg","View")</f>
        <v>View</v>
      </c>
      <c r="V1072" s="14"/>
      <c r="W1072" s="14"/>
      <c r="X1072" s="14"/>
      <c r="Y1072" s="14"/>
      <c r="Z1072" s="14"/>
    </row>
    <row r="1073">
      <c r="A1073" s="11">
        <v>43846.38752314815</v>
      </c>
      <c r="B1073" s="12" t="str">
        <f>HYPERLINK("https://twitter.com/GoMcGillMedia","@GoMcGillMedia")</f>
        <v>@GoMcGillMedia</v>
      </c>
      <c r="C1073" s="1" t="s">
        <v>5215</v>
      </c>
      <c r="D1073" s="1" t="s">
        <v>5216</v>
      </c>
      <c r="E1073" s="12" t="str">
        <f>HYPERLINK("https://twitter.com/GoMcGillMedia/status/1217813263662092294","1217813263662092294")</f>
        <v>1217813263662092294</v>
      </c>
      <c r="F1073" s="14"/>
      <c r="G1073" s="13" t="s">
        <v>5217</v>
      </c>
      <c r="H1073" s="14"/>
      <c r="I1073" s="15">
        <v>2.0</v>
      </c>
      <c r="J1073" s="15">
        <v>11.0</v>
      </c>
      <c r="K1073" s="12" t="str">
        <f t="shared" si="107"/>
        <v>Buffer</v>
      </c>
      <c r="L1073" s="16">
        <v>25176.0</v>
      </c>
      <c r="M1073" s="16">
        <v>666.0</v>
      </c>
      <c r="N1073" s="16">
        <v>451.0</v>
      </c>
      <c r="O1073" s="17"/>
      <c r="P1073" s="18">
        <v>41229.055856481486</v>
      </c>
      <c r="Q1073" s="1" t="s">
        <v>4759</v>
      </c>
      <c r="R1073" s="1" t="s">
        <v>5218</v>
      </c>
      <c r="S1073" s="13" t="s">
        <v>5219</v>
      </c>
      <c r="T1073" s="14"/>
      <c r="U1073" s="19" t="str">
        <f>HYPERLINK("https://pbs.twimg.com/profile_images/1091837180547395584/RkUNoVmS.jpg","View")</f>
        <v>View</v>
      </c>
      <c r="V1073" s="14"/>
      <c r="W1073" s="14"/>
      <c r="X1073" s="14"/>
      <c r="Y1073" s="14"/>
      <c r="Z1073" s="14"/>
    </row>
    <row r="1074">
      <c r="A1074" s="11">
        <v>43846.38685185185</v>
      </c>
      <c r="B1074" s="12" t="str">
        <f>HYPERLINK("https://twitter.com/JonChevreau","@JonChevreau")</f>
        <v>@JonChevreau</v>
      </c>
      <c r="C1074" s="1" t="s">
        <v>5220</v>
      </c>
      <c r="D1074" s="1" t="s">
        <v>5221</v>
      </c>
      <c r="E1074" s="12" t="str">
        <f>HYPERLINK("https://twitter.com/JonChevreau/status/1217813020908441601","1217813020908441601")</f>
        <v>1217813020908441601</v>
      </c>
      <c r="F1074" s="13" t="s">
        <v>5222</v>
      </c>
      <c r="G1074" s="14"/>
      <c r="H1074" s="14"/>
      <c r="I1074" s="15">
        <v>1.0</v>
      </c>
      <c r="J1074" s="15">
        <v>3.0</v>
      </c>
      <c r="K1074" s="12" t="str">
        <f>HYPERLINK("http://www.linkedin.com/","LinkedIn")</f>
        <v>LinkedIn</v>
      </c>
      <c r="L1074" s="16">
        <v>66807.0</v>
      </c>
      <c r="M1074" s="16">
        <v>20021.0</v>
      </c>
      <c r="N1074" s="16">
        <v>1403.0</v>
      </c>
      <c r="O1074" s="20" t="s">
        <v>38</v>
      </c>
      <c r="P1074" s="18">
        <v>39871.43981481482</v>
      </c>
      <c r="Q1074" s="1" t="s">
        <v>5223</v>
      </c>
      <c r="R1074" s="1" t="s">
        <v>5224</v>
      </c>
      <c r="S1074" s="13" t="s">
        <v>5225</v>
      </c>
      <c r="T1074" s="14"/>
      <c r="U1074" s="19" t="str">
        <f>HYPERLINK("https://pbs.twimg.com/profile_images/3508069940/d60662ddb2802901b6bea02fea910137.jpeg","View")</f>
        <v>View</v>
      </c>
      <c r="V1074" s="14"/>
      <c r="W1074" s="14"/>
      <c r="X1074" s="14"/>
      <c r="Y1074" s="14"/>
      <c r="Z1074" s="14"/>
    </row>
    <row r="1075">
      <c r="A1075" s="11">
        <v>43846.385717592595</v>
      </c>
      <c r="B1075" s="12" t="str">
        <f>HYPERLINK("https://twitter.com/fsgepi","@fsgepi")</f>
        <v>@fsgepi</v>
      </c>
      <c r="C1075" s="1" t="s">
        <v>5226</v>
      </c>
      <c r="D1075" s="1" t="s">
        <v>5227</v>
      </c>
      <c r="E1075" s="12" t="str">
        <f>HYPERLINK("https://twitter.com/fsgepi/status/1217812609682067456","1217812609682067456")</f>
        <v>1217812609682067456</v>
      </c>
      <c r="F1075" s="13" t="s">
        <v>5228</v>
      </c>
      <c r="G1075" s="14"/>
      <c r="H1075" s="14"/>
      <c r="I1075" s="15">
        <v>0.0</v>
      </c>
      <c r="J1075" s="15">
        <v>0.0</v>
      </c>
      <c r="K1075" s="12" t="str">
        <f>HYPERLINK("https://about.twitter.com/products/tweetdeck","TweetDeck")</f>
        <v>TweetDeck</v>
      </c>
      <c r="L1075" s="16">
        <v>1950.0</v>
      </c>
      <c r="M1075" s="16">
        <v>1536.0</v>
      </c>
      <c r="N1075" s="16">
        <v>59.0</v>
      </c>
      <c r="O1075" s="17"/>
      <c r="P1075" s="18">
        <v>41835.34923611111</v>
      </c>
      <c r="Q1075" s="14"/>
      <c r="R1075" s="1" t="s">
        <v>5229</v>
      </c>
      <c r="S1075" s="13" t="s">
        <v>5230</v>
      </c>
      <c r="T1075" s="14"/>
      <c r="U1075" s="19" t="str">
        <f>HYPERLINK("https://pbs.twimg.com/profile_images/489023909396635649/gaLWtK1E.jpeg","View")</f>
        <v>View</v>
      </c>
      <c r="V1075" s="14"/>
      <c r="W1075" s="14"/>
      <c r="X1075" s="14"/>
      <c r="Y1075" s="14"/>
      <c r="Z1075" s="14"/>
    </row>
    <row r="1076">
      <c r="A1076" s="11">
        <v>43846.38564814815</v>
      </c>
      <c r="B1076" s="12" t="str">
        <f>HYPERLINK("https://twitter.com/HealingSoundsTx","@HealingSoundsTx")</f>
        <v>@HealingSoundsTx</v>
      </c>
      <c r="C1076" s="1" t="s">
        <v>587</v>
      </c>
      <c r="D1076" s="1" t="s">
        <v>5231</v>
      </c>
      <c r="E1076" s="12" t="str">
        <f>HYPERLINK("https://twitter.com/HealingSoundsTx/status/1217812582305845249","1217812582305845249")</f>
        <v>1217812582305845249</v>
      </c>
      <c r="F1076" s="13" t="s">
        <v>5232</v>
      </c>
      <c r="G1076" s="14"/>
      <c r="H1076" s="14"/>
      <c r="I1076" s="15">
        <v>2.0</v>
      </c>
      <c r="J1076" s="15">
        <v>0.0</v>
      </c>
      <c r="K1076" s="12" t="str">
        <f>HYPERLINK("https://smarterqueue.com","SmarterQueue")</f>
        <v>SmarterQueue</v>
      </c>
      <c r="L1076" s="16">
        <v>1071.0</v>
      </c>
      <c r="M1076" s="16">
        <v>791.0</v>
      </c>
      <c r="N1076" s="16">
        <v>170.0</v>
      </c>
      <c r="O1076" s="17"/>
      <c r="P1076" s="18">
        <v>40752.95190972222</v>
      </c>
      <c r="Q1076" s="1" t="s">
        <v>590</v>
      </c>
      <c r="R1076" s="1" t="s">
        <v>591</v>
      </c>
      <c r="S1076" s="13" t="s">
        <v>592</v>
      </c>
      <c r="T1076" s="14"/>
      <c r="U1076" s="19" t="str">
        <f>HYPERLINK("https://pbs.twimg.com/profile_images/1039513853443227648/UEQFTVre.jpg","View")</f>
        <v>View</v>
      </c>
      <c r="V1076" s="14"/>
      <c r="W1076" s="14"/>
      <c r="X1076" s="14"/>
      <c r="Y1076" s="14"/>
      <c r="Z1076" s="14"/>
    </row>
    <row r="1077">
      <c r="A1077" s="11">
        <v>43846.38541666667</v>
      </c>
      <c r="B1077" s="12" t="str">
        <f>HYPERLINK("https://twitter.com/TrainingMindful","@TrainingMindful")</f>
        <v>@TrainingMindful</v>
      </c>
      <c r="C1077" s="1" t="s">
        <v>94</v>
      </c>
      <c r="D1077" s="1" t="s">
        <v>5233</v>
      </c>
      <c r="E1077" s="12" t="str">
        <f>HYPERLINK("https://twitter.com/TrainingMindful/status/1217812501179641859","1217812501179641859")</f>
        <v>1217812501179641859</v>
      </c>
      <c r="F1077" s="13" t="s">
        <v>501</v>
      </c>
      <c r="G1077" s="14"/>
      <c r="H1077" s="14"/>
      <c r="I1077" s="15">
        <v>0.0</v>
      </c>
      <c r="J1077" s="15">
        <v>3.0</v>
      </c>
      <c r="K1077" s="12" t="str">
        <f>HYPERLINK("https://www.socialoomph.com","SocialOomph")</f>
        <v>SocialOomph</v>
      </c>
      <c r="L1077" s="16">
        <v>185303.0</v>
      </c>
      <c r="M1077" s="16">
        <v>43980.0</v>
      </c>
      <c r="N1077" s="16">
        <v>2800.0</v>
      </c>
      <c r="O1077" s="17"/>
      <c r="P1077" s="18">
        <v>41286.039305555554</v>
      </c>
      <c r="Q1077" s="1" t="s">
        <v>97</v>
      </c>
      <c r="R1077" s="1" t="s">
        <v>98</v>
      </c>
      <c r="S1077" s="13" t="s">
        <v>99</v>
      </c>
      <c r="T1077" s="14"/>
      <c r="U1077" s="19" t="str">
        <f>HYPERLINK("https://pbs.twimg.com/profile_images/566526924059459584/gdMxDA9x.jpeg","View")</f>
        <v>View</v>
      </c>
      <c r="V1077" s="14"/>
      <c r="W1077" s="14"/>
      <c r="X1077" s="14"/>
      <c r="Y1077" s="14"/>
      <c r="Z1077" s="14"/>
    </row>
    <row r="1078">
      <c r="A1078" s="11">
        <v>43846.38377314815</v>
      </c>
      <c r="B1078" s="12" t="str">
        <f>HYPERLINK("https://twitter.com/sigcibel","@sigcibel")</f>
        <v>@sigcibel</v>
      </c>
      <c r="C1078" s="1" t="s">
        <v>5234</v>
      </c>
      <c r="D1078" s="1" t="s">
        <v>4085</v>
      </c>
      <c r="E1078" s="12" t="str">
        <f>HYPERLINK("https://twitter.com/sigcibel/status/1217811902677618688","1217811902677618688")</f>
        <v>1217811902677618688</v>
      </c>
      <c r="F1078" s="13" t="s">
        <v>5235</v>
      </c>
      <c r="G1078" s="13" t="s">
        <v>5236</v>
      </c>
      <c r="H1078" s="14"/>
      <c r="I1078" s="15">
        <v>0.0</v>
      </c>
      <c r="J1078" s="15">
        <v>0.0</v>
      </c>
      <c r="K1078" s="12" t="str">
        <f>HYPERLINK("https://www.corelistingmachine.com/","CORE ListingMachine")</f>
        <v>CORE ListingMachine</v>
      </c>
      <c r="L1078" s="16">
        <v>68.0</v>
      </c>
      <c r="M1078" s="16">
        <v>409.0</v>
      </c>
      <c r="N1078" s="16">
        <v>1.0</v>
      </c>
      <c r="O1078" s="17"/>
      <c r="P1078" s="18">
        <v>40179.4909837963</v>
      </c>
      <c r="Q1078" s="1" t="s">
        <v>5237</v>
      </c>
      <c r="R1078" s="14"/>
      <c r="S1078" s="14"/>
      <c r="T1078" s="14"/>
      <c r="U1078" s="19" t="str">
        <f>HYPERLINK("https://pbs.twimg.com/profile_images/3052994922/f6b65aa22f5330c376508a1b16026f27.jpeg","View")</f>
        <v>View</v>
      </c>
      <c r="V1078" s="14"/>
      <c r="W1078" s="14"/>
      <c r="X1078" s="14"/>
      <c r="Y1078" s="14"/>
      <c r="Z1078" s="14"/>
    </row>
    <row r="1079">
      <c r="A1079" s="11">
        <v>43846.38247685185</v>
      </c>
      <c r="B1079" s="12" t="str">
        <f>HYPERLINK("https://twitter.com/BrainCollectiv1","@BrainCollectiv1")</f>
        <v>@BrainCollectiv1</v>
      </c>
      <c r="C1079" s="1" t="s">
        <v>300</v>
      </c>
      <c r="D1079" s="1" t="s">
        <v>657</v>
      </c>
      <c r="E1079" s="12" t="str">
        <f>HYPERLINK("https://twitter.com/BrainCollectiv1/status/1217811436531003394","1217811436531003394")</f>
        <v>1217811436531003394</v>
      </c>
      <c r="F1079" s="13" t="s">
        <v>5238</v>
      </c>
      <c r="G1079" s="14"/>
      <c r="H1079" s="14"/>
      <c r="I1079" s="15">
        <v>0.0</v>
      </c>
      <c r="J1079" s="15">
        <v>0.0</v>
      </c>
      <c r="K1079" s="12" t="str">
        <f>HYPERLINK("https://www.socialreport.com","SocialReport.com")</f>
        <v>SocialReport.com</v>
      </c>
      <c r="L1079" s="16">
        <v>210.0</v>
      </c>
      <c r="M1079" s="16">
        <v>340.0</v>
      </c>
      <c r="N1079" s="16">
        <v>1.0</v>
      </c>
      <c r="O1079" s="17"/>
      <c r="P1079" s="18">
        <v>43033.30827546296</v>
      </c>
      <c r="Q1079" s="1" t="s">
        <v>303</v>
      </c>
      <c r="R1079" s="1" t="s">
        <v>304</v>
      </c>
      <c r="S1079" s="13" t="s">
        <v>305</v>
      </c>
      <c r="T1079" s="14"/>
      <c r="U1079" s="19" t="str">
        <f>HYPERLINK("https://pbs.twimg.com/profile_images/923152499946737664/liFNQKWG.jpg","View")</f>
        <v>View</v>
      </c>
      <c r="V1079" s="14"/>
      <c r="W1079" s="14"/>
      <c r="X1079" s="14"/>
      <c r="Y1079" s="14"/>
      <c r="Z1079" s="14"/>
    </row>
    <row r="1080">
      <c r="A1080" s="11">
        <v>43846.38149305555</v>
      </c>
      <c r="B1080" s="12" t="str">
        <f>HYPERLINK("https://twitter.com/benaldo","@benaldo")</f>
        <v>@benaldo</v>
      </c>
      <c r="C1080" s="1" t="s">
        <v>5239</v>
      </c>
      <c r="D1080" s="1" t="s">
        <v>5240</v>
      </c>
      <c r="E1080" s="12" t="str">
        <f>HYPERLINK("https://twitter.com/benaldo/status/1217811077347663884","1217811077347663884")</f>
        <v>1217811077347663884</v>
      </c>
      <c r="F1080" s="14"/>
      <c r="G1080" s="14"/>
      <c r="H1080" s="14"/>
      <c r="I1080" s="15">
        <v>1.0</v>
      </c>
      <c r="J1080" s="15">
        <v>4.0</v>
      </c>
      <c r="K1080" s="12" t="str">
        <f>HYPERLINK("https://mobile.twitter.com","Twitter Web App")</f>
        <v>Twitter Web App</v>
      </c>
      <c r="L1080" s="16">
        <v>1510.0</v>
      </c>
      <c r="M1080" s="16">
        <v>1355.0</v>
      </c>
      <c r="N1080" s="16">
        <v>91.0</v>
      </c>
      <c r="O1080" s="17"/>
      <c r="P1080" s="18">
        <v>39783.28260416667</v>
      </c>
      <c r="Q1080" s="14"/>
      <c r="R1080" s="1" t="s">
        <v>5241</v>
      </c>
      <c r="S1080" s="14"/>
      <c r="T1080" s="14"/>
      <c r="U1080" s="19" t="str">
        <f>HYPERLINK("https://pbs.twimg.com/profile_images/1195087497337987073/AZfOsp0q.jpg","View")</f>
        <v>View</v>
      </c>
      <c r="V1080" s="14"/>
      <c r="W1080" s="14"/>
      <c r="X1080" s="14"/>
      <c r="Y1080" s="14"/>
      <c r="Z1080" s="14"/>
    </row>
    <row r="1081">
      <c r="A1081" s="11">
        <v>43846.38143518519</v>
      </c>
      <c r="B1081" s="12" t="str">
        <f>HYPERLINK("https://twitter.com/MahiraK12128172","@MahiraK12128172")</f>
        <v>@MahiraK12128172</v>
      </c>
      <c r="C1081" s="1" t="s">
        <v>1961</v>
      </c>
      <c r="D1081" s="1" t="s">
        <v>5242</v>
      </c>
      <c r="E1081" s="12" t="str">
        <f>HYPERLINK("https://twitter.com/MahiraK12128172/status/1217811057739227136","1217811057739227136")</f>
        <v>1217811057739227136</v>
      </c>
      <c r="F1081" s="14"/>
      <c r="G1081" s="13" t="s">
        <v>5243</v>
      </c>
      <c r="H1081" s="14"/>
      <c r="I1081" s="15">
        <v>0.0</v>
      </c>
      <c r="J1081" s="15">
        <v>0.0</v>
      </c>
      <c r="K1081" s="12" t="str">
        <f>HYPERLINK("http://twitter.com/download/android","Twitter for Android")</f>
        <v>Twitter for Android</v>
      </c>
      <c r="L1081" s="16">
        <v>7.0</v>
      </c>
      <c r="M1081" s="16">
        <v>6.0</v>
      </c>
      <c r="N1081" s="16">
        <v>0.0</v>
      </c>
      <c r="O1081" s="17"/>
      <c r="P1081" s="18">
        <v>43828.45667824074</v>
      </c>
      <c r="Q1081" s="14"/>
      <c r="R1081" s="1" t="s">
        <v>1963</v>
      </c>
      <c r="S1081" s="14"/>
      <c r="T1081" s="14"/>
      <c r="U1081" s="19" t="str">
        <f>HYPERLINK("https://pbs.twimg.com/profile_images/1215238874550632448/rjhz6sRR.jpg","View")</f>
        <v>View</v>
      </c>
      <c r="V1081" s="14"/>
      <c r="W1081" s="14"/>
      <c r="X1081" s="14"/>
      <c r="Y1081" s="14"/>
      <c r="Z1081" s="14"/>
    </row>
    <row r="1082">
      <c r="A1082" s="11">
        <v>43846.38097222222</v>
      </c>
      <c r="B1082" s="12" t="str">
        <f>HYPERLINK("https://twitter.com/servicecarejobs","@servicecarejobs")</f>
        <v>@servicecarejobs</v>
      </c>
      <c r="C1082" s="1" t="s">
        <v>5244</v>
      </c>
      <c r="D1082" s="1" t="s">
        <v>5245</v>
      </c>
      <c r="E1082" s="12" t="str">
        <f>HYPERLINK("https://twitter.com/servicecarejobs/status/1217810889119801344","1217810889119801344")</f>
        <v>1217810889119801344</v>
      </c>
      <c r="F1082" s="13" t="s">
        <v>5246</v>
      </c>
      <c r="G1082" s="14"/>
      <c r="H1082" s="14"/>
      <c r="I1082" s="15">
        <v>1.0</v>
      </c>
      <c r="J1082" s="15">
        <v>0.0</v>
      </c>
      <c r="K1082" s="12" t="str">
        <f t="shared" ref="K1082:K1083" si="108">HYPERLINK("https://mobile.twitter.com","Twitter Web App")</f>
        <v>Twitter Web App</v>
      </c>
      <c r="L1082" s="16">
        <v>559.0</v>
      </c>
      <c r="M1082" s="16">
        <v>120.0</v>
      </c>
      <c r="N1082" s="16">
        <v>43.0</v>
      </c>
      <c r="O1082" s="17"/>
      <c r="P1082" s="18">
        <v>40073.40274305556</v>
      </c>
      <c r="Q1082" s="1" t="s">
        <v>5247</v>
      </c>
      <c r="R1082" s="1" t="s">
        <v>5248</v>
      </c>
      <c r="S1082" s="13" t="s">
        <v>5249</v>
      </c>
      <c r="T1082" s="14"/>
      <c r="U1082" s="19" t="str">
        <f>HYPERLINK("https://pbs.twimg.com/profile_images/973152035506982912/oi43usnl.jpg","View")</f>
        <v>View</v>
      </c>
      <c r="V1082" s="14"/>
      <c r="W1082" s="14"/>
      <c r="X1082" s="14"/>
      <c r="Y1082" s="14"/>
      <c r="Z1082" s="14"/>
    </row>
    <row r="1083">
      <c r="A1083" s="11">
        <v>43846.376793981486</v>
      </c>
      <c r="B1083" s="12" t="str">
        <f>HYPERLINK("https://twitter.com/gptw_me","@gptw_me")</f>
        <v>@gptw_me</v>
      </c>
      <c r="C1083" s="1" t="s">
        <v>5250</v>
      </c>
      <c r="D1083" s="1" t="s">
        <v>5251</v>
      </c>
      <c r="E1083" s="12" t="str">
        <f>HYPERLINK("https://twitter.com/gptw_me/status/1217809375659732992","1217809375659732992")</f>
        <v>1217809375659732992</v>
      </c>
      <c r="F1083" s="14"/>
      <c r="G1083" s="13" t="s">
        <v>5252</v>
      </c>
      <c r="H1083" s="14"/>
      <c r="I1083" s="15">
        <v>0.0</v>
      </c>
      <c r="J1083" s="15">
        <v>0.0</v>
      </c>
      <c r="K1083" s="12" t="str">
        <f t="shared" si="108"/>
        <v>Twitter Web App</v>
      </c>
      <c r="L1083" s="16">
        <v>2554.0</v>
      </c>
      <c r="M1083" s="16">
        <v>148.0</v>
      </c>
      <c r="N1083" s="16">
        <v>2.0</v>
      </c>
      <c r="O1083" s="17"/>
      <c r="P1083" s="18">
        <v>42887.373807870375</v>
      </c>
      <c r="Q1083" s="1" t="s">
        <v>5253</v>
      </c>
      <c r="R1083" s="1" t="s">
        <v>5254</v>
      </c>
      <c r="S1083" s="13" t="s">
        <v>5255</v>
      </c>
      <c r="T1083" s="14"/>
      <c r="U1083" s="19" t="str">
        <f>HYPERLINK("https://pbs.twimg.com/profile_images/1151151632287240193/NjAHF45o.jpg","View")</f>
        <v>View</v>
      </c>
      <c r="V1083" s="14"/>
      <c r="W1083" s="14"/>
      <c r="X1083" s="14"/>
      <c r="Y1083" s="14"/>
      <c r="Z1083" s="14"/>
    </row>
    <row r="1084">
      <c r="A1084" s="11">
        <v>43846.37670138889</v>
      </c>
      <c r="B1084" s="12" t="str">
        <f>HYPERLINK("https://twitter.com/taliachismhypn1","@taliachismhypn1")</f>
        <v>@taliachismhypn1</v>
      </c>
      <c r="C1084" s="1" t="s">
        <v>5256</v>
      </c>
      <c r="D1084" s="1" t="s">
        <v>5257</v>
      </c>
      <c r="E1084" s="12" t="str">
        <f>HYPERLINK("https://twitter.com/taliachismhypn1/status/1217809341396504576","1217809341396504576")</f>
        <v>1217809341396504576</v>
      </c>
      <c r="F1084" s="14"/>
      <c r="G1084" s="14"/>
      <c r="H1084" s="14"/>
      <c r="I1084" s="15">
        <v>0.0</v>
      </c>
      <c r="J1084" s="15">
        <v>1.0</v>
      </c>
      <c r="K1084" s="12" t="str">
        <f>HYPERLINK("http://twitter.com/download/iphone","Twitter for iPhone")</f>
        <v>Twitter for iPhone</v>
      </c>
      <c r="L1084" s="16">
        <v>6.0</v>
      </c>
      <c r="M1084" s="16">
        <v>34.0</v>
      </c>
      <c r="N1084" s="16">
        <v>0.0</v>
      </c>
      <c r="O1084" s="17"/>
      <c r="P1084" s="18">
        <v>43681.53158564815</v>
      </c>
      <c r="Q1084" s="14"/>
      <c r="R1084" s="1" t="s">
        <v>5258</v>
      </c>
      <c r="S1084" s="14"/>
      <c r="T1084" s="14"/>
      <c r="U1084" s="19" t="str">
        <f>HYPERLINK("https://pbs.twimg.com/profile_images/1158057251891888129/pUoXr5Z_.jpg","View")</f>
        <v>View</v>
      </c>
      <c r="V1084" s="14"/>
      <c r="W1084" s="14"/>
      <c r="X1084" s="14"/>
      <c r="Y1084" s="14"/>
      <c r="Z1084" s="14"/>
    </row>
    <row r="1085">
      <c r="A1085" s="11">
        <v>43846.376539351855</v>
      </c>
      <c r="B1085" s="12" t="str">
        <f>HYPERLINK("https://twitter.com/BillMunnCoach","@BillMunnCoach")</f>
        <v>@BillMunnCoach</v>
      </c>
      <c r="C1085" s="1" t="s">
        <v>5259</v>
      </c>
      <c r="D1085" s="1" t="s">
        <v>5260</v>
      </c>
      <c r="E1085" s="12" t="str">
        <f>HYPERLINK("https://twitter.com/BillMunnCoach/status/1217809284916031490","1217809284916031490")</f>
        <v>1217809284916031490</v>
      </c>
      <c r="F1085" s="13" t="s">
        <v>5261</v>
      </c>
      <c r="G1085" s="14"/>
      <c r="H1085" s="14"/>
      <c r="I1085" s="15">
        <v>0.0</v>
      </c>
      <c r="J1085" s="15">
        <v>0.0</v>
      </c>
      <c r="K1085" s="12" t="str">
        <f t="shared" ref="K1085:K1086" si="109">HYPERLINK("https://www.hootsuite.com","Hootsuite Inc.")</f>
        <v>Hootsuite Inc.</v>
      </c>
      <c r="L1085" s="16">
        <v>447.0</v>
      </c>
      <c r="M1085" s="16">
        <v>326.0</v>
      </c>
      <c r="N1085" s="16">
        <v>65.0</v>
      </c>
      <c r="O1085" s="17"/>
      <c r="P1085" s="18">
        <v>42492.753171296295</v>
      </c>
      <c r="Q1085" s="1" t="s">
        <v>5262</v>
      </c>
      <c r="R1085" s="1" t="s">
        <v>5263</v>
      </c>
      <c r="S1085" s="13" t="s">
        <v>5264</v>
      </c>
      <c r="T1085" s="14"/>
      <c r="U1085" s="19" t="str">
        <f>HYPERLINK("https://pbs.twimg.com/profile_images/727260098746155008/67y3ZdcM.jpg","View")</f>
        <v>View</v>
      </c>
      <c r="V1085" s="14"/>
      <c r="W1085" s="14"/>
      <c r="X1085" s="14"/>
      <c r="Y1085" s="14"/>
      <c r="Z1085" s="14"/>
    </row>
    <row r="1086">
      <c r="A1086" s="11">
        <v>43846.375972222224</v>
      </c>
      <c r="B1086" s="12" t="str">
        <f>HYPERLINK("https://twitter.com/StaffingServUSA","@StaffingServUSA")</f>
        <v>@StaffingServUSA</v>
      </c>
      <c r="C1086" s="1" t="s">
        <v>5265</v>
      </c>
      <c r="D1086" s="1" t="s">
        <v>5266</v>
      </c>
      <c r="E1086" s="12" t="str">
        <f>HYPERLINK("https://twitter.com/StaffingServUSA/status/1217809076639469568","1217809076639469568")</f>
        <v>1217809076639469568</v>
      </c>
      <c r="F1086" s="13" t="s">
        <v>5267</v>
      </c>
      <c r="G1086" s="14"/>
      <c r="H1086" s="14"/>
      <c r="I1086" s="15">
        <v>0.0</v>
      </c>
      <c r="J1086" s="15">
        <v>0.0</v>
      </c>
      <c r="K1086" s="12" t="str">
        <f t="shared" si="109"/>
        <v>Hootsuite Inc.</v>
      </c>
      <c r="L1086" s="16">
        <v>51.0</v>
      </c>
      <c r="M1086" s="16">
        <v>138.0</v>
      </c>
      <c r="N1086" s="16">
        <v>1.0</v>
      </c>
      <c r="O1086" s="17"/>
      <c r="P1086" s="18">
        <v>41051.51604166666</v>
      </c>
      <c r="Q1086" s="1" t="s">
        <v>5268</v>
      </c>
      <c r="R1086" s="1" t="s">
        <v>5269</v>
      </c>
      <c r="S1086" s="13" t="s">
        <v>5270</v>
      </c>
      <c r="T1086" s="14"/>
      <c r="U1086" s="19" t="str">
        <f>HYPERLINK("https://pbs.twimg.com/profile_images/378800000563672807/12b1dde80a76bb4edf3461e54960f6c0.png","View")</f>
        <v>View</v>
      </c>
      <c r="V1086" s="14"/>
      <c r="W1086" s="14"/>
      <c r="X1086" s="14"/>
      <c r="Y1086" s="14"/>
      <c r="Z1086" s="14"/>
    </row>
    <row r="1087">
      <c r="A1087" s="11">
        <v>43846.37594907408</v>
      </c>
      <c r="B1087" s="12" t="str">
        <f>HYPERLINK("https://twitter.com/TraumaReport","@TraumaReport")</f>
        <v>@TraumaReport</v>
      </c>
      <c r="C1087" s="1" t="s">
        <v>5271</v>
      </c>
      <c r="D1087" s="1" t="s">
        <v>5272</v>
      </c>
      <c r="E1087" s="12" t="str">
        <f>HYPERLINK("https://twitter.com/TraumaReport/status/1217809067776843781","1217809067776843781")</f>
        <v>1217809067776843781</v>
      </c>
      <c r="F1087" s="13" t="s">
        <v>5273</v>
      </c>
      <c r="G1087" s="14"/>
      <c r="H1087" s="14"/>
      <c r="I1087" s="15">
        <v>0.0</v>
      </c>
      <c r="J1087" s="15">
        <v>0.0</v>
      </c>
      <c r="K1087" s="12" t="str">
        <f>HYPERLINK("https://buffer.com","Buffer")</f>
        <v>Buffer</v>
      </c>
      <c r="L1087" s="16">
        <v>6664.0</v>
      </c>
      <c r="M1087" s="16">
        <v>1529.0</v>
      </c>
      <c r="N1087" s="16">
        <v>218.0</v>
      </c>
      <c r="O1087" s="17"/>
      <c r="P1087" s="18">
        <v>40585.596180555556</v>
      </c>
      <c r="Q1087" s="14"/>
      <c r="R1087" s="1" t="s">
        <v>5274</v>
      </c>
      <c r="S1087" s="13" t="s">
        <v>5275</v>
      </c>
      <c r="T1087" s="14"/>
      <c r="U1087" s="19" t="str">
        <f>HYPERLINK("https://pbs.twimg.com/profile_images/3009051753/9a5d245a1dbf619b41648070ee62e6a0.jpeg","View")</f>
        <v>View</v>
      </c>
      <c r="V1087" s="14"/>
      <c r="W1087" s="14"/>
      <c r="X1087" s="14"/>
      <c r="Y1087" s="14"/>
      <c r="Z1087" s="14"/>
    </row>
    <row r="1088">
      <c r="A1088" s="11">
        <v>43846.37577546296</v>
      </c>
      <c r="B1088" s="12" t="str">
        <f>HYPERLINK("https://twitter.com/GoForHealth","@GoForHealth")</f>
        <v>@GoForHealth</v>
      </c>
      <c r="C1088" s="1" t="s">
        <v>1260</v>
      </c>
      <c r="D1088" s="1" t="s">
        <v>1261</v>
      </c>
      <c r="E1088" s="12" t="str">
        <f>HYPERLINK("https://twitter.com/GoForHealth/status/1217809007286550528","1217809007286550528")</f>
        <v>1217809007286550528</v>
      </c>
      <c r="F1088" s="13" t="s">
        <v>1262</v>
      </c>
      <c r="G1088" s="13" t="s">
        <v>5276</v>
      </c>
      <c r="H1088" s="14"/>
      <c r="I1088" s="15">
        <v>1.0</v>
      </c>
      <c r="J1088" s="15">
        <v>1.0</v>
      </c>
      <c r="K1088" s="12" t="str">
        <f>HYPERLINK("https://www.socialoomph.com","SocialOomph")</f>
        <v>SocialOomph</v>
      </c>
      <c r="L1088" s="16">
        <v>2770.0</v>
      </c>
      <c r="M1088" s="16">
        <v>656.0</v>
      </c>
      <c r="N1088" s="16">
        <v>253.0</v>
      </c>
      <c r="O1088" s="17"/>
      <c r="P1088" s="18">
        <v>42076.4437962963</v>
      </c>
      <c r="Q1088" s="1" t="s">
        <v>1264</v>
      </c>
      <c r="R1088" s="1" t="s">
        <v>1265</v>
      </c>
      <c r="S1088" s="13" t="s">
        <v>1266</v>
      </c>
      <c r="T1088" s="14"/>
      <c r="U1088" s="19" t="str">
        <f>HYPERLINK("https://pbs.twimg.com/profile_images/603859132467159040/VtO4OVgm.jpg","View")</f>
        <v>View</v>
      </c>
      <c r="V1088" s="14"/>
      <c r="W1088" s="14"/>
      <c r="X1088" s="14"/>
      <c r="Y1088" s="14"/>
      <c r="Z1088" s="14"/>
    </row>
    <row r="1089">
      <c r="A1089" s="11">
        <v>43846.375173611115</v>
      </c>
      <c r="B1089" s="12" t="str">
        <f>HYPERLINK("https://twitter.com/MS_Focus","@MS_Focus")</f>
        <v>@MS_Focus</v>
      </c>
      <c r="C1089" s="1" t="s">
        <v>5277</v>
      </c>
      <c r="D1089" s="1" t="s">
        <v>5278</v>
      </c>
      <c r="E1089" s="12" t="str">
        <f>HYPERLINK("https://twitter.com/MS_Focus/status/1217808789694550016","1217808789694550016")</f>
        <v>1217808789694550016</v>
      </c>
      <c r="F1089" s="13" t="s">
        <v>5279</v>
      </c>
      <c r="G1089" s="13" t="s">
        <v>5280</v>
      </c>
      <c r="H1089" s="14"/>
      <c r="I1089" s="15">
        <v>1.0</v>
      </c>
      <c r="J1089" s="15">
        <v>3.0</v>
      </c>
      <c r="K1089" s="12" t="str">
        <f>HYPERLINK("https://buffer.com","Buffer")</f>
        <v>Buffer</v>
      </c>
      <c r="L1089" s="16">
        <v>13710.0</v>
      </c>
      <c r="M1089" s="16">
        <v>879.0</v>
      </c>
      <c r="N1089" s="16">
        <v>248.0</v>
      </c>
      <c r="O1089" s="20" t="s">
        <v>38</v>
      </c>
      <c r="P1089" s="18">
        <v>39940.47510416667</v>
      </c>
      <c r="Q1089" s="1" t="s">
        <v>951</v>
      </c>
      <c r="R1089" s="1" t="s">
        <v>5281</v>
      </c>
      <c r="S1089" s="13" t="s">
        <v>5282</v>
      </c>
      <c r="T1089" s="14"/>
      <c r="U1089" s="19" t="str">
        <f>HYPERLINK("https://pbs.twimg.com/profile_images/1146079529934446598/GKAne-gJ.png","View")</f>
        <v>View</v>
      </c>
      <c r="V1089" s="14"/>
      <c r="W1089" s="14"/>
      <c r="X1089" s="14"/>
      <c r="Y1089" s="14"/>
      <c r="Z1089" s="14"/>
    </row>
    <row r="1090">
      <c r="A1090" s="11">
        <v>43846.374756944446</v>
      </c>
      <c r="B1090" s="12" t="str">
        <f>HYPERLINK("https://twitter.com/cmkhealthatwork","@cmkhealthatwork")</f>
        <v>@cmkhealthatwork</v>
      </c>
      <c r="C1090" s="1" t="s">
        <v>2678</v>
      </c>
      <c r="D1090" s="1" t="s">
        <v>5283</v>
      </c>
      <c r="E1090" s="12" t="str">
        <f>HYPERLINK("https://twitter.com/cmkhealthatwork/status/1217808636019429376","1217808636019429376")</f>
        <v>1217808636019429376</v>
      </c>
      <c r="F1090" s="13" t="s">
        <v>5284</v>
      </c>
      <c r="G1090" s="13" t="s">
        <v>5285</v>
      </c>
      <c r="H1090" s="14"/>
      <c r="I1090" s="15">
        <v>0.0</v>
      </c>
      <c r="J1090" s="15">
        <v>0.0</v>
      </c>
      <c r="K1090" s="12" t="str">
        <f t="shared" ref="K1090:K1091" si="110">HYPERLINK("https://mobile.twitter.com","Twitter Web App")</f>
        <v>Twitter Web App</v>
      </c>
      <c r="L1090" s="16">
        <v>5248.0</v>
      </c>
      <c r="M1090" s="16">
        <v>4179.0</v>
      </c>
      <c r="N1090" s="16">
        <v>854.0</v>
      </c>
      <c r="O1090" s="17"/>
      <c r="P1090" s="18">
        <v>40996.615578703706</v>
      </c>
      <c r="Q1090" s="1" t="s">
        <v>2682</v>
      </c>
      <c r="R1090" s="1" t="s">
        <v>2683</v>
      </c>
      <c r="S1090" s="13" t="s">
        <v>2684</v>
      </c>
      <c r="T1090" s="14"/>
      <c r="U1090" s="19" t="str">
        <f>HYPERLINK("https://pbs.twimg.com/profile_images/1161788741918367745/51nqRy25.jpg","View")</f>
        <v>View</v>
      </c>
      <c r="V1090" s="14"/>
      <c r="W1090" s="14"/>
      <c r="X1090" s="14"/>
      <c r="Y1090" s="14"/>
      <c r="Z1090" s="14"/>
    </row>
    <row r="1091">
      <c r="A1091" s="11">
        <v>43846.37322916667</v>
      </c>
      <c r="B1091" s="12" t="str">
        <f>HYPERLINK("https://twitter.com/alpaka_io","@alpaka_io")</f>
        <v>@alpaka_io</v>
      </c>
      <c r="C1091" s="1" t="s">
        <v>5286</v>
      </c>
      <c r="D1091" s="1" t="s">
        <v>5287</v>
      </c>
      <c r="E1091" s="12" t="str">
        <f>HYPERLINK("https://twitter.com/alpaka_io/status/1217808083063320576","1217808083063320576")</f>
        <v>1217808083063320576</v>
      </c>
      <c r="F1091" s="13" t="s">
        <v>5288</v>
      </c>
      <c r="G1091" s="14"/>
      <c r="H1091" s="14"/>
      <c r="I1091" s="15">
        <v>0.0</v>
      </c>
      <c r="J1091" s="15">
        <v>0.0</v>
      </c>
      <c r="K1091" s="12" t="str">
        <f t="shared" si="110"/>
        <v>Twitter Web App</v>
      </c>
      <c r="L1091" s="16">
        <v>641.0</v>
      </c>
      <c r="M1091" s="16">
        <v>450.0</v>
      </c>
      <c r="N1091" s="16">
        <v>48.0</v>
      </c>
      <c r="O1091" s="17"/>
      <c r="P1091" s="18">
        <v>42594.649375</v>
      </c>
      <c r="Q1091" s="1" t="s">
        <v>5289</v>
      </c>
      <c r="R1091" s="1" t="s">
        <v>5290</v>
      </c>
      <c r="S1091" s="13" t="s">
        <v>5291</v>
      </c>
      <c r="T1091" s="14"/>
      <c r="U1091" s="19" t="str">
        <f>HYPERLINK("https://pbs.twimg.com/profile_images/777234928643739649/RjOmt3sQ.jpg","View")</f>
        <v>View</v>
      </c>
      <c r="V1091" s="14"/>
      <c r="W1091" s="14"/>
      <c r="X1091" s="14"/>
      <c r="Y1091" s="14"/>
      <c r="Z1091" s="14"/>
    </row>
    <row r="1092">
      <c r="A1092" s="11">
        <v>43846.37180555555</v>
      </c>
      <c r="B1092" s="12" t="str">
        <f>HYPERLINK("https://twitter.com/CharlesDaniel42","@CharlesDaniel42")</f>
        <v>@CharlesDaniel42</v>
      </c>
      <c r="C1092" s="1" t="s">
        <v>5292</v>
      </c>
      <c r="D1092" s="1" t="s">
        <v>4836</v>
      </c>
      <c r="E1092" s="12" t="str">
        <f>HYPERLINK("https://twitter.com/CharlesDaniel42/status/1217807565662367744","1217807565662367744")</f>
        <v>1217807565662367744</v>
      </c>
      <c r="F1092" s="13" t="s">
        <v>4837</v>
      </c>
      <c r="G1092" s="13" t="s">
        <v>5293</v>
      </c>
      <c r="H1092" s="14"/>
      <c r="I1092" s="15">
        <v>0.0</v>
      </c>
      <c r="J1092" s="15">
        <v>0.0</v>
      </c>
      <c r="K1092" s="12" t="str">
        <f>HYPERLINK("https://socialportalpro.com","Social Tweeting")</f>
        <v>Social Tweeting</v>
      </c>
      <c r="L1092" s="16">
        <v>75.0</v>
      </c>
      <c r="M1092" s="16">
        <v>182.0</v>
      </c>
      <c r="N1092" s="16">
        <v>0.0</v>
      </c>
      <c r="O1092" s="17"/>
      <c r="P1092" s="18">
        <v>40901.32109953704</v>
      </c>
      <c r="Q1092" s="1" t="s">
        <v>5294</v>
      </c>
      <c r="R1092" s="1" t="s">
        <v>5295</v>
      </c>
      <c r="S1092" s="13" t="s">
        <v>5296</v>
      </c>
      <c r="T1092" s="14"/>
      <c r="U1092" s="19" t="str">
        <f>HYPERLINK("https://pbs.twimg.com/profile_images/1037326573140168707/SdW3UgM8.jpg","View")</f>
        <v>View</v>
      </c>
      <c r="V1092" s="14"/>
      <c r="W1092" s="14"/>
      <c r="X1092" s="14"/>
      <c r="Y1092" s="14"/>
      <c r="Z1092" s="14"/>
    </row>
    <row r="1093">
      <c r="A1093" s="11">
        <v>43846.37068287037</v>
      </c>
      <c r="B1093" s="12" t="str">
        <f>HYPERLINK("https://twitter.com/RootsAnalysis","@RootsAnalysis")</f>
        <v>@RootsAnalysis</v>
      </c>
      <c r="C1093" s="1" t="s">
        <v>5297</v>
      </c>
      <c r="D1093" s="1" t="s">
        <v>5298</v>
      </c>
      <c r="E1093" s="12" t="str">
        <f>HYPERLINK("https://twitter.com/RootsAnalysis/status/1217807158797950976","1217807158797950976")</f>
        <v>1217807158797950976</v>
      </c>
      <c r="F1093" s="13" t="s">
        <v>5299</v>
      </c>
      <c r="G1093" s="14"/>
      <c r="H1093" s="14"/>
      <c r="I1093" s="15">
        <v>0.0</v>
      </c>
      <c r="J1093" s="15">
        <v>1.0</v>
      </c>
      <c r="K1093" s="12" t="str">
        <f>HYPERLINK("https://mobile.twitter.com","Twitter Web App")</f>
        <v>Twitter Web App</v>
      </c>
      <c r="L1093" s="16">
        <v>762.0</v>
      </c>
      <c r="M1093" s="16">
        <v>287.0</v>
      </c>
      <c r="N1093" s="16">
        <v>110.0</v>
      </c>
      <c r="O1093" s="17"/>
      <c r="P1093" s="18">
        <v>41425.2290625</v>
      </c>
      <c r="Q1093" s="14"/>
      <c r="R1093" s="1" t="s">
        <v>5300</v>
      </c>
      <c r="S1093" s="13" t="s">
        <v>5301</v>
      </c>
      <c r="T1093" s="14"/>
      <c r="U1093" s="19" t="str">
        <f>HYPERLINK("https://pbs.twimg.com/profile_images/762102712733270016/ooeaB5sb.jpg","View")</f>
        <v>View</v>
      </c>
      <c r="V1093" s="14"/>
      <c r="W1093" s="14"/>
      <c r="X1093" s="14"/>
      <c r="Y1093" s="14"/>
      <c r="Z1093" s="14"/>
    </row>
    <row r="1094">
      <c r="A1094" s="11">
        <v>43846.36806712963</v>
      </c>
      <c r="B1094" s="12" t="str">
        <f>HYPERLINK("https://twitter.com/lombinotherapy","@lombinotherapy")</f>
        <v>@lombinotherapy</v>
      </c>
      <c r="C1094" s="1" t="s">
        <v>5302</v>
      </c>
      <c r="D1094" s="1" t="s">
        <v>5303</v>
      </c>
      <c r="E1094" s="12" t="str">
        <f>HYPERLINK("https://twitter.com/lombinotherapy/status/1217806213359992832","1217806213359992832")</f>
        <v>1217806213359992832</v>
      </c>
      <c r="F1094" s="13" t="s">
        <v>5304</v>
      </c>
      <c r="G1094" s="13" t="s">
        <v>5305</v>
      </c>
      <c r="H1094" s="14"/>
      <c r="I1094" s="15">
        <v>2.0</v>
      </c>
      <c r="J1094" s="15">
        <v>2.0</v>
      </c>
      <c r="K1094" s="12" t="str">
        <f>HYPERLINK("http://twitter.com/#!/download/ipad","Twitter for iPad")</f>
        <v>Twitter for iPad</v>
      </c>
      <c r="L1094" s="16">
        <v>20.0</v>
      </c>
      <c r="M1094" s="16">
        <v>29.0</v>
      </c>
      <c r="N1094" s="16">
        <v>0.0</v>
      </c>
      <c r="O1094" s="17"/>
      <c r="P1094" s="18">
        <v>43198.42125</v>
      </c>
      <c r="Q1094" s="14"/>
      <c r="R1094" s="1" t="s">
        <v>5306</v>
      </c>
      <c r="S1094" s="13" t="s">
        <v>5307</v>
      </c>
      <c r="T1094" s="14"/>
      <c r="U1094" s="19" t="str">
        <f>HYPERLINK("https://pbs.twimg.com/profile_images/982983612965539842/_zhXCHY0.jpg","View")</f>
        <v>View</v>
      </c>
      <c r="V1094" s="14"/>
      <c r="W1094" s="14"/>
      <c r="X1094" s="14"/>
      <c r="Y1094" s="14"/>
      <c r="Z1094" s="14"/>
    </row>
    <row r="1095">
      <c r="A1095" s="11">
        <v>43846.36608796296</v>
      </c>
      <c r="B1095" s="12" t="str">
        <f>HYPERLINK("https://twitter.com/mindfulness_bfc","@mindfulness_bfc")</f>
        <v>@mindfulness_bfc</v>
      </c>
      <c r="C1095" s="1" t="s">
        <v>5308</v>
      </c>
      <c r="D1095" s="1" t="s">
        <v>5309</v>
      </c>
      <c r="E1095" s="12" t="str">
        <f>HYPERLINK("https://twitter.com/mindfulness_bfc/status/1217805495127375872","1217805495127375872")</f>
        <v>1217805495127375872</v>
      </c>
      <c r="F1095" s="1" t="s">
        <v>5310</v>
      </c>
      <c r="G1095" s="14"/>
      <c r="H1095" s="14"/>
      <c r="I1095" s="15">
        <v>0.0</v>
      </c>
      <c r="J1095" s="15">
        <v>1.0</v>
      </c>
      <c r="K1095" s="12" t="str">
        <f>HYPERLINK("http://www.linkedin.com/","LinkedIn")</f>
        <v>LinkedIn</v>
      </c>
      <c r="L1095" s="16">
        <v>46.0</v>
      </c>
      <c r="M1095" s="16">
        <v>67.0</v>
      </c>
      <c r="N1095" s="16">
        <v>0.0</v>
      </c>
      <c r="O1095" s="17"/>
      <c r="P1095" s="18">
        <v>43034.64210648148</v>
      </c>
      <c r="Q1095" s="1" t="s">
        <v>5311</v>
      </c>
      <c r="R1095" s="1" t="s">
        <v>5312</v>
      </c>
      <c r="S1095" s="13" t="s">
        <v>5313</v>
      </c>
      <c r="T1095" s="14"/>
      <c r="U1095" s="19" t="str">
        <f>HYPERLINK("https://pbs.twimg.com/profile_images/932573286545985536/kcCzchDN.jpg","View")</f>
        <v>View</v>
      </c>
      <c r="V1095" s="14"/>
      <c r="W1095" s="14"/>
      <c r="X1095" s="14"/>
      <c r="Y1095" s="14"/>
      <c r="Z1095" s="14"/>
    </row>
    <row r="1096">
      <c r="A1096" s="11">
        <v>43846.365000000005</v>
      </c>
      <c r="B1096" s="12" t="str">
        <f>HYPERLINK("https://twitter.com/renascencemusic","@renascencemusic")</f>
        <v>@renascencemusic</v>
      </c>
      <c r="C1096" s="1" t="s">
        <v>247</v>
      </c>
      <c r="D1096" s="1" t="s">
        <v>576</v>
      </c>
      <c r="E1096" s="12" t="str">
        <f>HYPERLINK("https://twitter.com/renascencemusic/status/1217805100783230976","1217805100783230976")</f>
        <v>1217805100783230976</v>
      </c>
      <c r="F1096" s="13" t="s">
        <v>577</v>
      </c>
      <c r="G1096" s="13" t="s">
        <v>5314</v>
      </c>
      <c r="H1096" s="14"/>
      <c r="I1096" s="15">
        <v>0.0</v>
      </c>
      <c r="J1096" s="15">
        <v>0.0</v>
      </c>
      <c r="K1096" s="12" t="str">
        <f>HYPERLINK("https://www.socialoomph.com","SocialOomph")</f>
        <v>SocialOomph</v>
      </c>
      <c r="L1096" s="16">
        <v>13031.0</v>
      </c>
      <c r="M1096" s="16">
        <v>11650.0</v>
      </c>
      <c r="N1096" s="16">
        <v>219.0</v>
      </c>
      <c r="O1096" s="17"/>
      <c r="P1096" s="18">
        <v>42470.67052083333</v>
      </c>
      <c r="Q1096" s="1" t="s">
        <v>251</v>
      </c>
      <c r="R1096" s="1" t="s">
        <v>252</v>
      </c>
      <c r="S1096" s="13" t="s">
        <v>253</v>
      </c>
      <c r="T1096" s="14"/>
      <c r="U1096" s="19" t="str">
        <f>HYPERLINK("https://pbs.twimg.com/profile_images/1123407512743612416/g721ra2J.png","View")</f>
        <v>View</v>
      </c>
      <c r="V1096" s="14"/>
      <c r="W1096" s="14"/>
      <c r="X1096" s="14"/>
      <c r="Y1096" s="14"/>
      <c r="Z1096" s="14"/>
    </row>
    <row r="1097">
      <c r="A1097" s="11">
        <v>43846.3646875</v>
      </c>
      <c r="B1097" s="12" t="str">
        <f>HYPERLINK("https://twitter.com/Cleaning_Co_UK","@Cleaning_Co_UK")</f>
        <v>@Cleaning_Co_UK</v>
      </c>
      <c r="C1097" s="1" t="s">
        <v>5315</v>
      </c>
      <c r="D1097" s="1" t="s">
        <v>5316</v>
      </c>
      <c r="E1097" s="12" t="str">
        <f>HYPERLINK("https://twitter.com/Cleaning_Co_UK/status/1217804986228318208","1217804986228318208")</f>
        <v>1217804986228318208</v>
      </c>
      <c r="F1097" s="13" t="s">
        <v>5317</v>
      </c>
      <c r="G1097" s="14"/>
      <c r="H1097" s="14"/>
      <c r="I1097" s="15">
        <v>0.0</v>
      </c>
      <c r="J1097" s="15">
        <v>1.0</v>
      </c>
      <c r="K1097" s="12" t="str">
        <f>HYPERLINK("https://www.hootsuite.com","Hootsuite Inc.")</f>
        <v>Hootsuite Inc.</v>
      </c>
      <c r="L1097" s="16">
        <v>1842.0</v>
      </c>
      <c r="M1097" s="16">
        <v>885.0</v>
      </c>
      <c r="N1097" s="16">
        <v>15.0</v>
      </c>
      <c r="O1097" s="17"/>
      <c r="P1097" s="18">
        <v>40497.25150462963</v>
      </c>
      <c r="Q1097" s="1" t="s">
        <v>342</v>
      </c>
      <c r="R1097" s="1" t="s">
        <v>5318</v>
      </c>
      <c r="S1097" s="13" t="s">
        <v>5319</v>
      </c>
      <c r="T1097" s="14"/>
      <c r="U1097" s="19" t="str">
        <f>HYPERLINK("https://pbs.twimg.com/profile_images/1169298918/Untitled-2.jpg","View")</f>
        <v>View</v>
      </c>
      <c r="V1097" s="14"/>
      <c r="W1097" s="14"/>
      <c r="X1097" s="14"/>
      <c r="Y1097" s="14"/>
      <c r="Z1097" s="14"/>
    </row>
    <row r="1098">
      <c r="A1098" s="11">
        <v>43846.36418981482</v>
      </c>
      <c r="B1098" s="12" t="str">
        <f>HYPERLINK("https://twitter.com/SoIsFibroReal","@SoIsFibroReal")</f>
        <v>@SoIsFibroReal</v>
      </c>
      <c r="C1098" s="1" t="s">
        <v>1543</v>
      </c>
      <c r="D1098" s="1" t="s">
        <v>5320</v>
      </c>
      <c r="E1098" s="12" t="str">
        <f>HYPERLINK("https://twitter.com/SoIsFibroReal/status/1217804805923594240","1217804805923594240")</f>
        <v>1217804805923594240</v>
      </c>
      <c r="F1098" s="13" t="s">
        <v>5321</v>
      </c>
      <c r="G1098" s="14"/>
      <c r="H1098" s="14"/>
      <c r="I1098" s="15">
        <v>0.0</v>
      </c>
      <c r="J1098" s="15">
        <v>0.0</v>
      </c>
      <c r="K1098" s="12" t="str">
        <f t="shared" ref="K1098:K1099" si="111">HYPERLINK("https://mobile.twitter.com","Twitter Web App")</f>
        <v>Twitter Web App</v>
      </c>
      <c r="L1098" s="16">
        <v>4890.0</v>
      </c>
      <c r="M1098" s="16">
        <v>5373.0</v>
      </c>
      <c r="N1098" s="16">
        <v>38.0</v>
      </c>
      <c r="O1098" s="17"/>
      <c r="P1098" s="18">
        <v>42783.583125000005</v>
      </c>
      <c r="Q1098" s="1" t="s">
        <v>143</v>
      </c>
      <c r="R1098" s="1" t="s">
        <v>1546</v>
      </c>
      <c r="S1098" s="13" t="s">
        <v>1547</v>
      </c>
      <c r="T1098" s="14"/>
      <c r="U1098" s="19" t="str">
        <f>HYPERLINK("https://pbs.twimg.com/profile_images/833390340778422278/g2ya39PE.jpg","View")</f>
        <v>View</v>
      </c>
      <c r="V1098" s="14"/>
      <c r="W1098" s="14"/>
      <c r="X1098" s="14"/>
      <c r="Y1098" s="14"/>
      <c r="Z1098" s="14"/>
    </row>
    <row r="1099">
      <c r="A1099" s="11">
        <v>43846.3624074074</v>
      </c>
      <c r="B1099" s="12" t="str">
        <f>HYPERLINK("https://twitter.com/StaywellOH","@StaywellOH")</f>
        <v>@StaywellOH</v>
      </c>
      <c r="C1099" s="1" t="s">
        <v>5147</v>
      </c>
      <c r="D1099" s="1" t="s">
        <v>5322</v>
      </c>
      <c r="E1099" s="12" t="str">
        <f>HYPERLINK("https://twitter.com/StaywellOH/status/1217804161099628544","1217804161099628544")</f>
        <v>1217804161099628544</v>
      </c>
      <c r="F1099" s="14"/>
      <c r="G1099" s="14"/>
      <c r="H1099" s="14"/>
      <c r="I1099" s="15">
        <v>0.0</v>
      </c>
      <c r="J1099" s="15">
        <v>2.0</v>
      </c>
      <c r="K1099" s="12" t="str">
        <f t="shared" si="111"/>
        <v>Twitter Web App</v>
      </c>
      <c r="L1099" s="16">
        <v>12097.0</v>
      </c>
      <c r="M1099" s="16">
        <v>9227.0</v>
      </c>
      <c r="N1099" s="16">
        <v>239.0</v>
      </c>
      <c r="O1099" s="17"/>
      <c r="P1099" s="18">
        <v>42158.29020833333</v>
      </c>
      <c r="Q1099" s="1" t="s">
        <v>1194</v>
      </c>
      <c r="R1099" s="1" t="s">
        <v>5150</v>
      </c>
      <c r="S1099" s="13" t="s">
        <v>5151</v>
      </c>
      <c r="T1099" s="14"/>
      <c r="U1099" s="19" t="str">
        <f>HYPERLINK("https://pbs.twimg.com/profile_images/606053718086270977/NH7FHNHQ.png","View")</f>
        <v>View</v>
      </c>
      <c r="V1099" s="14"/>
      <c r="W1099" s="14"/>
      <c r="X1099" s="14"/>
      <c r="Y1099" s="14"/>
      <c r="Z1099" s="14"/>
    </row>
    <row r="1100">
      <c r="A1100" s="11">
        <v>43846.355046296296</v>
      </c>
      <c r="B1100" s="12" t="str">
        <f>HYPERLINK("https://twitter.com/MahiraK12128172","@MahiraK12128172")</f>
        <v>@MahiraK12128172</v>
      </c>
      <c r="C1100" s="1" t="s">
        <v>1961</v>
      </c>
      <c r="D1100" s="1" t="s">
        <v>5323</v>
      </c>
      <c r="E1100" s="12" t="str">
        <f>HYPERLINK("https://twitter.com/MahiraK12128172/status/1217801494021509124","1217801494021509124")</f>
        <v>1217801494021509124</v>
      </c>
      <c r="F1100" s="14"/>
      <c r="G1100" s="13" t="s">
        <v>5324</v>
      </c>
      <c r="H1100" s="14"/>
      <c r="I1100" s="15">
        <v>0.0</v>
      </c>
      <c r="J1100" s="15">
        <v>0.0</v>
      </c>
      <c r="K1100" s="12" t="str">
        <f>HYPERLINK("http://twitter.com/download/android","Twitter for Android")</f>
        <v>Twitter for Android</v>
      </c>
      <c r="L1100" s="16">
        <v>7.0</v>
      </c>
      <c r="M1100" s="16">
        <v>6.0</v>
      </c>
      <c r="N1100" s="16">
        <v>0.0</v>
      </c>
      <c r="O1100" s="17"/>
      <c r="P1100" s="18">
        <v>43828.45667824074</v>
      </c>
      <c r="Q1100" s="14"/>
      <c r="R1100" s="1" t="s">
        <v>1963</v>
      </c>
      <c r="S1100" s="14"/>
      <c r="T1100" s="14"/>
      <c r="U1100" s="19" t="str">
        <f>HYPERLINK("https://pbs.twimg.com/profile_images/1215238874550632448/rjhz6sRR.jpg","View")</f>
        <v>View</v>
      </c>
      <c r="V1100" s="14"/>
      <c r="W1100" s="14"/>
      <c r="X1100" s="14"/>
      <c r="Y1100" s="14"/>
      <c r="Z1100" s="14"/>
    </row>
    <row r="1101">
      <c r="A1101" s="11">
        <v>43846.35465277778</v>
      </c>
      <c r="B1101" s="12" t="str">
        <f>HYPERLINK("https://twitter.com/TBtalks","@TBtalks")</f>
        <v>@TBtalks</v>
      </c>
      <c r="C1101" s="1" t="s">
        <v>355</v>
      </c>
      <c r="D1101" s="1" t="s">
        <v>5325</v>
      </c>
      <c r="E1101" s="12" t="str">
        <f>HYPERLINK("https://twitter.com/TBtalks/status/1217801353147355140","1217801353147355140")</f>
        <v>1217801353147355140</v>
      </c>
      <c r="F1101" s="13" t="s">
        <v>5326</v>
      </c>
      <c r="G1101" s="13" t="s">
        <v>5327</v>
      </c>
      <c r="H1101" s="14"/>
      <c r="I1101" s="15">
        <v>0.0</v>
      </c>
      <c r="J1101" s="15">
        <v>0.0</v>
      </c>
      <c r="K1101" s="12" t="str">
        <f>HYPERLINK("https://www.hootsuite.com","Hootsuite Inc.")</f>
        <v>Hootsuite Inc.</v>
      </c>
      <c r="L1101" s="16">
        <v>1190.0</v>
      </c>
      <c r="M1101" s="16">
        <v>566.0</v>
      </c>
      <c r="N1101" s="16">
        <v>25.0</v>
      </c>
      <c r="O1101" s="17"/>
      <c r="P1101" s="18">
        <v>41197.62918981482</v>
      </c>
      <c r="Q1101" s="1" t="s">
        <v>358</v>
      </c>
      <c r="R1101" s="1" t="s">
        <v>359</v>
      </c>
      <c r="S1101" s="13" t="s">
        <v>360</v>
      </c>
      <c r="T1101" s="14"/>
      <c r="U1101" s="19" t="str">
        <f>HYPERLINK("https://pbs.twimg.com/profile_images/1181990097610256384/DQu0ny3B.jpg","View")</f>
        <v>View</v>
      </c>
      <c r="V1101" s="14"/>
      <c r="W1101" s="14"/>
      <c r="X1101" s="14"/>
      <c r="Y1101" s="14"/>
      <c r="Z1101" s="14"/>
    </row>
    <row r="1102">
      <c r="A1102" s="11">
        <v>43846.3545949074</v>
      </c>
      <c r="B1102" s="12" t="str">
        <f>HYPERLINK("https://twitter.com/DrJeannettSimon","@DrJeannettSimon")</f>
        <v>@DrJeannettSimon</v>
      </c>
      <c r="C1102" s="1" t="s">
        <v>5328</v>
      </c>
      <c r="D1102" s="1" t="s">
        <v>5329</v>
      </c>
      <c r="E1102" s="12" t="str">
        <f>HYPERLINK("https://twitter.com/DrJeannettSimon/status/1217801329172713473","1217801329172713473")</f>
        <v>1217801329172713473</v>
      </c>
      <c r="F1102" s="13" t="s">
        <v>5330</v>
      </c>
      <c r="G1102" s="13" t="s">
        <v>5331</v>
      </c>
      <c r="H1102" s="14"/>
      <c r="I1102" s="15">
        <v>0.0</v>
      </c>
      <c r="J1102" s="15">
        <v>2.0</v>
      </c>
      <c r="K1102" s="12" t="str">
        <f>HYPERLINK("https://buffer.com","Buffer")</f>
        <v>Buffer</v>
      </c>
      <c r="L1102" s="16">
        <v>144.0</v>
      </c>
      <c r="M1102" s="16">
        <v>285.0</v>
      </c>
      <c r="N1102" s="16">
        <v>7.0</v>
      </c>
      <c r="O1102" s="17"/>
      <c r="P1102" s="18">
        <v>40960.544594907406</v>
      </c>
      <c r="Q1102" s="14"/>
      <c r="R1102" s="1" t="s">
        <v>5332</v>
      </c>
      <c r="S1102" s="13" t="s">
        <v>5333</v>
      </c>
      <c r="T1102" s="14"/>
      <c r="U1102" s="19" t="str">
        <f>HYPERLINK("https://pbs.twimg.com/profile_images/1083383912951414787/dniM5N2e.jpg","View")</f>
        <v>View</v>
      </c>
      <c r="V1102" s="14"/>
      <c r="W1102" s="14"/>
      <c r="X1102" s="14"/>
      <c r="Y1102" s="14"/>
      <c r="Z1102" s="14"/>
    </row>
    <row r="1103">
      <c r="A1103" s="11">
        <v>43846.354421296295</v>
      </c>
      <c r="B1103" s="12" t="str">
        <f>HYPERLINK("https://twitter.com/bobharland2001","@bobharland2001")</f>
        <v>@bobharland2001</v>
      </c>
      <c r="C1103" s="1" t="s">
        <v>5334</v>
      </c>
      <c r="D1103" s="1" t="s">
        <v>5335</v>
      </c>
      <c r="E1103" s="12" t="str">
        <f>HYPERLINK("https://twitter.com/bobharland2001/status/1217801265964560384","1217801265964560384")</f>
        <v>1217801265964560384</v>
      </c>
      <c r="F1103" s="13" t="s">
        <v>5336</v>
      </c>
      <c r="G1103" s="14"/>
      <c r="H1103" s="14"/>
      <c r="I1103" s="15">
        <v>0.0</v>
      </c>
      <c r="J1103" s="15">
        <v>0.0</v>
      </c>
      <c r="K1103" s="12" t="str">
        <f>HYPERLINK("http://www.linkedin.com/","LinkedIn")</f>
        <v>LinkedIn</v>
      </c>
      <c r="L1103" s="16">
        <v>45.0</v>
      </c>
      <c r="M1103" s="16">
        <v>175.0</v>
      </c>
      <c r="N1103" s="16">
        <v>0.0</v>
      </c>
      <c r="O1103" s="17"/>
      <c r="P1103" s="18">
        <v>42535.45361111111</v>
      </c>
      <c r="Q1103" s="1" t="s">
        <v>5337</v>
      </c>
      <c r="R1103" s="1" t="s">
        <v>5338</v>
      </c>
      <c r="S1103" s="14"/>
      <c r="T1103" s="14"/>
      <c r="U1103" s="19" t="str">
        <f>HYPERLINK("https://pbs.twimg.com/profile_images/742733141383733249/h3zEPF_W.jpg","View")</f>
        <v>View</v>
      </c>
      <c r="V1103" s="14"/>
      <c r="W1103" s="14"/>
      <c r="X1103" s="14"/>
      <c r="Y1103" s="14"/>
      <c r="Z1103" s="14"/>
    </row>
    <row r="1104">
      <c r="A1104" s="11">
        <v>43846.35418981481</v>
      </c>
      <c r="B1104" s="12" t="str">
        <f>HYPERLINK("https://twitter.com/HeadWorry","@HeadWorry")</f>
        <v>@HeadWorry</v>
      </c>
      <c r="C1104" s="1" t="s">
        <v>3431</v>
      </c>
      <c r="D1104" s="1" t="s">
        <v>3432</v>
      </c>
      <c r="E1104" s="12" t="str">
        <f>HYPERLINK("https://twitter.com/HeadWorry/status/1217801184788066305","1217801184788066305")</f>
        <v>1217801184788066305</v>
      </c>
      <c r="F1104" s="13" t="s">
        <v>3433</v>
      </c>
      <c r="G1104" s="13" t="s">
        <v>5339</v>
      </c>
      <c r="H1104" s="14"/>
      <c r="I1104" s="15">
        <v>0.0</v>
      </c>
      <c r="J1104" s="15">
        <v>0.0</v>
      </c>
      <c r="K1104" s="12" t="str">
        <f>HYPERLINK("https://social.zoho.com","Zoho Social")</f>
        <v>Zoho Social</v>
      </c>
      <c r="L1104" s="16">
        <v>33.0</v>
      </c>
      <c r="M1104" s="16">
        <v>176.0</v>
      </c>
      <c r="N1104" s="16">
        <v>0.0</v>
      </c>
      <c r="O1104" s="17"/>
      <c r="P1104" s="18">
        <v>43660.53381944445</v>
      </c>
      <c r="Q1104" s="1" t="s">
        <v>342</v>
      </c>
      <c r="R1104" s="1" t="s">
        <v>3435</v>
      </c>
      <c r="S1104" s="13" t="s">
        <v>3436</v>
      </c>
      <c r="T1104" s="14"/>
      <c r="U1104" s="19" t="str">
        <f>HYPERLINK("https://pbs.twimg.com/profile_images/1161663750950330379/ZVB_Rs9b.jpg","View")</f>
        <v>View</v>
      </c>
      <c r="V1104" s="14"/>
      <c r="W1104" s="14"/>
      <c r="X1104" s="14"/>
      <c r="Y1104" s="14"/>
      <c r="Z1104" s="14"/>
    </row>
    <row r="1105">
      <c r="A1105" s="11">
        <v>43846.34724537037</v>
      </c>
      <c r="B1105" s="12" t="str">
        <f>HYPERLINK("https://twitter.com/CordellHealth","@CordellHealth")</f>
        <v>@CordellHealth</v>
      </c>
      <c r="C1105" s="1" t="s">
        <v>5340</v>
      </c>
      <c r="D1105" s="1" t="s">
        <v>5341</v>
      </c>
      <c r="E1105" s="12" t="str">
        <f>HYPERLINK("https://twitter.com/CordellHealth/status/1217798668016848896","1217798668016848896")</f>
        <v>1217798668016848896</v>
      </c>
      <c r="F1105" s="13" t="s">
        <v>5342</v>
      </c>
      <c r="G1105" s="13" t="s">
        <v>5343</v>
      </c>
      <c r="H1105" s="14"/>
      <c r="I1105" s="15">
        <v>1.0</v>
      </c>
      <c r="J1105" s="15">
        <v>1.0</v>
      </c>
      <c r="K1105" s="12" t="str">
        <f>HYPERLINK("https://www.contentcal.io","ContentCal Studio")</f>
        <v>ContentCal Studio</v>
      </c>
      <c r="L1105" s="16">
        <v>405.0</v>
      </c>
      <c r="M1105" s="16">
        <v>386.0</v>
      </c>
      <c r="N1105" s="16">
        <v>8.0</v>
      </c>
      <c r="O1105" s="17"/>
      <c r="P1105" s="18">
        <v>42576.70282407408</v>
      </c>
      <c r="Q1105" s="1" t="s">
        <v>5344</v>
      </c>
      <c r="R1105" s="1" t="s">
        <v>5345</v>
      </c>
      <c r="S1105" s="13" t="s">
        <v>5346</v>
      </c>
      <c r="T1105" s="14"/>
      <c r="U1105" s="19" t="str">
        <f>HYPERLINK("https://pbs.twimg.com/profile_images/844881448897302528/kXlu_e4Z.jpg","View")</f>
        <v>View</v>
      </c>
      <c r="V1105" s="14"/>
      <c r="W1105" s="14"/>
      <c r="X1105" s="14"/>
      <c r="Y1105" s="14"/>
      <c r="Z1105" s="14"/>
    </row>
    <row r="1106">
      <c r="A1106" s="11">
        <v>43846.346550925926</v>
      </c>
      <c r="B1106" s="12" t="str">
        <f>HYPERLINK("https://twitter.com/hcare_learning","@hcare_learning")</f>
        <v>@hcare_learning</v>
      </c>
      <c r="C1106" s="1" t="s">
        <v>5347</v>
      </c>
      <c r="D1106" s="1" t="s">
        <v>5348</v>
      </c>
      <c r="E1106" s="12" t="str">
        <f>HYPERLINK("https://twitter.com/hcare_learning/status/1217798414869630977","1217798414869630977")</f>
        <v>1217798414869630977</v>
      </c>
      <c r="F1106" s="13" t="s">
        <v>5349</v>
      </c>
      <c r="G1106" s="13" t="s">
        <v>5350</v>
      </c>
      <c r="H1106" s="14"/>
      <c r="I1106" s="15">
        <v>0.0</v>
      </c>
      <c r="J1106" s="15">
        <v>0.0</v>
      </c>
      <c r="K1106" s="12" t="str">
        <f t="shared" ref="K1106:K1107" si="112">HYPERLINK("https://mobile.twitter.com","Twitter Web App")</f>
        <v>Twitter Web App</v>
      </c>
      <c r="L1106" s="16">
        <v>1354.0</v>
      </c>
      <c r="M1106" s="16">
        <v>988.0</v>
      </c>
      <c r="N1106" s="16">
        <v>18.0</v>
      </c>
      <c r="O1106" s="17"/>
      <c r="P1106" s="18">
        <v>40780.36107638889</v>
      </c>
      <c r="Q1106" s="1" t="s">
        <v>342</v>
      </c>
      <c r="R1106" s="1" t="s">
        <v>5351</v>
      </c>
      <c r="S1106" s="13" t="s">
        <v>5352</v>
      </c>
      <c r="T1106" s="14"/>
      <c r="U1106" s="19" t="str">
        <f>HYPERLINK("https://pbs.twimg.com/profile_images/856890770254639104/5EHGLApC.jpg","View")</f>
        <v>View</v>
      </c>
      <c r="V1106" s="14"/>
      <c r="W1106" s="14"/>
      <c r="X1106" s="14"/>
      <c r="Y1106" s="14"/>
      <c r="Z1106" s="14"/>
    </row>
    <row r="1107">
      <c r="A1107" s="11">
        <v>43846.33819444444</v>
      </c>
      <c r="B1107" s="12" t="str">
        <f>HYPERLINK("https://twitter.com/anndra_dumo","@anndra_dumo")</f>
        <v>@anndra_dumo</v>
      </c>
      <c r="C1107" s="1" t="s">
        <v>5353</v>
      </c>
      <c r="D1107" s="1" t="s">
        <v>5354</v>
      </c>
      <c r="E1107" s="12" t="str">
        <f>HYPERLINK("https://twitter.com/anndra_dumo/status/1217795387874070528","1217795387874070528")</f>
        <v>1217795387874070528</v>
      </c>
      <c r="F1107" s="14"/>
      <c r="G1107" s="13" t="s">
        <v>5355</v>
      </c>
      <c r="H1107" s="14"/>
      <c r="I1107" s="15">
        <v>0.0</v>
      </c>
      <c r="J1107" s="15">
        <v>0.0</v>
      </c>
      <c r="K1107" s="12" t="str">
        <f t="shared" si="112"/>
        <v>Twitter Web App</v>
      </c>
      <c r="L1107" s="16">
        <v>136.0</v>
      </c>
      <c r="M1107" s="16">
        <v>894.0</v>
      </c>
      <c r="N1107" s="16">
        <v>1.0</v>
      </c>
      <c r="O1107" s="17"/>
      <c r="P1107" s="18">
        <v>42535.313252314816</v>
      </c>
      <c r="Q1107" s="14"/>
      <c r="R1107" s="1" t="s">
        <v>5356</v>
      </c>
      <c r="S1107" s="13" t="s">
        <v>5357</v>
      </c>
      <c r="T1107" s="14"/>
      <c r="U1107" s="19" t="str">
        <f>HYPERLINK("https://pbs.twimg.com/profile_images/1191469844769779715/AdfVRGIX.jpg","View")</f>
        <v>View</v>
      </c>
      <c r="V1107" s="14"/>
      <c r="W1107" s="14"/>
      <c r="X1107" s="14"/>
      <c r="Y1107" s="14"/>
      <c r="Z1107" s="14"/>
    </row>
    <row r="1108">
      <c r="A1108" s="11">
        <v>43846.33473379629</v>
      </c>
      <c r="B1108" s="12" t="str">
        <f>HYPERLINK("https://twitter.com/MilCareerEd","@MilCareerEd")</f>
        <v>@MilCareerEd</v>
      </c>
      <c r="C1108" s="1" t="s">
        <v>5358</v>
      </c>
      <c r="D1108" s="1" t="s">
        <v>5359</v>
      </c>
      <c r="E1108" s="12" t="str">
        <f>HYPERLINK("https://twitter.com/MilCareerEd/status/1217794131994533889","1217794131994533889")</f>
        <v>1217794131994533889</v>
      </c>
      <c r="F1108" s="13" t="s">
        <v>5360</v>
      </c>
      <c r="G1108" s="14"/>
      <c r="H1108" s="14"/>
      <c r="I1108" s="15">
        <v>1.0</v>
      </c>
      <c r="J1108" s="15">
        <v>0.0</v>
      </c>
      <c r="K1108" s="12" t="str">
        <f t="shared" ref="K1108:K1110" si="113">HYPERLINK("https://www.hootsuite.com","Hootsuite Inc.")</f>
        <v>Hootsuite Inc.</v>
      </c>
      <c r="L1108" s="16">
        <v>4749.0</v>
      </c>
      <c r="M1108" s="16">
        <v>5467.0</v>
      </c>
      <c r="N1108" s="16">
        <v>209.0</v>
      </c>
      <c r="O1108" s="17"/>
      <c r="P1108" s="18">
        <v>41624.56842592593</v>
      </c>
      <c r="Q1108" s="1" t="s">
        <v>5361</v>
      </c>
      <c r="R1108" s="1" t="s">
        <v>5362</v>
      </c>
      <c r="S1108" s="13" t="s">
        <v>5363</v>
      </c>
      <c r="T1108" s="14"/>
      <c r="U1108" s="19" t="str">
        <f>HYPERLINK("https://pbs.twimg.com/profile_images/484788983134564352/cJv5b_zF.jpeg","View")</f>
        <v>View</v>
      </c>
      <c r="V1108" s="14"/>
      <c r="W1108" s="14"/>
      <c r="X1108" s="14"/>
      <c r="Y1108" s="14"/>
      <c r="Z1108" s="14"/>
    </row>
    <row r="1109">
      <c r="A1109" s="11">
        <v>43846.33424768518</v>
      </c>
      <c r="B1109" s="12" t="str">
        <f>HYPERLINK("https://twitter.com/GroupGfb","@GroupGfb")</f>
        <v>@GroupGfb</v>
      </c>
      <c r="C1109" s="1" t="s">
        <v>5364</v>
      </c>
      <c r="D1109" s="1" t="s">
        <v>5365</v>
      </c>
      <c r="E1109" s="12" t="str">
        <f>HYPERLINK("https://twitter.com/GroupGfb/status/1217793957142450176","1217793957142450176")</f>
        <v>1217793957142450176</v>
      </c>
      <c r="F1109" s="13" t="s">
        <v>5366</v>
      </c>
      <c r="G1109" s="13" t="s">
        <v>5367</v>
      </c>
      <c r="H1109" s="14"/>
      <c r="I1109" s="15">
        <v>0.0</v>
      </c>
      <c r="J1109" s="15">
        <v>0.0</v>
      </c>
      <c r="K1109" s="12" t="str">
        <f t="shared" si="113"/>
        <v>Hootsuite Inc.</v>
      </c>
      <c r="L1109" s="16">
        <v>548.0</v>
      </c>
      <c r="M1109" s="16">
        <v>1381.0</v>
      </c>
      <c r="N1109" s="16">
        <v>24.0</v>
      </c>
      <c r="O1109" s="17"/>
      <c r="P1109" s="18">
        <v>40247.67685185185</v>
      </c>
      <c r="Q1109" s="1" t="s">
        <v>5368</v>
      </c>
      <c r="R1109" s="1" t="s">
        <v>5369</v>
      </c>
      <c r="S1109" s="13" t="s">
        <v>5370</v>
      </c>
      <c r="T1109" s="14"/>
      <c r="U1109" s="19" t="str">
        <f>HYPERLINK("https://pbs.twimg.com/profile_images/1192003819514798080/xYoIUOg9.jpg","View")</f>
        <v>View</v>
      </c>
      <c r="V1109" s="14"/>
      <c r="W1109" s="14"/>
      <c r="X1109" s="14"/>
      <c r="Y1109" s="14"/>
      <c r="Z1109" s="14"/>
    </row>
    <row r="1110">
      <c r="A1110" s="11">
        <v>43846.334189814814</v>
      </c>
      <c r="B1110" s="12" t="str">
        <f>HYPERLINK("https://twitter.com/CSCollegeOrg","@CSCollegeOrg")</f>
        <v>@CSCollegeOrg</v>
      </c>
      <c r="C1110" s="1" t="s">
        <v>5371</v>
      </c>
      <c r="D1110" s="1" t="s">
        <v>5372</v>
      </c>
      <c r="E1110" s="12" t="str">
        <f>HYPERLINK("https://twitter.com/CSCollegeOrg/status/1217793936099627008","1217793936099627008")</f>
        <v>1217793936099627008</v>
      </c>
      <c r="F1110" s="13" t="s">
        <v>5373</v>
      </c>
      <c r="G1110" s="14"/>
      <c r="H1110" s="14"/>
      <c r="I1110" s="15">
        <v>0.0</v>
      </c>
      <c r="J1110" s="15">
        <v>0.0</v>
      </c>
      <c r="K1110" s="12" t="str">
        <f t="shared" si="113"/>
        <v>Hootsuite Inc.</v>
      </c>
      <c r="L1110" s="16">
        <v>383.0</v>
      </c>
      <c r="M1110" s="16">
        <v>252.0</v>
      </c>
      <c r="N1110" s="16">
        <v>7.0</v>
      </c>
      <c r="O1110" s="17"/>
      <c r="P1110" s="18">
        <v>42965.34185185185</v>
      </c>
      <c r="Q1110" s="1" t="s">
        <v>5374</v>
      </c>
      <c r="R1110" s="1" t="s">
        <v>5375</v>
      </c>
      <c r="S1110" s="13" t="s">
        <v>5376</v>
      </c>
      <c r="T1110" s="14"/>
      <c r="U1110" s="19" t="str">
        <f>HYPERLINK("https://pbs.twimg.com/profile_images/1146797862153609219/2iT-E6ze.png","View")</f>
        <v>View</v>
      </c>
      <c r="V1110" s="14"/>
      <c r="W1110" s="14"/>
      <c r="X1110" s="14"/>
      <c r="Y1110" s="14"/>
      <c r="Z1110" s="14"/>
    </row>
    <row r="1111">
      <c r="A1111" s="11">
        <v>43846.33387731481</v>
      </c>
      <c r="B1111" s="12" t="str">
        <f>HYPERLINK("https://twitter.com/TTBerkshire","@TTBerkshire")</f>
        <v>@TTBerkshire</v>
      </c>
      <c r="C1111" s="1" t="s">
        <v>5377</v>
      </c>
      <c r="D1111" s="1" t="s">
        <v>5378</v>
      </c>
      <c r="E1111" s="12" t="str">
        <f>HYPERLINK("https://twitter.com/TTBerkshire/status/1217793821284671488","1217793821284671488")</f>
        <v>1217793821284671488</v>
      </c>
      <c r="F1111" s="13" t="s">
        <v>5379</v>
      </c>
      <c r="G1111" s="13" t="s">
        <v>5380</v>
      </c>
      <c r="H1111" s="14"/>
      <c r="I1111" s="15">
        <v>1.0</v>
      </c>
      <c r="J1111" s="15">
        <v>1.0</v>
      </c>
      <c r="K1111" s="12" t="str">
        <f>HYPERLINK("https://mobile.twitter.com","Twitter Web App")</f>
        <v>Twitter Web App</v>
      </c>
      <c r="L1111" s="16">
        <v>1064.0</v>
      </c>
      <c r="M1111" s="16">
        <v>453.0</v>
      </c>
      <c r="N1111" s="16">
        <v>14.0</v>
      </c>
      <c r="O1111" s="17"/>
      <c r="P1111" s="18">
        <v>41768.21959490741</v>
      </c>
      <c r="Q1111" s="1" t="s">
        <v>5381</v>
      </c>
      <c r="R1111" s="1" t="s">
        <v>5382</v>
      </c>
      <c r="S1111" s="13" t="s">
        <v>5383</v>
      </c>
      <c r="T1111" s="14"/>
      <c r="U1111" s="19" t="str">
        <f>HYPERLINK("https://pbs.twimg.com/profile_images/894936860375515136/4zGSlG2B.jpg","View")</f>
        <v>View</v>
      </c>
      <c r="V1111" s="14"/>
      <c r="W1111" s="14"/>
      <c r="X1111" s="14"/>
      <c r="Y1111" s="14"/>
      <c r="Z1111" s="14"/>
    </row>
    <row r="1112">
      <c r="A1112" s="11">
        <v>43846.33334490741</v>
      </c>
      <c r="B1112" s="12" t="str">
        <f>HYPERLINK("https://twitter.com/WeHearYouZA","@WeHearYouZA")</f>
        <v>@WeHearYouZA</v>
      </c>
      <c r="C1112" s="1" t="s">
        <v>2299</v>
      </c>
      <c r="D1112" s="1" t="s">
        <v>5384</v>
      </c>
      <c r="E1112" s="12" t="str">
        <f>HYPERLINK("https://twitter.com/WeHearYouZA/status/1217793627922911233","1217793627922911233")</f>
        <v>1217793627922911233</v>
      </c>
      <c r="F1112" s="14"/>
      <c r="G1112" s="13" t="s">
        <v>5385</v>
      </c>
      <c r="H1112" s="14"/>
      <c r="I1112" s="15">
        <v>2.0</v>
      </c>
      <c r="J1112" s="15">
        <v>3.0</v>
      </c>
      <c r="K1112" s="12" t="str">
        <f>HYPERLINK("https://about.twitter.com/products/tweetdeck","TweetDeck")</f>
        <v>TweetDeck</v>
      </c>
      <c r="L1112" s="16">
        <v>26.0</v>
      </c>
      <c r="M1112" s="16">
        <v>43.0</v>
      </c>
      <c r="N1112" s="16">
        <v>4.0</v>
      </c>
      <c r="O1112" s="17"/>
      <c r="P1112" s="18">
        <v>43661.22396990741</v>
      </c>
      <c r="Q1112" s="1" t="s">
        <v>2302</v>
      </c>
      <c r="R1112" s="1" t="s">
        <v>2303</v>
      </c>
      <c r="S1112" s="13" t="s">
        <v>2304</v>
      </c>
      <c r="T1112" s="14"/>
      <c r="U1112" s="19" t="str">
        <f>HYPERLINK("https://pbs.twimg.com/profile_images/1153562188415737856/1QVWKhWI.jpg","View")</f>
        <v>View</v>
      </c>
      <c r="V1112" s="14"/>
      <c r="W1112" s="14"/>
      <c r="X1112" s="14"/>
      <c r="Y1112" s="14"/>
      <c r="Z1112" s="14"/>
    </row>
    <row r="1113">
      <c r="A1113" s="11">
        <v>43846.33259259259</v>
      </c>
      <c r="B1113" s="12" t="str">
        <f>HYPERLINK("https://twitter.com/Wellness_Orbit","@Wellness_Orbit")</f>
        <v>@Wellness_Orbit</v>
      </c>
      <c r="C1113" s="1" t="s">
        <v>4184</v>
      </c>
      <c r="D1113" s="1" t="s">
        <v>5386</v>
      </c>
      <c r="E1113" s="12" t="str">
        <f>HYPERLINK("https://twitter.com/Wellness_Orbit/status/1217793358741037056","1217793358741037056")</f>
        <v>1217793358741037056</v>
      </c>
      <c r="F1113" s="1" t="s">
        <v>5387</v>
      </c>
      <c r="G1113" s="14"/>
      <c r="H1113" s="14"/>
      <c r="I1113" s="15">
        <v>1.0</v>
      </c>
      <c r="J1113" s="15">
        <v>0.0</v>
      </c>
      <c r="K1113" s="12" t="str">
        <f t="shared" ref="K1113:K1115" si="114">HYPERLINK("https://mobile.twitter.com","Twitter Web App")</f>
        <v>Twitter Web App</v>
      </c>
      <c r="L1113" s="16">
        <v>1868.0</v>
      </c>
      <c r="M1113" s="16">
        <v>4864.0</v>
      </c>
      <c r="N1113" s="16">
        <v>13.0</v>
      </c>
      <c r="O1113" s="17"/>
      <c r="P1113" s="18">
        <v>42748.75420138889</v>
      </c>
      <c r="Q1113" s="14"/>
      <c r="R1113" s="1" t="s">
        <v>4188</v>
      </c>
      <c r="S1113" s="13" t="s">
        <v>4189</v>
      </c>
      <c r="T1113" s="14"/>
      <c r="U1113" s="19" t="str">
        <f>HYPERLINK("https://pbs.twimg.com/profile_images/1152339235388755968/xWq9HR5r.jpg","View")</f>
        <v>View</v>
      </c>
      <c r="V1113" s="14"/>
      <c r="W1113" s="14"/>
      <c r="X1113" s="14"/>
      <c r="Y1113" s="14"/>
      <c r="Z1113" s="14"/>
    </row>
    <row r="1114">
      <c r="A1114" s="11">
        <v>43846.328784722224</v>
      </c>
      <c r="B1114" s="12" t="str">
        <f>HYPERLINK("https://twitter.com/SamryaGarden","@SamryaGarden")</f>
        <v>@SamryaGarden</v>
      </c>
      <c r="C1114" s="1" t="s">
        <v>5388</v>
      </c>
      <c r="D1114" s="1" t="s">
        <v>5389</v>
      </c>
      <c r="E1114" s="12" t="str">
        <f>HYPERLINK("https://twitter.com/SamryaGarden/status/1217791976118145024","1217791976118145024")</f>
        <v>1217791976118145024</v>
      </c>
      <c r="F1114" s="14"/>
      <c r="G1114" s="13" t="s">
        <v>5390</v>
      </c>
      <c r="H1114" s="14"/>
      <c r="I1114" s="15">
        <v>0.0</v>
      </c>
      <c r="J1114" s="15">
        <v>1.0</v>
      </c>
      <c r="K1114" s="12" t="str">
        <f t="shared" si="114"/>
        <v>Twitter Web App</v>
      </c>
      <c r="L1114" s="16">
        <v>1.0</v>
      </c>
      <c r="M1114" s="16">
        <v>3.0</v>
      </c>
      <c r="N1114" s="16">
        <v>0.0</v>
      </c>
      <c r="O1114" s="17"/>
      <c r="P1114" s="18">
        <v>43792.271875</v>
      </c>
      <c r="Q1114" s="1" t="s">
        <v>5391</v>
      </c>
      <c r="R1114" s="1" t="s">
        <v>5392</v>
      </c>
      <c r="S1114" s="13" t="s">
        <v>5393</v>
      </c>
      <c r="T1114" s="14"/>
      <c r="U1114" s="19" t="str">
        <f>HYPERLINK("https://pbs.twimg.com/profile_images/1213760985149976577/N-u6omB8.jpg","View")</f>
        <v>View</v>
      </c>
      <c r="V1114" s="14"/>
      <c r="W1114" s="14"/>
      <c r="X1114" s="14"/>
      <c r="Y1114" s="14"/>
      <c r="Z1114" s="14"/>
    </row>
    <row r="1115">
      <c r="A1115" s="11">
        <v>43846.327002314814</v>
      </c>
      <c r="B1115" s="12" t="str">
        <f>HYPERLINK("https://twitter.com/healthstrives","@healthstrives")</f>
        <v>@healthstrives</v>
      </c>
      <c r="C1115" s="1" t="s">
        <v>5394</v>
      </c>
      <c r="D1115" s="1" t="s">
        <v>5395</v>
      </c>
      <c r="E1115" s="12" t="str">
        <f>HYPERLINK("https://twitter.com/healthstrives/status/1217791329750540288","1217791329750540288")</f>
        <v>1217791329750540288</v>
      </c>
      <c r="F1115" s="13" t="s">
        <v>5396</v>
      </c>
      <c r="G1115" s="13" t="s">
        <v>5397</v>
      </c>
      <c r="H1115" s="14"/>
      <c r="I1115" s="15">
        <v>0.0</v>
      </c>
      <c r="J1115" s="15">
        <v>0.0</v>
      </c>
      <c r="K1115" s="12" t="str">
        <f t="shared" si="114"/>
        <v>Twitter Web App</v>
      </c>
      <c r="L1115" s="16">
        <v>2.0</v>
      </c>
      <c r="M1115" s="16">
        <v>48.0</v>
      </c>
      <c r="N1115" s="16">
        <v>0.0</v>
      </c>
      <c r="O1115" s="17"/>
      <c r="P1115" s="18">
        <v>43791.10228009259</v>
      </c>
      <c r="Q1115" s="1" t="s">
        <v>1472</v>
      </c>
      <c r="R1115" s="1" t="s">
        <v>5398</v>
      </c>
      <c r="S1115" s="13" t="s">
        <v>5399</v>
      </c>
      <c r="T1115" s="14"/>
      <c r="U1115" s="19" t="str">
        <f>HYPERLINK("https://pbs.twimg.com/profile_images/1199593137460482049/yZx7LUux.jpg","View")</f>
        <v>View</v>
      </c>
      <c r="V1115" s="14"/>
      <c r="W1115" s="14"/>
      <c r="X1115" s="14"/>
      <c r="Y1115" s="14"/>
      <c r="Z1115" s="14"/>
    </row>
    <row r="1116">
      <c r="A1116" s="11">
        <v>43846.32355324074</v>
      </c>
      <c r="B1116" s="12" t="str">
        <f>HYPERLINK("https://twitter.com/BoomingEncore","@BoomingEncore")</f>
        <v>@BoomingEncore</v>
      </c>
      <c r="C1116" s="1" t="s">
        <v>5400</v>
      </c>
      <c r="D1116" s="1" t="s">
        <v>5401</v>
      </c>
      <c r="E1116" s="12" t="str">
        <f>HYPERLINK("https://twitter.com/BoomingEncore/status/1217790079701323777","1217790079701323777")</f>
        <v>1217790079701323777</v>
      </c>
      <c r="F1116" s="13" t="s">
        <v>5402</v>
      </c>
      <c r="G1116" s="14"/>
      <c r="H1116" s="14"/>
      <c r="I1116" s="15">
        <v>2.0</v>
      </c>
      <c r="J1116" s="15">
        <v>1.0</v>
      </c>
      <c r="K1116" s="12" t="str">
        <f>HYPERLINK("http://twitter.com","Twitter Web Client")</f>
        <v>Twitter Web Client</v>
      </c>
      <c r="L1116" s="16">
        <v>7818.0</v>
      </c>
      <c r="M1116" s="16">
        <v>6393.0</v>
      </c>
      <c r="N1116" s="16">
        <v>307.0</v>
      </c>
      <c r="O1116" s="17"/>
      <c r="P1116" s="18">
        <v>41410.34476851852</v>
      </c>
      <c r="Q1116" s="14"/>
      <c r="R1116" s="1" t="s">
        <v>5403</v>
      </c>
      <c r="S1116" s="13" t="s">
        <v>5404</v>
      </c>
      <c r="T1116" s="14"/>
      <c r="U1116" s="19" t="str">
        <f>HYPERLINK("https://pbs.twimg.com/profile_images/378800000074602988/227665f5631af54f22fb7286637e8ec1.png","View")</f>
        <v>View</v>
      </c>
      <c r="V1116" s="14"/>
      <c r="W1116" s="14"/>
      <c r="X1116" s="14"/>
      <c r="Y1116" s="14"/>
      <c r="Z1116" s="14"/>
    </row>
    <row r="1117">
      <c r="A1117" s="11">
        <v>43846.32351851852</v>
      </c>
      <c r="B1117" s="12" t="str">
        <f>HYPERLINK("https://twitter.com/NiagaraNeuro","@NiagaraNeuro")</f>
        <v>@NiagaraNeuro</v>
      </c>
      <c r="C1117" s="1" t="s">
        <v>5405</v>
      </c>
      <c r="D1117" s="1" t="s">
        <v>5406</v>
      </c>
      <c r="E1117" s="12" t="str">
        <f>HYPERLINK("https://twitter.com/NiagaraNeuro/status/1217790067357429762","1217790067357429762")</f>
        <v>1217790067357429762</v>
      </c>
      <c r="F1117" s="13" t="s">
        <v>5407</v>
      </c>
      <c r="G1117" s="14"/>
      <c r="H1117" s="14"/>
      <c r="I1117" s="15">
        <v>0.0</v>
      </c>
      <c r="J1117" s="15">
        <v>0.0</v>
      </c>
      <c r="K1117" s="12" t="str">
        <f>HYPERLINK("https://www.hootsuite.com","Hootsuite Inc.")</f>
        <v>Hootsuite Inc.</v>
      </c>
      <c r="L1117" s="16">
        <v>129.0</v>
      </c>
      <c r="M1117" s="16">
        <v>149.0</v>
      </c>
      <c r="N1117" s="16">
        <v>5.0</v>
      </c>
      <c r="O1117" s="17"/>
      <c r="P1117" s="18">
        <v>42715.508622685185</v>
      </c>
      <c r="Q1117" s="14"/>
      <c r="R1117" s="1" t="s">
        <v>5408</v>
      </c>
      <c r="S1117" s="14"/>
      <c r="T1117" s="14"/>
      <c r="U1117" s="19" t="str">
        <f>HYPERLINK("https://pbs.twimg.com/profile_images/808003495055990784/-R0nnlVz.jpg","View")</f>
        <v>View</v>
      </c>
      <c r="V1117" s="14"/>
      <c r="W1117" s="14"/>
      <c r="X1117" s="14"/>
      <c r="Y1117" s="14"/>
      <c r="Z1117" s="14"/>
    </row>
    <row r="1118">
      <c r="A1118" s="11">
        <v>43846.323472222226</v>
      </c>
      <c r="B1118" s="12" t="str">
        <f>HYPERLINK("https://twitter.com/StBuresch","@StBuresch")</f>
        <v>@StBuresch</v>
      </c>
      <c r="C1118" s="1" t="s">
        <v>5409</v>
      </c>
      <c r="D1118" s="1" t="s">
        <v>5410</v>
      </c>
      <c r="E1118" s="12" t="str">
        <f>HYPERLINK("https://twitter.com/StBuresch/status/1217790050332790784","1217790050332790784")</f>
        <v>1217790050332790784</v>
      </c>
      <c r="F1118" s="13" t="s">
        <v>5411</v>
      </c>
      <c r="G1118" s="14"/>
      <c r="H1118" s="14"/>
      <c r="I1118" s="15">
        <v>1.0</v>
      </c>
      <c r="J1118" s="15">
        <v>1.0</v>
      </c>
      <c r="K1118" s="12" t="str">
        <f>HYPERLINK("http://www.linkedin.com/","LinkedIn")</f>
        <v>LinkedIn</v>
      </c>
      <c r="L1118" s="16">
        <v>25.0</v>
      </c>
      <c r="M1118" s="16">
        <v>243.0</v>
      </c>
      <c r="N1118" s="16">
        <v>1.0</v>
      </c>
      <c r="O1118" s="17"/>
      <c r="P1118" s="18">
        <v>43703.30541666667</v>
      </c>
      <c r="Q1118" s="1" t="s">
        <v>5412</v>
      </c>
      <c r="R1118" s="14"/>
      <c r="S1118" s="14"/>
      <c r="T1118" s="14"/>
      <c r="U1118" s="19" t="str">
        <f>HYPERLINK("https://pbs.twimg.com/profile_images/1165947086724055040/6bQpZHfh.jpg","View")</f>
        <v>View</v>
      </c>
      <c r="V1118" s="14"/>
      <c r="W1118" s="14"/>
      <c r="X1118" s="14"/>
      <c r="Y1118" s="14"/>
      <c r="Z1118" s="14"/>
    </row>
    <row r="1119">
      <c r="A1119" s="11">
        <v>43846.32328703704</v>
      </c>
      <c r="B1119" s="12" t="str">
        <f>HYPERLINK("https://twitter.com/FriesenPerform","@FriesenPerform")</f>
        <v>@FriesenPerform</v>
      </c>
      <c r="C1119" s="1" t="s">
        <v>5413</v>
      </c>
      <c r="D1119" s="1" t="s">
        <v>5406</v>
      </c>
      <c r="E1119" s="12" t="str">
        <f>HYPERLINK("https://twitter.com/FriesenPerform/status/1217789984213753858","1217789984213753858")</f>
        <v>1217789984213753858</v>
      </c>
      <c r="F1119" s="13" t="s">
        <v>5407</v>
      </c>
      <c r="G1119" s="14"/>
      <c r="H1119" s="14"/>
      <c r="I1119" s="15">
        <v>0.0</v>
      </c>
      <c r="J1119" s="15">
        <v>0.0</v>
      </c>
      <c r="K1119" s="12" t="str">
        <f>HYPERLINK("https://www.hootsuite.com","Hootsuite Inc.")</f>
        <v>Hootsuite Inc.</v>
      </c>
      <c r="L1119" s="16">
        <v>699.0</v>
      </c>
      <c r="M1119" s="16">
        <v>740.0</v>
      </c>
      <c r="N1119" s="16">
        <v>233.0</v>
      </c>
      <c r="O1119" s="17"/>
      <c r="P1119" s="18">
        <v>41803.48442129629</v>
      </c>
      <c r="Q1119" s="1" t="s">
        <v>5414</v>
      </c>
      <c r="R1119" s="1" t="s">
        <v>5415</v>
      </c>
      <c r="S1119" s="13" t="s">
        <v>5416</v>
      </c>
      <c r="T1119" s="14"/>
      <c r="U1119" s="19" t="str">
        <f>HYPERLINK("https://pbs.twimg.com/profile_images/496323395428970496/Y749AoR_.jpeg","View")</f>
        <v>View</v>
      </c>
      <c r="V1119" s="14"/>
      <c r="W1119" s="14"/>
      <c r="X1119" s="14"/>
      <c r="Y1119" s="14"/>
      <c r="Z1119" s="14"/>
    </row>
    <row r="1120">
      <c r="A1120" s="11">
        <v>43846.32208333333</v>
      </c>
      <c r="B1120" s="12" t="str">
        <f>HYPERLINK("https://twitter.com/M2MBusSolutions","@M2MBusSolutions")</f>
        <v>@M2MBusSolutions</v>
      </c>
      <c r="C1120" s="1" t="s">
        <v>5417</v>
      </c>
      <c r="D1120" s="1" t="s">
        <v>5418</v>
      </c>
      <c r="E1120" s="12" t="str">
        <f>HYPERLINK("https://twitter.com/M2MBusSolutions/status/1217789550694629376","1217789550694629376")</f>
        <v>1217789550694629376</v>
      </c>
      <c r="F1120" s="1" t="s">
        <v>5419</v>
      </c>
      <c r="G1120" s="14"/>
      <c r="H1120" s="14"/>
      <c r="I1120" s="15">
        <v>0.0</v>
      </c>
      <c r="J1120" s="15">
        <v>0.0</v>
      </c>
      <c r="K1120" s="12" t="str">
        <f>HYPERLINK("http://www.linkedin.com/","LinkedIn")</f>
        <v>LinkedIn</v>
      </c>
      <c r="L1120" s="16">
        <v>59.0</v>
      </c>
      <c r="M1120" s="16">
        <v>328.0</v>
      </c>
      <c r="N1120" s="16">
        <v>0.0</v>
      </c>
      <c r="O1120" s="17"/>
      <c r="P1120" s="18">
        <v>39945.43692129629</v>
      </c>
      <c r="Q1120" s="1" t="s">
        <v>727</v>
      </c>
      <c r="R1120" s="1" t="s">
        <v>5420</v>
      </c>
      <c r="S1120" s="13" t="s">
        <v>5421</v>
      </c>
      <c r="T1120" s="14"/>
      <c r="U1120" s="19" t="str">
        <f>HYPERLINK("https://pbs.twimg.com/profile_images/1024754355537371137/ln31gc7O.jpg","View")</f>
        <v>View</v>
      </c>
      <c r="V1120" s="14"/>
      <c r="W1120" s="14"/>
      <c r="X1120" s="14"/>
      <c r="Y1120" s="14"/>
      <c r="Z1120" s="14"/>
    </row>
    <row r="1121">
      <c r="A1121" s="11">
        <v>43846.31679398148</v>
      </c>
      <c r="B1121" s="12" t="str">
        <f>HYPERLINK("https://twitter.com/barashgroup","@barashgroup")</f>
        <v>@barashgroup</v>
      </c>
      <c r="C1121" s="1" t="s">
        <v>5422</v>
      </c>
      <c r="D1121" s="1" t="s">
        <v>5423</v>
      </c>
      <c r="E1121" s="12" t="str">
        <f>HYPERLINK("https://twitter.com/barashgroup/status/1217787629867094017","1217787629867094017")</f>
        <v>1217787629867094017</v>
      </c>
      <c r="F1121" s="13" t="s">
        <v>5424</v>
      </c>
      <c r="G1121" s="14"/>
      <c r="H1121" s="14"/>
      <c r="I1121" s="15">
        <v>0.0</v>
      </c>
      <c r="J1121" s="15">
        <v>0.0</v>
      </c>
      <c r="K1121" s="12" t="str">
        <f>HYPERLINK("http://instagram.com","Instagram")</f>
        <v>Instagram</v>
      </c>
      <c r="L1121" s="16">
        <v>40.0</v>
      </c>
      <c r="M1121" s="16">
        <v>58.0</v>
      </c>
      <c r="N1121" s="16">
        <v>22.0</v>
      </c>
      <c r="O1121" s="17"/>
      <c r="P1121" s="18">
        <v>41463.51383101852</v>
      </c>
      <c r="Q1121" s="1" t="s">
        <v>5425</v>
      </c>
      <c r="R1121" s="1" t="s">
        <v>5426</v>
      </c>
      <c r="S1121" s="13" t="s">
        <v>5427</v>
      </c>
      <c r="T1121" s="14"/>
      <c r="U1121" s="19" t="str">
        <f>HYPERLINK("https://pbs.twimg.com/profile_images/378800000105448620/64b7e3cfa139c2bc6f96969181918b52.jpeg","View")</f>
        <v>View</v>
      </c>
      <c r="V1121" s="14"/>
      <c r="W1121" s="14"/>
      <c r="X1121" s="14"/>
      <c r="Y1121" s="14"/>
      <c r="Z1121" s="14"/>
    </row>
    <row r="1122">
      <c r="A1122" s="11">
        <v>43846.31395833333</v>
      </c>
      <c r="B1122" s="12" t="str">
        <f>HYPERLINK("https://twitter.com/DiscovrHealth","@DiscovrHealth")</f>
        <v>@DiscovrHealth</v>
      </c>
      <c r="C1122" s="1" t="s">
        <v>5428</v>
      </c>
      <c r="D1122" s="1" t="s">
        <v>5429</v>
      </c>
      <c r="E1122" s="12" t="str">
        <f>HYPERLINK("https://twitter.com/DiscovrHealth/status/1217786604326150144","1217786604326150144")</f>
        <v>1217786604326150144</v>
      </c>
      <c r="F1122" s="14"/>
      <c r="G1122" s="13" t="s">
        <v>5430</v>
      </c>
      <c r="H1122" s="14"/>
      <c r="I1122" s="15">
        <v>0.0</v>
      </c>
      <c r="J1122" s="15">
        <v>0.0</v>
      </c>
      <c r="K1122" s="12" t="str">
        <f>HYPERLINK("https://mobile.twitter.com","Twitter Web App")</f>
        <v>Twitter Web App</v>
      </c>
      <c r="L1122" s="16">
        <v>9.0</v>
      </c>
      <c r="M1122" s="16">
        <v>17.0</v>
      </c>
      <c r="N1122" s="16">
        <v>0.0</v>
      </c>
      <c r="O1122" s="17"/>
      <c r="P1122" s="18">
        <v>43193.400775462964</v>
      </c>
      <c r="Q1122" s="1" t="s">
        <v>5431</v>
      </c>
      <c r="R1122" s="13" t="s">
        <v>5432</v>
      </c>
      <c r="S1122" s="13" t="s">
        <v>5433</v>
      </c>
      <c r="T1122" s="14"/>
      <c r="U1122" s="19" t="str">
        <f>HYPERLINK("https://pbs.twimg.com/profile_images/1186720154857754624/8qa2O_h4.jpg","View")</f>
        <v>View</v>
      </c>
      <c r="V1122" s="14"/>
      <c r="W1122" s="14"/>
      <c r="X1122" s="14"/>
      <c r="Y1122" s="14"/>
      <c r="Z1122" s="14"/>
    </row>
    <row r="1123">
      <c r="A1123" s="11">
        <v>43846.31271990741</v>
      </c>
      <c r="B1123" s="12" t="str">
        <f>HYPERLINK("https://twitter.com/FullersLaw","@FullersLaw")</f>
        <v>@FullersLaw</v>
      </c>
      <c r="C1123" s="1" t="s">
        <v>5434</v>
      </c>
      <c r="D1123" s="1" t="s">
        <v>5435</v>
      </c>
      <c r="E1123" s="12" t="str">
        <f>HYPERLINK("https://twitter.com/FullersLaw/status/1217786156244512768","1217786156244512768")</f>
        <v>1217786156244512768</v>
      </c>
      <c r="F1123" s="13" t="s">
        <v>5436</v>
      </c>
      <c r="G1123" s="13" t="s">
        <v>5437</v>
      </c>
      <c r="H1123" s="14"/>
      <c r="I1123" s="15">
        <v>0.0</v>
      </c>
      <c r="J1123" s="15">
        <v>1.0</v>
      </c>
      <c r="K1123" s="12" t="str">
        <f>HYPERLINK("https://www.hootsuite.com","Hootsuite Inc.")</f>
        <v>Hootsuite Inc.</v>
      </c>
      <c r="L1123" s="16">
        <v>885.0</v>
      </c>
      <c r="M1123" s="16">
        <v>1017.0</v>
      </c>
      <c r="N1123" s="16">
        <v>15.0</v>
      </c>
      <c r="O1123" s="17"/>
      <c r="P1123" s="18">
        <v>41340.3419212963</v>
      </c>
      <c r="Q1123" s="1" t="s">
        <v>5438</v>
      </c>
      <c r="R1123" s="1" t="s">
        <v>5439</v>
      </c>
      <c r="S1123" s="13" t="s">
        <v>5440</v>
      </c>
      <c r="T1123" s="14"/>
      <c r="U1123" s="19" t="str">
        <f>HYPERLINK("https://pbs.twimg.com/profile_images/1085864563373998080/v-UEDF7m.jpg","View")</f>
        <v>View</v>
      </c>
      <c r="V1123" s="14"/>
      <c r="W1123" s="14"/>
      <c r="X1123" s="14"/>
      <c r="Y1123" s="14"/>
      <c r="Z1123" s="14"/>
    </row>
    <row r="1124">
      <c r="A1124" s="11">
        <v>43846.30930555555</v>
      </c>
      <c r="B1124" s="12" t="str">
        <f>HYPERLINK("https://twitter.com/ClearviewMinds","@ClearviewMinds")</f>
        <v>@ClearviewMinds</v>
      </c>
      <c r="C1124" s="1" t="s">
        <v>3073</v>
      </c>
      <c r="D1124" s="1" t="s">
        <v>5441</v>
      </c>
      <c r="E1124" s="12" t="str">
        <f>HYPERLINK("https://twitter.com/ClearviewMinds/status/1217784916265578498","1217784916265578498")</f>
        <v>1217784916265578498</v>
      </c>
      <c r="F1124" s="13" t="s">
        <v>5442</v>
      </c>
      <c r="G1124" s="13" t="s">
        <v>5443</v>
      </c>
      <c r="H1124" s="14"/>
      <c r="I1124" s="15">
        <v>0.0</v>
      </c>
      <c r="J1124" s="15">
        <v>0.0</v>
      </c>
      <c r="K1124" s="12" t="str">
        <f t="shared" ref="K1124:K1125" si="115">HYPERLINK("http://twitter.com/download/iphone","Twitter for iPhone")</f>
        <v>Twitter for iPhone</v>
      </c>
      <c r="L1124" s="16">
        <v>374.0</v>
      </c>
      <c r="M1124" s="16">
        <v>1068.0</v>
      </c>
      <c r="N1124" s="16">
        <v>5.0</v>
      </c>
      <c r="O1124" s="17"/>
      <c r="P1124" s="18">
        <v>42776.529178240744</v>
      </c>
      <c r="Q1124" s="1" t="s">
        <v>3077</v>
      </c>
      <c r="R1124" s="1" t="s">
        <v>3078</v>
      </c>
      <c r="S1124" s="13" t="s">
        <v>3079</v>
      </c>
      <c r="T1124" s="14"/>
      <c r="U1124" s="19" t="str">
        <f>HYPERLINK("https://pbs.twimg.com/profile_images/830110341946294272/9GN1kXKG.jpg","View")</f>
        <v>View</v>
      </c>
      <c r="V1124" s="14"/>
      <c r="W1124" s="14"/>
      <c r="X1124" s="14"/>
      <c r="Y1124" s="14"/>
      <c r="Z1124" s="14"/>
    </row>
    <row r="1125">
      <c r="A1125" s="11">
        <v>43846.30913194444</v>
      </c>
      <c r="B1125" s="12" t="str">
        <f>HYPERLINK("https://twitter.com/dorothyspeaker","@dorothyspeaker")</f>
        <v>@dorothyspeaker</v>
      </c>
      <c r="C1125" s="1" t="s">
        <v>3534</v>
      </c>
      <c r="D1125" s="1" t="s">
        <v>5444</v>
      </c>
      <c r="E1125" s="12" t="str">
        <f>HYPERLINK("https://twitter.com/dorothyspeaker/status/1217784854764564485","1217784854764564485")</f>
        <v>1217784854764564485</v>
      </c>
      <c r="F1125" s="13" t="s">
        <v>3536</v>
      </c>
      <c r="G1125" s="13" t="s">
        <v>5445</v>
      </c>
      <c r="H1125" s="14"/>
      <c r="I1125" s="15">
        <v>1.0</v>
      </c>
      <c r="J1125" s="15">
        <v>2.0</v>
      </c>
      <c r="K1125" s="12" t="str">
        <f t="shared" si="115"/>
        <v>Twitter for iPhone</v>
      </c>
      <c r="L1125" s="16">
        <v>71.0</v>
      </c>
      <c r="M1125" s="16">
        <v>125.0</v>
      </c>
      <c r="N1125" s="16">
        <v>1.0</v>
      </c>
      <c r="O1125" s="17"/>
      <c r="P1125" s="18">
        <v>42021.706921296296</v>
      </c>
      <c r="Q1125" s="1" t="s">
        <v>263</v>
      </c>
      <c r="R1125" s="1" t="s">
        <v>3538</v>
      </c>
      <c r="S1125" s="13" t="s">
        <v>3539</v>
      </c>
      <c r="T1125" s="14"/>
      <c r="U1125" s="19" t="str">
        <f>HYPERLINK("https://pbs.twimg.com/profile_images/957545035645497344/qBx2KQtP.jpg","View")</f>
        <v>View</v>
      </c>
      <c r="V1125" s="14"/>
      <c r="W1125" s="14"/>
      <c r="X1125" s="14"/>
      <c r="Y1125" s="14"/>
      <c r="Z1125" s="14"/>
    </row>
    <row r="1126">
      <c r="A1126" s="11">
        <v>43846.30820601852</v>
      </c>
      <c r="B1126" s="12" t="str">
        <f>HYPERLINK("https://twitter.com/RvnMelanie","@RvnMelanie")</f>
        <v>@RvnMelanie</v>
      </c>
      <c r="C1126" s="1" t="s">
        <v>5446</v>
      </c>
      <c r="D1126" s="1" t="s">
        <v>5447</v>
      </c>
      <c r="E1126" s="12" t="str">
        <f>HYPERLINK("https://twitter.com/RvnMelanie/status/1217784519136284672","1217784519136284672")</f>
        <v>1217784519136284672</v>
      </c>
      <c r="F1126" s="14"/>
      <c r="G1126" s="14"/>
      <c r="H1126" s="14"/>
      <c r="I1126" s="15">
        <v>0.0</v>
      </c>
      <c r="J1126" s="15">
        <v>0.0</v>
      </c>
      <c r="K1126" s="12" t="str">
        <f>HYPERLINK("http://twitter.com/download/android","Twitter for Android")</f>
        <v>Twitter for Android</v>
      </c>
      <c r="L1126" s="16">
        <v>31.0</v>
      </c>
      <c r="M1126" s="16">
        <v>276.0</v>
      </c>
      <c r="N1126" s="16">
        <v>0.0</v>
      </c>
      <c r="O1126" s="17"/>
      <c r="P1126" s="18">
        <v>43723.709282407406</v>
      </c>
      <c r="Q1126" s="1" t="s">
        <v>1194</v>
      </c>
      <c r="R1126" s="1" t="s">
        <v>5448</v>
      </c>
      <c r="S1126" s="14"/>
      <c r="T1126" s="14"/>
      <c r="U1126" s="19" t="str">
        <f>HYPERLINK("https://pbs.twimg.com/profile_images/1178261166579167233/BQb4IPH1.jpg","View")</f>
        <v>View</v>
      </c>
      <c r="V1126" s="14"/>
      <c r="W1126" s="14"/>
      <c r="X1126" s="14"/>
      <c r="Y1126" s="14"/>
      <c r="Z1126" s="14"/>
    </row>
    <row r="1127">
      <c r="A1127" s="11">
        <v>43846.306874999995</v>
      </c>
      <c r="B1127" s="12" t="str">
        <f>HYPERLINK("https://twitter.com/lorilanemurphy","@lorilanemurphy")</f>
        <v>@lorilanemurphy</v>
      </c>
      <c r="C1127" s="1" t="s">
        <v>5449</v>
      </c>
      <c r="D1127" s="1" t="s">
        <v>5450</v>
      </c>
      <c r="E1127" s="12" t="str">
        <f>HYPERLINK("https://twitter.com/lorilanemurphy/status/1217784036635987971","1217784036635987971")</f>
        <v>1217784036635987971</v>
      </c>
      <c r="F1127" s="13" t="s">
        <v>5451</v>
      </c>
      <c r="G1127" s="14"/>
      <c r="H1127" s="14"/>
      <c r="I1127" s="15">
        <v>0.0</v>
      </c>
      <c r="J1127" s="15">
        <v>0.0</v>
      </c>
      <c r="K1127" s="12" t="str">
        <f>HYPERLINK("http://instagram.com","Instagram")</f>
        <v>Instagram</v>
      </c>
      <c r="L1127" s="16">
        <v>260.0</v>
      </c>
      <c r="M1127" s="16">
        <v>411.0</v>
      </c>
      <c r="N1127" s="16">
        <v>18.0</v>
      </c>
      <c r="O1127" s="17"/>
      <c r="P1127" s="18">
        <v>41785.783113425925</v>
      </c>
      <c r="Q1127" s="14"/>
      <c r="R1127" s="1" t="s">
        <v>5452</v>
      </c>
      <c r="S1127" s="13" t="s">
        <v>5453</v>
      </c>
      <c r="T1127" s="14"/>
      <c r="U1127" s="19" t="str">
        <f>HYPERLINK("https://pbs.twimg.com/profile_images/1208018848919818242/SDdbb0kD.jpg","View")</f>
        <v>View</v>
      </c>
      <c r="V1127" s="14"/>
      <c r="W1127" s="14"/>
      <c r="X1127" s="14"/>
      <c r="Y1127" s="14"/>
      <c r="Z1127" s="14"/>
    </row>
    <row r="1128">
      <c r="A1128" s="11">
        <v>43846.300775462965</v>
      </c>
      <c r="B1128" s="12" t="str">
        <f>HYPERLINK("https://twitter.com/morganparkes","@morganparkes")</f>
        <v>@morganparkes</v>
      </c>
      <c r="C1128" s="1" t="s">
        <v>5454</v>
      </c>
      <c r="D1128" s="1" t="s">
        <v>5455</v>
      </c>
      <c r="E1128" s="12" t="str">
        <f>HYPERLINK("https://twitter.com/morganparkes/status/1217781827726925826","1217781827726925826")</f>
        <v>1217781827726925826</v>
      </c>
      <c r="F1128" s="13" t="s">
        <v>5456</v>
      </c>
      <c r="G1128" s="13" t="s">
        <v>5457</v>
      </c>
      <c r="H1128" s="14"/>
      <c r="I1128" s="15">
        <v>0.0</v>
      </c>
      <c r="J1128" s="15">
        <v>0.0</v>
      </c>
      <c r="K1128" s="12" t="str">
        <f>HYPERLINK("https://mobile.twitter.com","Twitter Web App")</f>
        <v>Twitter Web App</v>
      </c>
      <c r="L1128" s="16">
        <v>662.0</v>
      </c>
      <c r="M1128" s="16">
        <v>960.0</v>
      </c>
      <c r="N1128" s="16">
        <v>36.0</v>
      </c>
      <c r="O1128" s="17"/>
      <c r="P1128" s="18">
        <v>41882.703368055554</v>
      </c>
      <c r="Q1128" s="1" t="s">
        <v>5458</v>
      </c>
      <c r="R1128" s="1" t="s">
        <v>5459</v>
      </c>
      <c r="S1128" s="13" t="s">
        <v>5460</v>
      </c>
      <c r="T1128" s="14"/>
      <c r="U1128" s="19" t="str">
        <f>HYPERLINK("https://pbs.twimg.com/profile_images/1025367808350273541/-2K14VbS.jpg","View")</f>
        <v>View</v>
      </c>
      <c r="V1128" s="14"/>
      <c r="W1128" s="14"/>
      <c r="X1128" s="14"/>
      <c r="Y1128" s="14"/>
      <c r="Z1128" s="14"/>
    </row>
    <row r="1129">
      <c r="A1129" s="11">
        <v>43846.29864583333</v>
      </c>
      <c r="B1129" s="12" t="str">
        <f>HYPERLINK("https://twitter.com/think_hypno","@think_hypno")</f>
        <v>@think_hypno</v>
      </c>
      <c r="C1129" s="1" t="s">
        <v>5102</v>
      </c>
      <c r="D1129" s="1" t="s">
        <v>5461</v>
      </c>
      <c r="E1129" s="12" t="str">
        <f>HYPERLINK("https://twitter.com/think_hypno/status/1217781057308839936","1217781057308839936")</f>
        <v>1217781057308839936</v>
      </c>
      <c r="F1129" s="13" t="s">
        <v>5462</v>
      </c>
      <c r="G1129" s="14"/>
      <c r="H1129" s="14"/>
      <c r="I1129" s="15">
        <v>0.0</v>
      </c>
      <c r="J1129" s="15">
        <v>0.0</v>
      </c>
      <c r="K1129" s="12" t="str">
        <f>HYPERLINK("https://www.hootsuite.com","Hootsuite Inc.")</f>
        <v>Hootsuite Inc.</v>
      </c>
      <c r="L1129" s="16">
        <v>156.0</v>
      </c>
      <c r="M1129" s="16">
        <v>525.0</v>
      </c>
      <c r="N1129" s="16">
        <v>0.0</v>
      </c>
      <c r="O1129" s="17"/>
      <c r="P1129" s="18">
        <v>42809.45618055556</v>
      </c>
      <c r="Q1129" s="1" t="s">
        <v>5106</v>
      </c>
      <c r="R1129" s="1" t="s">
        <v>5107</v>
      </c>
      <c r="S1129" s="14"/>
      <c r="T1129" s="14"/>
      <c r="U1129" s="19" t="str">
        <f>HYPERLINK("https://pbs.twimg.com/profile_images/842129016391884807/VLMyhXMB.jpg","View")</f>
        <v>View</v>
      </c>
      <c r="V1129" s="14"/>
      <c r="W1129" s="14"/>
      <c r="X1129" s="14"/>
      <c r="Y1129" s="14"/>
      <c r="Z1129" s="14"/>
    </row>
    <row r="1130">
      <c r="A1130" s="11">
        <v>43846.29688657407</v>
      </c>
      <c r="B1130" s="12" t="str">
        <f>HYPERLINK("https://twitter.com/DrPeteMarcelo","@DrPeteMarcelo")</f>
        <v>@DrPeteMarcelo</v>
      </c>
      <c r="C1130" s="1" t="s">
        <v>3304</v>
      </c>
      <c r="D1130" s="1" t="s">
        <v>5463</v>
      </c>
      <c r="E1130" s="12" t="str">
        <f>HYPERLINK("https://twitter.com/DrPeteMarcelo/status/1217780417467682816","1217780417467682816")</f>
        <v>1217780417467682816</v>
      </c>
      <c r="F1130" s="13" t="s">
        <v>5464</v>
      </c>
      <c r="G1130" s="14"/>
      <c r="H1130" s="14"/>
      <c r="I1130" s="15">
        <v>3.0</v>
      </c>
      <c r="J1130" s="15">
        <v>4.0</v>
      </c>
      <c r="K1130" s="12" t="str">
        <f>HYPERLINK("http://www.facebook.com/twitter","Facebook")</f>
        <v>Facebook</v>
      </c>
      <c r="L1130" s="16">
        <v>2857.0</v>
      </c>
      <c r="M1130" s="16">
        <v>2448.0</v>
      </c>
      <c r="N1130" s="16">
        <v>118.0</v>
      </c>
      <c r="O1130" s="17"/>
      <c r="P1130" s="18">
        <v>40500.30787037037</v>
      </c>
      <c r="Q1130" s="1" t="s">
        <v>3307</v>
      </c>
      <c r="R1130" s="1" t="s">
        <v>3308</v>
      </c>
      <c r="S1130" s="13" t="s">
        <v>3309</v>
      </c>
      <c r="T1130" s="14"/>
      <c r="U1130" s="19" t="str">
        <f>HYPERLINK("https://pbs.twimg.com/profile_images/1071780184766984192/zqSBgmO4.jpg","View")</f>
        <v>View</v>
      </c>
      <c r="V1130" s="14"/>
      <c r="W1130" s="14"/>
      <c r="X1130" s="14"/>
      <c r="Y1130" s="14"/>
      <c r="Z1130" s="14"/>
    </row>
    <row r="1131">
      <c r="A1131" s="11">
        <v>43846.296701388885</v>
      </c>
      <c r="B1131" s="12" t="str">
        <f>HYPERLINK("https://twitter.com/ericshayhoward","@ericshayhoward")</f>
        <v>@ericshayhoward</v>
      </c>
      <c r="C1131" s="1" t="s">
        <v>5465</v>
      </c>
      <c r="D1131" s="1" t="s">
        <v>5466</v>
      </c>
      <c r="E1131" s="12" t="str">
        <f>HYPERLINK("https://twitter.com/ericshayhoward/status/1217780349603917824","1217780349603917824")</f>
        <v>1217780349603917824</v>
      </c>
      <c r="F1131" s="14"/>
      <c r="G1131" s="14"/>
      <c r="H1131" s="14"/>
      <c r="I1131" s="15">
        <v>1.0</v>
      </c>
      <c r="J1131" s="15">
        <v>3.0</v>
      </c>
      <c r="K1131" s="12" t="str">
        <f>HYPERLINK("http://twitter.com/download/android","Twitter for Android")</f>
        <v>Twitter for Android</v>
      </c>
      <c r="L1131" s="16">
        <v>1623.0</v>
      </c>
      <c r="M1131" s="16">
        <v>1799.0</v>
      </c>
      <c r="N1131" s="16">
        <v>40.0</v>
      </c>
      <c r="O1131" s="17"/>
      <c r="P1131" s="18">
        <v>40753.15751157407</v>
      </c>
      <c r="Q1131" s="1" t="s">
        <v>5467</v>
      </c>
      <c r="R1131" s="1" t="s">
        <v>5468</v>
      </c>
      <c r="S1131" s="13" t="s">
        <v>5469</v>
      </c>
      <c r="T1131" s="14"/>
      <c r="U1131" s="19" t="str">
        <f>HYPERLINK("https://pbs.twimg.com/profile_images/846804596412559364/10Hnyes4.jpg","View")</f>
        <v>View</v>
      </c>
      <c r="V1131" s="14"/>
      <c r="W1131" s="14"/>
      <c r="X1131" s="14"/>
      <c r="Y1131" s="14"/>
      <c r="Z1131" s="14"/>
    </row>
    <row r="1132">
      <c r="A1132" s="11">
        <v>43846.294062500005</v>
      </c>
      <c r="B1132" s="12" t="str">
        <f>HYPERLINK("https://twitter.com/nb_y_coaching","@nb_y_coaching")</f>
        <v>@nb_y_coaching</v>
      </c>
      <c r="C1132" s="1" t="s">
        <v>5470</v>
      </c>
      <c r="D1132" s="1" t="s">
        <v>5471</v>
      </c>
      <c r="E1132" s="12" t="str">
        <f>HYPERLINK("https://twitter.com/nb_y_coaching/status/1217779393529090049","1217779393529090049")</f>
        <v>1217779393529090049</v>
      </c>
      <c r="F1132" s="13" t="s">
        <v>5472</v>
      </c>
      <c r="G1132" s="14"/>
      <c r="H1132" s="14"/>
      <c r="I1132" s="15">
        <v>1.0</v>
      </c>
      <c r="J1132" s="15">
        <v>1.0</v>
      </c>
      <c r="K1132" s="12" t="str">
        <f>HYPERLINK("https://mobile.twitter.com","Twitter Web App")</f>
        <v>Twitter Web App</v>
      </c>
      <c r="L1132" s="16">
        <v>29.0</v>
      </c>
      <c r="M1132" s="16">
        <v>105.0</v>
      </c>
      <c r="N1132" s="16">
        <v>1.0</v>
      </c>
      <c r="O1132" s="17"/>
      <c r="P1132" s="18">
        <v>42446.73409722222</v>
      </c>
      <c r="Q1132" s="1" t="s">
        <v>5473</v>
      </c>
      <c r="R1132" s="1" t="s">
        <v>5474</v>
      </c>
      <c r="S1132" s="14"/>
      <c r="T1132" s="14"/>
      <c r="U1132" s="19" t="str">
        <f>HYPERLINK("https://pbs.twimg.com/profile_images/1179395868656623616/re4cCv5a.jpg","View")</f>
        <v>View</v>
      </c>
      <c r="V1132" s="14"/>
      <c r="W1132" s="14"/>
      <c r="X1132" s="14"/>
      <c r="Y1132" s="14"/>
      <c r="Z1132" s="14"/>
    </row>
    <row r="1133">
      <c r="A1133" s="11">
        <v>43846.293067129634</v>
      </c>
      <c r="B1133" s="12" t="str">
        <f>HYPERLINK("https://twitter.com/TBtalks","@TBtalks")</f>
        <v>@TBtalks</v>
      </c>
      <c r="C1133" s="1" t="s">
        <v>355</v>
      </c>
      <c r="D1133" s="1" t="s">
        <v>5475</v>
      </c>
      <c r="E1133" s="12" t="str">
        <f>HYPERLINK("https://twitter.com/TBtalks/status/1217779032458219520","1217779032458219520")</f>
        <v>1217779032458219520</v>
      </c>
      <c r="F1133" s="13" t="s">
        <v>5476</v>
      </c>
      <c r="G1133" s="13" t="s">
        <v>5477</v>
      </c>
      <c r="H1133" s="14"/>
      <c r="I1133" s="15">
        <v>0.0</v>
      </c>
      <c r="J1133" s="15">
        <v>0.0</v>
      </c>
      <c r="K1133" s="12" t="str">
        <f>HYPERLINK("https://www.hootsuite.com","Hootsuite Inc.")</f>
        <v>Hootsuite Inc.</v>
      </c>
      <c r="L1133" s="16">
        <v>1190.0</v>
      </c>
      <c r="M1133" s="16">
        <v>566.0</v>
      </c>
      <c r="N1133" s="16">
        <v>25.0</v>
      </c>
      <c r="O1133" s="17"/>
      <c r="P1133" s="18">
        <v>41197.62918981482</v>
      </c>
      <c r="Q1133" s="1" t="s">
        <v>358</v>
      </c>
      <c r="R1133" s="1" t="s">
        <v>359</v>
      </c>
      <c r="S1133" s="13" t="s">
        <v>360</v>
      </c>
      <c r="T1133" s="14"/>
      <c r="U1133" s="19" t="str">
        <f>HYPERLINK("https://pbs.twimg.com/profile_images/1181990097610256384/DQu0ny3B.jpg","View")</f>
        <v>View</v>
      </c>
      <c r="V1133" s="14"/>
      <c r="W1133" s="14"/>
      <c r="X1133" s="14"/>
      <c r="Y1133" s="14"/>
      <c r="Z1133" s="14"/>
    </row>
    <row r="1134">
      <c r="A1134" s="11">
        <v>43846.29300925926</v>
      </c>
      <c r="B1134" s="12" t="str">
        <f>HYPERLINK("https://twitter.com/HayaatPk","@HayaatPk")</f>
        <v>@HayaatPk</v>
      </c>
      <c r="C1134" s="13" t="s">
        <v>5478</v>
      </c>
      <c r="D1134" s="1" t="s">
        <v>5479</v>
      </c>
      <c r="E1134" s="12" t="str">
        <f>HYPERLINK("https://twitter.com/HayaatPk/status/1217779011604172806","1217779011604172806")</f>
        <v>1217779011604172806</v>
      </c>
      <c r="F1134" s="13" t="s">
        <v>5480</v>
      </c>
      <c r="G1134" s="13" t="s">
        <v>5481</v>
      </c>
      <c r="H1134" s="14"/>
      <c r="I1134" s="15">
        <v>0.0</v>
      </c>
      <c r="J1134" s="15">
        <v>0.0</v>
      </c>
      <c r="K1134" s="12" t="str">
        <f>HYPERLINK("https://mobile.twitter.com","Twitter Web App")</f>
        <v>Twitter Web App</v>
      </c>
      <c r="L1134" s="16">
        <v>681.0</v>
      </c>
      <c r="M1134" s="16">
        <v>84.0</v>
      </c>
      <c r="N1134" s="16">
        <v>0.0</v>
      </c>
      <c r="O1134" s="17"/>
      <c r="P1134" s="18">
        <v>42902.49290509259</v>
      </c>
      <c r="Q1134" s="1" t="s">
        <v>5482</v>
      </c>
      <c r="R1134" s="1" t="s">
        <v>5483</v>
      </c>
      <c r="S1134" s="13" t="s">
        <v>5484</v>
      </c>
      <c r="T1134" s="14"/>
      <c r="U1134" s="19" t="str">
        <f>HYPERLINK("https://pbs.twimg.com/profile_images/1174233192938840066/PBCbntRH.jpg","View")</f>
        <v>View</v>
      </c>
      <c r="V1134" s="14"/>
      <c r="W1134" s="14"/>
      <c r="X1134" s="14"/>
      <c r="Y1134" s="14"/>
      <c r="Z1134" s="14"/>
    </row>
    <row r="1135">
      <c r="A1135" s="11">
        <v>43846.29282407407</v>
      </c>
      <c r="B1135" s="12" t="str">
        <f>HYPERLINK("https://twitter.com/endo_sport","@endo_sport")</f>
        <v>@endo_sport</v>
      </c>
      <c r="C1135" s="1" t="s">
        <v>5485</v>
      </c>
      <c r="D1135" s="1" t="s">
        <v>5486</v>
      </c>
      <c r="E1135" s="12" t="str">
        <f>HYPERLINK("https://twitter.com/endo_sport/status/1217778944411414528","1217778944411414528")</f>
        <v>1217778944411414528</v>
      </c>
      <c r="F1135" s="13" t="s">
        <v>5487</v>
      </c>
      <c r="G1135" s="13" t="s">
        <v>5488</v>
      </c>
      <c r="H1135" s="14"/>
      <c r="I1135" s="15">
        <v>0.0</v>
      </c>
      <c r="J1135" s="15">
        <v>2.0</v>
      </c>
      <c r="K1135" s="12" t="str">
        <f t="shared" ref="K1135:K1136" si="116">HYPERLINK("https://www.later.com","LaterMedia")</f>
        <v>LaterMedia</v>
      </c>
      <c r="L1135" s="16">
        <v>31.0</v>
      </c>
      <c r="M1135" s="16">
        <v>175.0</v>
      </c>
      <c r="N1135" s="16">
        <v>0.0</v>
      </c>
      <c r="O1135" s="17"/>
      <c r="P1135" s="18">
        <v>43500.30638888889</v>
      </c>
      <c r="Q1135" s="1" t="s">
        <v>5043</v>
      </c>
      <c r="R1135" s="1" t="s">
        <v>5489</v>
      </c>
      <c r="S1135" s="13" t="s">
        <v>5490</v>
      </c>
      <c r="T1135" s="14"/>
      <c r="U1135" s="19" t="str">
        <f>HYPERLINK("https://pbs.twimg.com/profile_images/1207054855707254785/Z5rAScgD.jpg","View")</f>
        <v>View</v>
      </c>
      <c r="V1135" s="14"/>
      <c r="W1135" s="14"/>
      <c r="X1135" s="14"/>
      <c r="Y1135" s="14"/>
      <c r="Z1135" s="14"/>
    </row>
    <row r="1136">
      <c r="A1136" s="11">
        <v>43846.29256944444</v>
      </c>
      <c r="B1136" s="12" t="str">
        <f>HYPERLINK("https://twitter.com/PsychicAccess","@PsychicAccess")</f>
        <v>@PsychicAccess</v>
      </c>
      <c r="C1136" s="1" t="s">
        <v>5491</v>
      </c>
      <c r="D1136" s="1" t="s">
        <v>5492</v>
      </c>
      <c r="E1136" s="12" t="str">
        <f>HYPERLINK("https://twitter.com/PsychicAccess/status/1217778853680222209","1217778853680222209")</f>
        <v>1217778853680222209</v>
      </c>
      <c r="F1136" s="13" t="s">
        <v>5493</v>
      </c>
      <c r="G1136" s="13" t="s">
        <v>5494</v>
      </c>
      <c r="H1136" s="14"/>
      <c r="I1136" s="15">
        <v>0.0</v>
      </c>
      <c r="J1136" s="15">
        <v>0.0</v>
      </c>
      <c r="K1136" s="12" t="str">
        <f t="shared" si="116"/>
        <v>LaterMedia</v>
      </c>
      <c r="L1136" s="16">
        <v>291.0</v>
      </c>
      <c r="M1136" s="16">
        <v>1.0</v>
      </c>
      <c r="N1136" s="16">
        <v>4.0</v>
      </c>
      <c r="O1136" s="17"/>
      <c r="P1136" s="18">
        <v>40003.27824074074</v>
      </c>
      <c r="Q1136" s="1" t="s">
        <v>568</v>
      </c>
      <c r="R1136" s="1" t="s">
        <v>5495</v>
      </c>
      <c r="S1136" s="13" t="s">
        <v>5496</v>
      </c>
      <c r="T1136" s="14"/>
      <c r="U1136" s="19" t="str">
        <f>HYPERLINK("https://pbs.twimg.com/profile_images/953616343361712128/i9L1e842.jpg","View")</f>
        <v>View</v>
      </c>
      <c r="V1136" s="14"/>
      <c r="W1136" s="14"/>
      <c r="X1136" s="14"/>
      <c r="Y1136" s="14"/>
      <c r="Z1136" s="14"/>
    </row>
    <row r="1137">
      <c r="A1137" s="11">
        <v>43846.29200231482</v>
      </c>
      <c r="B1137" s="12" t="str">
        <f>HYPERLINK("https://twitter.com/J_Ferraro_LCSW","@J_Ferraro_LCSW")</f>
        <v>@J_Ferraro_LCSW</v>
      </c>
      <c r="C1137" s="1" t="s">
        <v>4277</v>
      </c>
      <c r="D1137" s="1" t="s">
        <v>4278</v>
      </c>
      <c r="E1137" s="12" t="str">
        <f>HYPERLINK("https://twitter.com/J_Ferraro_LCSW/status/1217778646137692161","1217778646137692161")</f>
        <v>1217778646137692161</v>
      </c>
      <c r="F1137" s="13" t="s">
        <v>4279</v>
      </c>
      <c r="G1137" s="13" t="s">
        <v>5497</v>
      </c>
      <c r="H1137" s="14"/>
      <c r="I1137" s="15">
        <v>0.0</v>
      </c>
      <c r="J1137" s="15">
        <v>1.0</v>
      </c>
      <c r="K1137" s="12" t="str">
        <f>HYPERLINK("https://buffer.com","Buffer")</f>
        <v>Buffer</v>
      </c>
      <c r="L1137" s="16">
        <v>1294.0</v>
      </c>
      <c r="M1137" s="16">
        <v>966.0</v>
      </c>
      <c r="N1137" s="16">
        <v>247.0</v>
      </c>
      <c r="O1137" s="17"/>
      <c r="P1137" s="18">
        <v>39981.01886574074</v>
      </c>
      <c r="Q1137" s="1" t="s">
        <v>4281</v>
      </c>
      <c r="R1137" s="1" t="s">
        <v>4282</v>
      </c>
      <c r="S1137" s="13" t="s">
        <v>4283</v>
      </c>
      <c r="T1137" s="14"/>
      <c r="U1137" s="19" t="str">
        <f>HYPERLINK("https://pbs.twimg.com/profile_images/1036006434184605698/0tiizpmO.jpg","View")</f>
        <v>View</v>
      </c>
      <c r="V1137" s="14"/>
      <c r="W1137" s="14"/>
      <c r="X1137" s="14"/>
      <c r="Y1137" s="14"/>
      <c r="Z1137" s="14"/>
    </row>
    <row r="1138">
      <c r="A1138" s="11">
        <v>43846.29184027778</v>
      </c>
      <c r="B1138" s="12" t="str">
        <f>HYPERLINK("https://twitter.com/Thabacus","@Thabacus")</f>
        <v>@Thabacus</v>
      </c>
      <c r="C1138" s="1" t="s">
        <v>5498</v>
      </c>
      <c r="D1138" s="1" t="s">
        <v>5499</v>
      </c>
      <c r="E1138" s="12" t="str">
        <f>HYPERLINK("https://twitter.com/Thabacus/status/1217778587694174209","1217778587694174209")</f>
        <v>1217778587694174209</v>
      </c>
      <c r="F1138" s="13" t="s">
        <v>5500</v>
      </c>
      <c r="G1138" s="14"/>
      <c r="H1138" s="14"/>
      <c r="I1138" s="15">
        <v>0.0</v>
      </c>
      <c r="J1138" s="15">
        <v>0.0</v>
      </c>
      <c r="K1138" s="12" t="str">
        <f>HYPERLINK("https://www.socialchamp.io","SocialChamp IO ")</f>
        <v>SocialChamp IO </v>
      </c>
      <c r="L1138" s="16">
        <v>910.0</v>
      </c>
      <c r="M1138" s="16">
        <v>869.0</v>
      </c>
      <c r="N1138" s="16">
        <v>48.0</v>
      </c>
      <c r="O1138" s="17"/>
      <c r="P1138" s="18">
        <v>39964.593206018515</v>
      </c>
      <c r="Q1138" s="1" t="s">
        <v>5501</v>
      </c>
      <c r="R1138" s="1" t="s">
        <v>5502</v>
      </c>
      <c r="S1138" s="13" t="s">
        <v>5503</v>
      </c>
      <c r="T1138" s="14"/>
      <c r="U1138" s="19" t="str">
        <f>HYPERLINK("https://pbs.twimg.com/profile_images/792090394074963970/eUuDsN4X.jpg","View")</f>
        <v>View</v>
      </c>
      <c r="V1138" s="14"/>
      <c r="W1138" s="14"/>
      <c r="X1138" s="14"/>
      <c r="Y1138" s="14"/>
      <c r="Z1138" s="14"/>
    </row>
    <row r="1139">
      <c r="A1139" s="11">
        <v>43846.29166666667</v>
      </c>
      <c r="B1139" s="12" t="str">
        <f>HYPERLINK("https://twitter.com/thismatters_uk","@thismatters_uk")</f>
        <v>@thismatters_uk</v>
      </c>
      <c r="C1139" s="1" t="s">
        <v>5504</v>
      </c>
      <c r="D1139" s="1" t="s">
        <v>5505</v>
      </c>
      <c r="E1139" s="12" t="str">
        <f>HYPERLINK("https://twitter.com/thismatters_uk/status/1217778527610687488","1217778527610687488")</f>
        <v>1217778527610687488</v>
      </c>
      <c r="F1139" s="14"/>
      <c r="G1139" s="13" t="s">
        <v>5506</v>
      </c>
      <c r="H1139" s="14"/>
      <c r="I1139" s="15">
        <v>0.0</v>
      </c>
      <c r="J1139" s="15">
        <v>1.0</v>
      </c>
      <c r="K1139" s="12" t="str">
        <f>HYPERLINK("https://about.twitter.com/products/tweetdeck","TweetDeck")</f>
        <v>TweetDeck</v>
      </c>
      <c r="L1139" s="16">
        <v>139.0</v>
      </c>
      <c r="M1139" s="16">
        <v>126.0</v>
      </c>
      <c r="N1139" s="16">
        <v>0.0</v>
      </c>
      <c r="O1139" s="17"/>
      <c r="P1139" s="18">
        <v>43640.28979166667</v>
      </c>
      <c r="Q1139" s="1" t="s">
        <v>263</v>
      </c>
      <c r="R1139" s="1" t="s">
        <v>5507</v>
      </c>
      <c r="S1139" s="13" t="s">
        <v>5508</v>
      </c>
      <c r="T1139" s="14"/>
      <c r="U1139" s="19" t="str">
        <f>HYPERLINK("https://pbs.twimg.com/profile_images/1146702602350080001/bDAg6oHq.jpg","View")</f>
        <v>View</v>
      </c>
      <c r="V1139" s="14"/>
      <c r="W1139" s="14"/>
      <c r="X1139" s="14"/>
      <c r="Y1139" s="14"/>
      <c r="Z1139" s="14"/>
    </row>
    <row r="1140">
      <c r="A1140" s="11">
        <v>43846.29166666667</v>
      </c>
      <c r="B1140" s="12" t="str">
        <f>HYPERLINK("https://twitter.com/SME__News","@SME__News")</f>
        <v>@SME__News</v>
      </c>
      <c r="C1140" s="1" t="s">
        <v>5509</v>
      </c>
      <c r="D1140" s="1" t="s">
        <v>5510</v>
      </c>
      <c r="E1140" s="12" t="str">
        <f>HYPERLINK("https://twitter.com/SME__News/status/1217778527195541504","1217778527195541504")</f>
        <v>1217778527195541504</v>
      </c>
      <c r="F1140" s="13" t="s">
        <v>5511</v>
      </c>
      <c r="G1140" s="14"/>
      <c r="H1140" s="14"/>
      <c r="I1140" s="15">
        <v>2.0</v>
      </c>
      <c r="J1140" s="15">
        <v>0.0</v>
      </c>
      <c r="K1140" s="12" t="str">
        <f>HYPERLINK("https://social.zoho.com","Zoho Social")</f>
        <v>Zoho Social</v>
      </c>
      <c r="L1140" s="16">
        <v>947.0</v>
      </c>
      <c r="M1140" s="16">
        <v>264.0</v>
      </c>
      <c r="N1140" s="16">
        <v>7.0</v>
      </c>
      <c r="O1140" s="17"/>
      <c r="P1140" s="18">
        <v>42900.28184027778</v>
      </c>
      <c r="Q1140" s="14"/>
      <c r="R1140" s="1" t="s">
        <v>5512</v>
      </c>
      <c r="S1140" s="13" t="s">
        <v>5513</v>
      </c>
      <c r="T1140" s="14"/>
      <c r="U1140" s="19" t="str">
        <f>HYPERLINK("https://pbs.twimg.com/profile_images/1139093005586112512/1FoTf3dq.png","View")</f>
        <v>View</v>
      </c>
      <c r="V1140" s="14"/>
      <c r="W1140" s="14"/>
      <c r="X1140" s="14"/>
      <c r="Y1140" s="14"/>
      <c r="Z1140" s="14"/>
    </row>
    <row r="1141">
      <c r="A1141" s="11">
        <v>43846.291180555556</v>
      </c>
      <c r="B1141" s="12" t="str">
        <f>HYPERLINK("https://twitter.com/ChitraEndocrine","@ChitraEndocrine")</f>
        <v>@ChitraEndocrine</v>
      </c>
      <c r="C1141" s="1" t="s">
        <v>5514</v>
      </c>
      <c r="D1141" s="1" t="s">
        <v>5515</v>
      </c>
      <c r="E1141" s="12" t="str">
        <f>HYPERLINK("https://twitter.com/ChitraEndocrine/status/1217778349726060544","1217778349726060544")</f>
        <v>1217778349726060544</v>
      </c>
      <c r="F1141" s="14"/>
      <c r="G1141" s="14"/>
      <c r="H1141" s="14"/>
      <c r="I1141" s="15">
        <v>2.0</v>
      </c>
      <c r="J1141" s="15">
        <v>21.0</v>
      </c>
      <c r="K1141" s="12" t="str">
        <f>HYPERLINK("http://twitter.com/download/iphone","Twitter for iPhone")</f>
        <v>Twitter for iPhone</v>
      </c>
      <c r="L1141" s="16">
        <v>1226.0</v>
      </c>
      <c r="M1141" s="16">
        <v>744.0</v>
      </c>
      <c r="N1141" s="16">
        <v>9.0</v>
      </c>
      <c r="O1141" s="17"/>
      <c r="P1141" s="18">
        <v>42515.09982638889</v>
      </c>
      <c r="Q1141" s="1" t="s">
        <v>72</v>
      </c>
      <c r="R1141" s="1" t="s">
        <v>5516</v>
      </c>
      <c r="S1141" s="14"/>
      <c r="T1141" s="14"/>
      <c r="U1141" s="19" t="str">
        <f>HYPERLINK("https://pbs.twimg.com/profile_images/842425815505768448/EECMfDAP.jpg","View")</f>
        <v>View</v>
      </c>
      <c r="V1141" s="14"/>
      <c r="W1141" s="14"/>
      <c r="X1141" s="14"/>
      <c r="Y1141" s="14"/>
      <c r="Z1141" s="14"/>
    </row>
    <row r="1142">
      <c r="A1142" s="11">
        <v>43846.29094907407</v>
      </c>
      <c r="B1142" s="12" t="str">
        <f>HYPERLINK("https://twitter.com/SkinOnlineBlog","@SkinOnlineBlog")</f>
        <v>@SkinOnlineBlog</v>
      </c>
      <c r="C1142" s="1" t="s">
        <v>1071</v>
      </c>
      <c r="D1142" s="1" t="s">
        <v>5517</v>
      </c>
      <c r="E1142" s="12" t="str">
        <f>HYPERLINK("https://twitter.com/SkinOnlineBlog/status/1217778266938970112","1217778266938970112")</f>
        <v>1217778266938970112</v>
      </c>
      <c r="F1142" s="13" t="s">
        <v>5518</v>
      </c>
      <c r="G1142" s="13" t="s">
        <v>5519</v>
      </c>
      <c r="H1142" s="14"/>
      <c r="I1142" s="15">
        <v>1.0</v>
      </c>
      <c r="J1142" s="15">
        <v>2.0</v>
      </c>
      <c r="K1142" s="12" t="str">
        <f>HYPERLINK("https://www.hootsuite.com","Hootsuite Inc.")</f>
        <v>Hootsuite Inc.</v>
      </c>
      <c r="L1142" s="16">
        <v>642.0</v>
      </c>
      <c r="M1142" s="16">
        <v>1138.0</v>
      </c>
      <c r="N1142" s="16">
        <v>44.0</v>
      </c>
      <c r="O1142" s="17"/>
      <c r="P1142" s="18">
        <v>42317.25525462963</v>
      </c>
      <c r="Q1142" s="1" t="s">
        <v>1075</v>
      </c>
      <c r="R1142" s="1" t="s">
        <v>1076</v>
      </c>
      <c r="S1142" s="13" t="s">
        <v>1077</v>
      </c>
      <c r="T1142" s="14"/>
      <c r="U1142" s="19" t="str">
        <f>HYPERLINK("https://pbs.twimg.com/profile_images/663675213423452160/jRtLoza-.png","View")</f>
        <v>View</v>
      </c>
      <c r="V1142" s="14"/>
      <c r="W1142" s="14"/>
      <c r="X1142" s="14"/>
      <c r="Y1142" s="14"/>
      <c r="Z1142" s="14"/>
    </row>
    <row r="1143">
      <c r="A1143" s="11">
        <v>43846.28833333333</v>
      </c>
      <c r="B1143" s="12" t="str">
        <f>HYPERLINK("https://twitter.com/HeadtorchHQ","@HeadtorchHQ")</f>
        <v>@HeadtorchHQ</v>
      </c>
      <c r="C1143" s="1" t="s">
        <v>5520</v>
      </c>
      <c r="D1143" s="1" t="s">
        <v>5521</v>
      </c>
      <c r="E1143" s="12" t="str">
        <f>HYPERLINK("https://twitter.com/HeadtorchHQ/status/1217777316232941569","1217777316232941569")</f>
        <v>1217777316232941569</v>
      </c>
      <c r="F1143" s="13" t="s">
        <v>5522</v>
      </c>
      <c r="G1143" s="13" t="s">
        <v>5523</v>
      </c>
      <c r="H1143" s="14"/>
      <c r="I1143" s="15">
        <v>1.0</v>
      </c>
      <c r="J1143" s="15">
        <v>2.0</v>
      </c>
      <c r="K1143" s="12" t="str">
        <f>HYPERLINK("http://twitter.com/#!/download/ipad","Twitter for iPad")</f>
        <v>Twitter for iPad</v>
      </c>
      <c r="L1143" s="16">
        <v>233.0</v>
      </c>
      <c r="M1143" s="16">
        <v>327.0</v>
      </c>
      <c r="N1143" s="16">
        <v>2.0</v>
      </c>
      <c r="O1143" s="17"/>
      <c r="P1143" s="18">
        <v>42653.173043981486</v>
      </c>
      <c r="Q1143" s="1" t="s">
        <v>263</v>
      </c>
      <c r="R1143" s="1" t="s">
        <v>5524</v>
      </c>
      <c r="S1143" s="13" t="s">
        <v>5525</v>
      </c>
      <c r="T1143" s="14"/>
      <c r="U1143" s="19" t="str">
        <f>HYPERLINK("https://pbs.twimg.com/profile_images/994878663425511424/MV0V03so.jpg","View")</f>
        <v>View</v>
      </c>
      <c r="V1143" s="14"/>
      <c r="W1143" s="14"/>
      <c r="X1143" s="14"/>
      <c r="Y1143" s="14"/>
      <c r="Z1143" s="14"/>
    </row>
    <row r="1144">
      <c r="A1144" s="11">
        <v>43846.28337962963</v>
      </c>
      <c r="B1144" s="12" t="str">
        <f>HYPERLINK("https://twitter.com/ScottEbruh","@ScottEbruh")</f>
        <v>@ScottEbruh</v>
      </c>
      <c r="C1144" s="1" t="s">
        <v>5526</v>
      </c>
      <c r="D1144" s="1" t="s">
        <v>5527</v>
      </c>
      <c r="E1144" s="12" t="str">
        <f>HYPERLINK("https://twitter.com/ScottEbruh/status/1217775524887568384","1217775524887568384")</f>
        <v>1217775524887568384</v>
      </c>
      <c r="F1144" s="14"/>
      <c r="G1144" s="14"/>
      <c r="H1144" s="14"/>
      <c r="I1144" s="15">
        <v>0.0</v>
      </c>
      <c r="J1144" s="15">
        <v>0.0</v>
      </c>
      <c r="K1144" s="12" t="str">
        <f t="shared" ref="K1144:K1145" si="117">HYPERLINK("http://twitter.com/download/android","Twitter for Android")</f>
        <v>Twitter for Android</v>
      </c>
      <c r="L1144" s="16">
        <v>4.0</v>
      </c>
      <c r="M1144" s="16">
        <v>24.0</v>
      </c>
      <c r="N1144" s="16">
        <v>0.0</v>
      </c>
      <c r="O1144" s="17"/>
      <c r="P1144" s="18">
        <v>43738.98501157407</v>
      </c>
      <c r="Q1144" s="14"/>
      <c r="R1144" s="1" t="s">
        <v>5528</v>
      </c>
      <c r="S1144" s="13" t="s">
        <v>5529</v>
      </c>
      <c r="T1144" s="14"/>
      <c r="U1144" s="19" t="str">
        <f>HYPERLINK("https://pbs.twimg.com/profile_images/1178876885780041729/Ih453Zfp.jpg","View")</f>
        <v>View</v>
      </c>
      <c r="V1144" s="14"/>
      <c r="W1144" s="14"/>
      <c r="X1144" s="14"/>
      <c r="Y1144" s="14"/>
      <c r="Z1144" s="14"/>
    </row>
    <row r="1145">
      <c r="A1145" s="11">
        <v>43846.28325231481</v>
      </c>
      <c r="B1145" s="12" t="str">
        <f>HYPERLINK("https://twitter.com/BohacekLab","@BohacekLab")</f>
        <v>@BohacekLab</v>
      </c>
      <c r="C1145" s="1" t="s">
        <v>5530</v>
      </c>
      <c r="D1145" s="1" t="s">
        <v>5531</v>
      </c>
      <c r="E1145" s="12" t="str">
        <f>HYPERLINK("https://twitter.com/BohacekLab/status/1217775478750285825","1217775478750285825")</f>
        <v>1217775478750285825</v>
      </c>
      <c r="F1145" s="13" t="s">
        <v>5532</v>
      </c>
      <c r="G1145" s="14"/>
      <c r="H1145" s="14"/>
      <c r="I1145" s="15">
        <v>0.0</v>
      </c>
      <c r="J1145" s="15">
        <v>31.0</v>
      </c>
      <c r="K1145" s="12" t="str">
        <f t="shared" si="117"/>
        <v>Twitter for Android</v>
      </c>
      <c r="L1145" s="16">
        <v>829.0</v>
      </c>
      <c r="M1145" s="16">
        <v>390.0</v>
      </c>
      <c r="N1145" s="16">
        <v>10.0</v>
      </c>
      <c r="O1145" s="17"/>
      <c r="P1145" s="18">
        <v>42884.63486111111</v>
      </c>
      <c r="Q1145" s="1" t="s">
        <v>5533</v>
      </c>
      <c r="R1145" s="1" t="s">
        <v>5534</v>
      </c>
      <c r="S1145" s="13" t="s">
        <v>5535</v>
      </c>
      <c r="T1145" s="14"/>
      <c r="U1145" s="19" t="str">
        <f>HYPERLINK("https://pbs.twimg.com/profile_images/1176383600767512576/oKfUbUIx.jpg","View")</f>
        <v>View</v>
      </c>
      <c r="V1145" s="14"/>
      <c r="W1145" s="14"/>
      <c r="X1145" s="14"/>
      <c r="Y1145" s="14"/>
      <c r="Z1145" s="14"/>
    </row>
    <row r="1146">
      <c r="A1146" s="11">
        <v>43846.28234953704</v>
      </c>
      <c r="B1146" s="12" t="str">
        <f>HYPERLINK("https://twitter.com/manojpandey66","@manojpandey66")</f>
        <v>@manojpandey66</v>
      </c>
      <c r="C1146" s="1" t="s">
        <v>1163</v>
      </c>
      <c r="D1146" s="1" t="s">
        <v>5536</v>
      </c>
      <c r="E1146" s="12" t="str">
        <f>HYPERLINK("https://twitter.com/manojpandey66/status/1217775148155068416","1217775148155068416")</f>
        <v>1217775148155068416</v>
      </c>
      <c r="F1146" s="14"/>
      <c r="G1146" s="13" t="s">
        <v>5537</v>
      </c>
      <c r="H1146" s="14"/>
      <c r="I1146" s="15">
        <v>0.0</v>
      </c>
      <c r="J1146" s="15">
        <v>0.0</v>
      </c>
      <c r="K1146" s="12" t="str">
        <f>HYPERLINK("https://mobile.twitter.com","Twitter Web App")</f>
        <v>Twitter Web App</v>
      </c>
      <c r="L1146" s="16">
        <v>1372.0</v>
      </c>
      <c r="M1146" s="16">
        <v>555.0</v>
      </c>
      <c r="N1146" s="16">
        <v>7.0</v>
      </c>
      <c r="O1146" s="17"/>
      <c r="P1146" s="18">
        <v>40746.0390625</v>
      </c>
      <c r="Q1146" s="1" t="s">
        <v>1166</v>
      </c>
      <c r="R1146" s="1" t="s">
        <v>1167</v>
      </c>
      <c r="S1146" s="13" t="s">
        <v>1168</v>
      </c>
      <c r="T1146" s="14"/>
      <c r="U1146" s="19" t="str">
        <f>HYPERLINK("https://pbs.twimg.com/profile_images/1134750107302125569/VwLz3fkd.png","View")</f>
        <v>View</v>
      </c>
      <c r="V1146" s="14"/>
      <c r="W1146" s="14"/>
      <c r="X1146" s="14"/>
      <c r="Y1146" s="14"/>
      <c r="Z1146" s="14"/>
    </row>
    <row r="1147">
      <c r="A1147" s="11">
        <v>43846.28097222222</v>
      </c>
      <c r="B1147" s="12" t="str">
        <f>HYPERLINK("https://twitter.com/DrZofia","@DrZofia")</f>
        <v>@DrZofia</v>
      </c>
      <c r="C1147" s="1" t="s">
        <v>5538</v>
      </c>
      <c r="D1147" s="1" t="s">
        <v>5539</v>
      </c>
      <c r="E1147" s="12" t="str">
        <f>HYPERLINK("https://twitter.com/DrZofia/status/1217774650257739776","1217774650257739776")</f>
        <v>1217774650257739776</v>
      </c>
      <c r="F1147" s="14"/>
      <c r="G1147" s="14"/>
      <c r="H1147" s="14"/>
      <c r="I1147" s="15">
        <v>0.0</v>
      </c>
      <c r="J1147" s="15">
        <v>0.0</v>
      </c>
      <c r="K1147" s="12" t="str">
        <f>HYPERLINK("http://twitter.com/download/android","Twitter for Android")</f>
        <v>Twitter for Android</v>
      </c>
      <c r="L1147" s="16">
        <v>609.0</v>
      </c>
      <c r="M1147" s="16">
        <v>316.0</v>
      </c>
      <c r="N1147" s="16">
        <v>80.0</v>
      </c>
      <c r="O1147" s="17"/>
      <c r="P1147" s="18">
        <v>41414.58565972222</v>
      </c>
      <c r="Q1147" s="14"/>
      <c r="R1147" s="1" t="s">
        <v>5540</v>
      </c>
      <c r="S1147" s="14"/>
      <c r="T1147" s="14"/>
      <c r="U1147" s="19" t="str">
        <f>HYPERLINK("https://pbs.twimg.com/profile_images/910838024908492800/DmVWYcO_.jpg","View")</f>
        <v>View</v>
      </c>
      <c r="V1147" s="14"/>
      <c r="W1147" s="14"/>
      <c r="X1147" s="14"/>
      <c r="Y1147" s="14"/>
      <c r="Z1147" s="14"/>
    </row>
    <row r="1148">
      <c r="A1148" s="11">
        <v>43846.27209490741</v>
      </c>
      <c r="B1148" s="12" t="str">
        <f>HYPERLINK("https://twitter.com/nmamilife","@nmamilife")</f>
        <v>@nmamilife</v>
      </c>
      <c r="C1148" s="1" t="s">
        <v>5541</v>
      </c>
      <c r="D1148" s="1" t="s">
        <v>5542</v>
      </c>
      <c r="E1148" s="12" t="str">
        <f>HYPERLINK("https://twitter.com/nmamilife/status/1217771433796878336","1217771433796878336")</f>
        <v>1217771433796878336</v>
      </c>
      <c r="F1148" s="13" t="s">
        <v>5543</v>
      </c>
      <c r="G1148" s="14"/>
      <c r="H1148" s="14"/>
      <c r="I1148" s="15">
        <v>3.0</v>
      </c>
      <c r="J1148" s="15">
        <v>10.0</v>
      </c>
      <c r="K1148" s="12" t="str">
        <f>HYPERLINK("https://mobile.twitter.com","Twitter Web App")</f>
        <v>Twitter Web App</v>
      </c>
      <c r="L1148" s="16">
        <v>9214.0</v>
      </c>
      <c r="M1148" s="16">
        <v>40.0</v>
      </c>
      <c r="N1148" s="16">
        <v>19.0</v>
      </c>
      <c r="O1148" s="17"/>
      <c r="P1148" s="18">
        <v>40352.54137731482</v>
      </c>
      <c r="Q1148" s="1" t="s">
        <v>1472</v>
      </c>
      <c r="R1148" s="1" t="s">
        <v>5544</v>
      </c>
      <c r="S1148" s="13" t="s">
        <v>5545</v>
      </c>
      <c r="T1148" s="14"/>
      <c r="U1148" s="19" t="str">
        <f>HYPERLINK("https://pbs.twimg.com/profile_images/793484674400083968/PodDyUjM.jpg","View")</f>
        <v>View</v>
      </c>
      <c r="V1148" s="14"/>
      <c r="W1148" s="14"/>
      <c r="X1148" s="14"/>
      <c r="Y1148" s="14"/>
      <c r="Z1148" s="14"/>
    </row>
    <row r="1149">
      <c r="A1149" s="11">
        <v>43846.27148148148</v>
      </c>
      <c r="B1149" s="12" t="str">
        <f>HYPERLINK("https://twitter.com/elpaso024","@elpaso024")</f>
        <v>@elpaso024</v>
      </c>
      <c r="C1149" s="1" t="s">
        <v>5546</v>
      </c>
      <c r="D1149" s="1" t="s">
        <v>5547</v>
      </c>
      <c r="E1149" s="12" t="str">
        <f>HYPERLINK("https://twitter.com/elpaso024/status/1217771210878201856","1217771210878201856")</f>
        <v>1217771210878201856</v>
      </c>
      <c r="F1149" s="14"/>
      <c r="G1149" s="13" t="s">
        <v>5548</v>
      </c>
      <c r="H1149" s="14"/>
      <c r="I1149" s="15">
        <v>0.0</v>
      </c>
      <c r="J1149" s="15">
        <v>3.0</v>
      </c>
      <c r="K1149" s="12" t="str">
        <f>HYPERLINK("http://twitter.com/download/iphone","Twitter for iPhone")</f>
        <v>Twitter for iPhone</v>
      </c>
      <c r="L1149" s="16">
        <v>11.0</v>
      </c>
      <c r="M1149" s="16">
        <v>169.0</v>
      </c>
      <c r="N1149" s="16">
        <v>0.0</v>
      </c>
      <c r="O1149" s="17"/>
      <c r="P1149" s="18">
        <v>43832.27604166667</v>
      </c>
      <c r="Q1149" s="1" t="s">
        <v>263</v>
      </c>
      <c r="R1149" s="1" t="s">
        <v>5549</v>
      </c>
      <c r="S1149" s="14"/>
      <c r="T1149" s="14"/>
      <c r="U1149" s="19" t="str">
        <f>HYPERLINK("https://pbs.twimg.com/profile_images/1212891246601080834/VXQW0xxz.jpg","View")</f>
        <v>View</v>
      </c>
      <c r="V1149" s="14"/>
      <c r="W1149" s="14"/>
      <c r="X1149" s="14"/>
      <c r="Y1149" s="14"/>
      <c r="Z1149" s="14"/>
    </row>
    <row r="1150">
      <c r="A1150" s="11">
        <v>43846.27140046297</v>
      </c>
      <c r="B1150" s="12" t="str">
        <f>HYPERLINK("https://twitter.com/DrTreyvaud","@DrTreyvaud")</f>
        <v>@DrTreyvaud</v>
      </c>
      <c r="C1150" s="1" t="s">
        <v>5550</v>
      </c>
      <c r="D1150" s="1" t="s">
        <v>5551</v>
      </c>
      <c r="E1150" s="12" t="str">
        <f>HYPERLINK("https://twitter.com/DrTreyvaud/status/1217771182730153985","1217771182730153985")</f>
        <v>1217771182730153985</v>
      </c>
      <c r="F1150" s="13" t="s">
        <v>5552</v>
      </c>
      <c r="G1150" s="13" t="s">
        <v>5553</v>
      </c>
      <c r="H1150" s="14"/>
      <c r="I1150" s="15">
        <v>1.0</v>
      </c>
      <c r="J1150" s="15">
        <v>1.0</v>
      </c>
      <c r="K1150" s="12" t="str">
        <f>HYPERLINK("http://www.constantcontact.com","Constant Contact")</f>
        <v>Constant Contact</v>
      </c>
      <c r="L1150" s="16">
        <v>200.0</v>
      </c>
      <c r="M1150" s="16">
        <v>105.0</v>
      </c>
      <c r="N1150" s="16">
        <v>9.0</v>
      </c>
      <c r="O1150" s="17"/>
      <c r="P1150" s="18">
        <v>40894.940625</v>
      </c>
      <c r="Q1150" s="1" t="s">
        <v>5554</v>
      </c>
      <c r="R1150" s="14"/>
      <c r="S1150" s="13" t="s">
        <v>5555</v>
      </c>
      <c r="T1150" s="14"/>
      <c r="U1150" s="19" t="str">
        <f>HYPERLINK("https://pbs.twimg.com/profile_images/518382331824840706/Nh8zU9gY.jpeg","View")</f>
        <v>View</v>
      </c>
      <c r="V1150" s="14"/>
      <c r="W1150" s="14"/>
      <c r="X1150" s="14"/>
      <c r="Y1150" s="14"/>
      <c r="Z1150" s="14"/>
    </row>
    <row r="1151">
      <c r="A1151" s="11">
        <v>43846.269537037035</v>
      </c>
      <c r="B1151" s="12" t="str">
        <f>HYPERLINK("https://twitter.com/MummyFever","@MummyFever")</f>
        <v>@MummyFever</v>
      </c>
      <c r="C1151" s="1" t="s">
        <v>1242</v>
      </c>
      <c r="D1151" s="1" t="s">
        <v>1243</v>
      </c>
      <c r="E1151" s="12" t="str">
        <f>HYPERLINK("https://twitter.com/MummyFever/status/1217770506637709312","1217770506637709312")</f>
        <v>1217770506637709312</v>
      </c>
      <c r="F1151" s="13" t="s">
        <v>1244</v>
      </c>
      <c r="G1151" s="13" t="s">
        <v>5556</v>
      </c>
      <c r="H1151" s="14"/>
      <c r="I1151" s="15">
        <v>0.0</v>
      </c>
      <c r="J1151" s="15">
        <v>0.0</v>
      </c>
      <c r="K1151" s="12" t="str">
        <f>HYPERLINK("https://www.socialoomph.com","SocialOomph")</f>
        <v>SocialOomph</v>
      </c>
      <c r="L1151" s="16">
        <v>14129.0</v>
      </c>
      <c r="M1151" s="16">
        <v>9218.0</v>
      </c>
      <c r="N1151" s="16">
        <v>891.0</v>
      </c>
      <c r="O1151" s="17"/>
      <c r="P1151" s="18">
        <v>40742.228854166664</v>
      </c>
      <c r="Q1151" s="1" t="s">
        <v>1246</v>
      </c>
      <c r="R1151" s="1" t="s">
        <v>1247</v>
      </c>
      <c r="S1151" s="13" t="s">
        <v>1248</v>
      </c>
      <c r="T1151" s="14"/>
      <c r="U1151" s="19" t="str">
        <f>HYPERLINK("https://pbs.twimg.com/profile_images/672422566083084288/i27uCbEE.jpg","View")</f>
        <v>View</v>
      </c>
      <c r="V1151" s="14"/>
      <c r="W1151" s="14"/>
      <c r="X1151" s="14"/>
      <c r="Y1151" s="14"/>
      <c r="Z1151" s="14"/>
    </row>
    <row r="1152">
      <c r="A1152" s="11">
        <v>43846.26945601852</v>
      </c>
      <c r="B1152" s="12" t="str">
        <f>HYPERLINK("https://twitter.com/MccabeTherapy","@MccabeTherapy")</f>
        <v>@MccabeTherapy</v>
      </c>
      <c r="C1152" s="1" t="s">
        <v>5557</v>
      </c>
      <c r="D1152" s="1" t="s">
        <v>5558</v>
      </c>
      <c r="E1152" s="12" t="str">
        <f>HYPERLINK("https://twitter.com/MccabeTherapy/status/1217770475369246720","1217770475369246720")</f>
        <v>1217770475369246720</v>
      </c>
      <c r="F1152" s="13" t="s">
        <v>5559</v>
      </c>
      <c r="G1152" s="14"/>
      <c r="H1152" s="14"/>
      <c r="I1152" s="15">
        <v>0.0</v>
      </c>
      <c r="J1152" s="15">
        <v>1.0</v>
      </c>
      <c r="K1152" s="12" t="str">
        <f>HYPERLINK("https://www.contentcal.io","ContentCal Studio")</f>
        <v>ContentCal Studio</v>
      </c>
      <c r="L1152" s="16">
        <v>30.0</v>
      </c>
      <c r="M1152" s="16">
        <v>199.0</v>
      </c>
      <c r="N1152" s="16">
        <v>0.0</v>
      </c>
      <c r="O1152" s="17"/>
      <c r="P1152" s="18">
        <v>43704.4755787037</v>
      </c>
      <c r="Q1152" s="1" t="s">
        <v>5560</v>
      </c>
      <c r="R1152" s="1" t="s">
        <v>5561</v>
      </c>
      <c r="S1152" s="13" t="s">
        <v>5562</v>
      </c>
      <c r="T1152" s="14"/>
      <c r="U1152" s="19" t="str">
        <f>HYPERLINK("https://pbs.twimg.com/profile_images/1170012173407592448/1vAT27wD.jpg","View")</f>
        <v>View</v>
      </c>
      <c r="V1152" s="14"/>
      <c r="W1152" s="14"/>
      <c r="X1152" s="14"/>
      <c r="Y1152" s="14"/>
      <c r="Z1152" s="14"/>
    </row>
    <row r="1153">
      <c r="A1153" s="11">
        <v>43846.26777777778</v>
      </c>
      <c r="B1153" s="12" t="str">
        <f>HYPERLINK("https://twitter.com/renascencemusic","@renascencemusic")</f>
        <v>@renascencemusic</v>
      </c>
      <c r="C1153" s="1" t="s">
        <v>247</v>
      </c>
      <c r="D1153" s="1" t="s">
        <v>774</v>
      </c>
      <c r="E1153" s="12" t="str">
        <f>HYPERLINK("https://twitter.com/renascencemusic/status/1217769868709302272","1217769868709302272")</f>
        <v>1217769868709302272</v>
      </c>
      <c r="F1153" s="13" t="s">
        <v>775</v>
      </c>
      <c r="G1153" s="13" t="s">
        <v>5563</v>
      </c>
      <c r="H1153" s="14"/>
      <c r="I1153" s="15">
        <v>1.0</v>
      </c>
      <c r="J1153" s="15">
        <v>1.0</v>
      </c>
      <c r="K1153" s="12" t="str">
        <f>HYPERLINK("https://www.socialoomph.com","SocialOomph")</f>
        <v>SocialOomph</v>
      </c>
      <c r="L1153" s="16">
        <v>13031.0</v>
      </c>
      <c r="M1153" s="16">
        <v>11650.0</v>
      </c>
      <c r="N1153" s="16">
        <v>219.0</v>
      </c>
      <c r="O1153" s="17"/>
      <c r="P1153" s="18">
        <v>42470.67052083333</v>
      </c>
      <c r="Q1153" s="1" t="s">
        <v>251</v>
      </c>
      <c r="R1153" s="1" t="s">
        <v>252</v>
      </c>
      <c r="S1153" s="13" t="s">
        <v>253</v>
      </c>
      <c r="T1153" s="14"/>
      <c r="U1153" s="19" t="str">
        <f>HYPERLINK("https://pbs.twimg.com/profile_images/1123407512743612416/g721ra2J.png","View")</f>
        <v>View</v>
      </c>
      <c r="V1153" s="14"/>
      <c r="W1153" s="14"/>
      <c r="X1153" s="14"/>
      <c r="Y1153" s="14"/>
      <c r="Z1153" s="14"/>
    </row>
    <row r="1154">
      <c r="A1154" s="11">
        <v>43846.2638425926</v>
      </c>
      <c r="B1154" s="12" t="str">
        <f>HYPERLINK("https://twitter.com/SmBizAmerica","@SmBizAmerica")</f>
        <v>@SmBizAmerica</v>
      </c>
      <c r="C1154" s="1" t="s">
        <v>5564</v>
      </c>
      <c r="D1154" s="1" t="s">
        <v>5565</v>
      </c>
      <c r="E1154" s="12" t="str">
        <f>HYPERLINK("https://twitter.com/SmBizAmerica/status/1217768440871751680","1217768440871751680")</f>
        <v>1217768440871751680</v>
      </c>
      <c r="F1154" s="13" t="s">
        <v>5566</v>
      </c>
      <c r="G1154" s="14"/>
      <c r="H1154" s="14"/>
      <c r="I1154" s="15">
        <v>3.0</v>
      </c>
      <c r="J1154" s="15">
        <v>5.0</v>
      </c>
      <c r="K1154" s="12" t="str">
        <f>HYPERLINK("http://twitter.com","Twitter Web Client")</f>
        <v>Twitter Web Client</v>
      </c>
      <c r="L1154" s="16">
        <v>4455.0</v>
      </c>
      <c r="M1154" s="16">
        <v>4981.0</v>
      </c>
      <c r="N1154" s="16">
        <v>321.0</v>
      </c>
      <c r="O1154" s="17"/>
      <c r="P1154" s="18">
        <v>41202.43045138889</v>
      </c>
      <c r="Q1154" s="1" t="s">
        <v>1059</v>
      </c>
      <c r="R1154" s="1" t="s">
        <v>5567</v>
      </c>
      <c r="S1154" s="13" t="s">
        <v>5568</v>
      </c>
      <c r="T1154" s="14"/>
      <c r="U1154" s="19" t="str">
        <f>HYPERLINK("https://pbs.twimg.com/profile_images/1212738087522099203/wNO0vJ9V.jpg","View")</f>
        <v>View</v>
      </c>
      <c r="V1154" s="14"/>
      <c r="W1154" s="14"/>
      <c r="X1154" s="14"/>
      <c r="Y1154" s="14"/>
      <c r="Z1154" s="14"/>
    </row>
    <row r="1155">
      <c r="A1155" s="11">
        <v>43846.263136574074</v>
      </c>
      <c r="B1155" s="12" t="str">
        <f>HYPERLINK("https://twitter.com/zanosltd","@zanosltd")</f>
        <v>@zanosltd</v>
      </c>
      <c r="C1155" s="1" t="s">
        <v>5569</v>
      </c>
      <c r="D1155" s="1" t="s">
        <v>5570</v>
      </c>
      <c r="E1155" s="12" t="str">
        <f>HYPERLINK("https://twitter.com/zanosltd/status/1217768186071994368","1217768186071994368")</f>
        <v>1217768186071994368</v>
      </c>
      <c r="F1155" s="14"/>
      <c r="G1155" s="13" t="s">
        <v>5571</v>
      </c>
      <c r="H1155" s="14"/>
      <c r="I1155" s="15">
        <v>0.0</v>
      </c>
      <c r="J1155" s="15">
        <v>0.0</v>
      </c>
      <c r="K1155" s="12" t="str">
        <f>HYPERLINK("https://buffer.com","Buffer")</f>
        <v>Buffer</v>
      </c>
      <c r="L1155" s="16">
        <v>295.0</v>
      </c>
      <c r="M1155" s="16">
        <v>536.0</v>
      </c>
      <c r="N1155" s="16">
        <v>4.0</v>
      </c>
      <c r="O1155" s="17"/>
      <c r="P1155" s="18">
        <v>41960.25258101852</v>
      </c>
      <c r="Q1155" s="1" t="s">
        <v>5572</v>
      </c>
      <c r="R1155" s="1" t="s">
        <v>5573</v>
      </c>
      <c r="S1155" s="13" t="s">
        <v>5574</v>
      </c>
      <c r="T1155" s="14"/>
      <c r="U1155" s="19" t="str">
        <f>HYPERLINK("https://pbs.twimg.com/profile_images/534362708859031554/7d_Xe1qm.jpeg","View")</f>
        <v>View</v>
      </c>
      <c r="V1155" s="14"/>
      <c r="W1155" s="14"/>
      <c r="X1155" s="14"/>
      <c r="Y1155" s="14"/>
      <c r="Z1155" s="14"/>
    </row>
    <row r="1156">
      <c r="A1156" s="11">
        <v>43846.26199074074</v>
      </c>
      <c r="B1156" s="12" t="str">
        <f>HYPERLINK("https://twitter.com/hearthandmadeuk","@hearthandmadeuk")</f>
        <v>@hearthandmadeuk</v>
      </c>
      <c r="C1156" s="1" t="s">
        <v>894</v>
      </c>
      <c r="D1156" s="1" t="s">
        <v>5575</v>
      </c>
      <c r="E1156" s="12" t="str">
        <f>HYPERLINK("https://twitter.com/hearthandmadeuk/status/1217767770944950272","1217767770944950272")</f>
        <v>1217767770944950272</v>
      </c>
      <c r="F1156" s="13" t="s">
        <v>5576</v>
      </c>
      <c r="G1156" s="13" t="s">
        <v>5577</v>
      </c>
      <c r="H1156" s="14"/>
      <c r="I1156" s="15">
        <v>0.0</v>
      </c>
      <c r="J1156" s="15">
        <v>0.0</v>
      </c>
      <c r="K1156" s="12" t="str">
        <f>HYPERLINK("https://missinglettr.com","Missinglettr")</f>
        <v>Missinglettr</v>
      </c>
      <c r="L1156" s="16">
        <v>5257.0</v>
      </c>
      <c r="M1156" s="16">
        <v>1163.0</v>
      </c>
      <c r="N1156" s="16">
        <v>166.0</v>
      </c>
      <c r="O1156" s="17"/>
      <c r="P1156" s="18">
        <v>40246.384247685186</v>
      </c>
      <c r="Q1156" s="1" t="s">
        <v>898</v>
      </c>
      <c r="R1156" s="1" t="s">
        <v>899</v>
      </c>
      <c r="S1156" s="13" t="s">
        <v>900</v>
      </c>
      <c r="T1156" s="14"/>
      <c r="U1156" s="19" t="str">
        <f>HYPERLINK("https://pbs.twimg.com/profile_images/1096057274760683521/Bog751sc.png","View")</f>
        <v>View</v>
      </c>
      <c r="V1156" s="14"/>
      <c r="W1156" s="14"/>
      <c r="X1156" s="14"/>
      <c r="Y1156" s="14"/>
      <c r="Z1156" s="14"/>
    </row>
    <row r="1157">
      <c r="A1157" s="11">
        <v>43846.25271990741</v>
      </c>
      <c r="B1157" s="12" t="str">
        <f>HYPERLINK("https://twitter.com/GermanHomoeo","@GermanHomoeo")</f>
        <v>@GermanHomoeo</v>
      </c>
      <c r="C1157" s="1" t="s">
        <v>5578</v>
      </c>
      <c r="D1157" s="1" t="s">
        <v>5579</v>
      </c>
      <c r="E1157" s="12" t="str">
        <f>HYPERLINK("https://twitter.com/GermanHomoeo/status/1217764410267074562","1217764410267074562")</f>
        <v>1217764410267074562</v>
      </c>
      <c r="F1157" s="13" t="s">
        <v>5580</v>
      </c>
      <c r="G1157" s="14"/>
      <c r="H1157" s="14"/>
      <c r="I1157" s="15">
        <v>1.0</v>
      </c>
      <c r="J1157" s="15">
        <v>0.0</v>
      </c>
      <c r="K1157" s="12" t="str">
        <f>HYPERLINK("http://instagram.com","Instagram")</f>
        <v>Instagram</v>
      </c>
      <c r="L1157" s="16">
        <v>178.0</v>
      </c>
      <c r="M1157" s="16">
        <v>112.0</v>
      </c>
      <c r="N1157" s="16">
        <v>2.0</v>
      </c>
      <c r="O1157" s="17"/>
      <c r="P1157" s="18">
        <v>41392.019733796296</v>
      </c>
      <c r="Q1157" s="14"/>
      <c r="R1157" s="1" t="s">
        <v>5581</v>
      </c>
      <c r="S1157" s="14"/>
      <c r="T1157" s="14"/>
      <c r="U1157" s="19" t="str">
        <f>HYPERLINK("https://pbs.twimg.com/profile_images/771625479941988352/LdgwTf1u.jpg","View")</f>
        <v>View</v>
      </c>
      <c r="V1157" s="14"/>
      <c r="W1157" s="14"/>
      <c r="X1157" s="14"/>
      <c r="Y1157" s="14"/>
      <c r="Z1157" s="14"/>
    </row>
    <row r="1158">
      <c r="A1158" s="11">
        <v>43846.25209490741</v>
      </c>
      <c r="B1158" s="12" t="str">
        <f>HYPERLINK("https://twitter.com/peopleessential","@peopleessential")</f>
        <v>@peopleessential</v>
      </c>
      <c r="C1158" s="1" t="s">
        <v>5582</v>
      </c>
      <c r="D1158" s="1" t="s">
        <v>5583</v>
      </c>
      <c r="E1158" s="12" t="str">
        <f>HYPERLINK("https://twitter.com/peopleessential/status/1217764184169046016","1217764184169046016")</f>
        <v>1217764184169046016</v>
      </c>
      <c r="F1158" s="13" t="s">
        <v>5584</v>
      </c>
      <c r="G1158" s="14"/>
      <c r="H1158" s="14"/>
      <c r="I1158" s="15">
        <v>0.0</v>
      </c>
      <c r="J1158" s="15">
        <v>1.0</v>
      </c>
      <c r="K1158" s="12" t="str">
        <f>HYPERLINK("https://www.hootsuite.com","Hootsuite Inc.")</f>
        <v>Hootsuite Inc.</v>
      </c>
      <c r="L1158" s="16">
        <v>1175.0</v>
      </c>
      <c r="M1158" s="16">
        <v>1265.0</v>
      </c>
      <c r="N1158" s="16">
        <v>262.0</v>
      </c>
      <c r="O1158" s="17"/>
      <c r="P1158" s="18">
        <v>40542.36722222222</v>
      </c>
      <c r="Q1158" s="1" t="s">
        <v>5381</v>
      </c>
      <c r="R1158" s="1" t="s">
        <v>5585</v>
      </c>
      <c r="S1158" s="13" t="s">
        <v>5586</v>
      </c>
      <c r="T1158" s="14"/>
      <c r="U1158" s="19" t="str">
        <f>HYPERLINK("https://pbs.twimg.com/profile_images/1039061572289798144/AV1_4iPh.jpg","View")</f>
        <v>View</v>
      </c>
      <c r="V1158" s="14"/>
      <c r="W1158" s="14"/>
      <c r="X1158" s="14"/>
      <c r="Y1158" s="14"/>
      <c r="Z1158" s="14"/>
    </row>
    <row r="1159">
      <c r="A1159" s="11">
        <v>43846.249756944446</v>
      </c>
      <c r="B1159" s="12" t="str">
        <f>HYPERLINK("https://twitter.com/NaysGiveaways","@NaysGiveaways")</f>
        <v>@NaysGiveaways</v>
      </c>
      <c r="C1159" s="1" t="s">
        <v>5587</v>
      </c>
      <c r="D1159" s="1" t="s">
        <v>193</v>
      </c>
      <c r="E1159" s="12" t="str">
        <f>HYPERLINK("https://twitter.com/NaysGiveaways/status/1217763338639171586","1217763338639171586")</f>
        <v>1217763338639171586</v>
      </c>
      <c r="F1159" s="13" t="s">
        <v>5588</v>
      </c>
      <c r="G1159" s="14"/>
      <c r="H1159" s="14"/>
      <c r="I1159" s="15">
        <v>0.0</v>
      </c>
      <c r="J1159" s="15">
        <v>0.0</v>
      </c>
      <c r="K1159" s="12" t="str">
        <f>HYPERLINK("http://twitter.com","Twitter Web Client")</f>
        <v>Twitter Web Client</v>
      </c>
      <c r="L1159" s="16">
        <v>10022.0</v>
      </c>
      <c r="M1159" s="16">
        <v>10213.0</v>
      </c>
      <c r="N1159" s="16">
        <v>526.0</v>
      </c>
      <c r="O1159" s="17"/>
      <c r="P1159" s="18">
        <v>39624.90866898148</v>
      </c>
      <c r="Q1159" s="14"/>
      <c r="R1159" s="1" t="s">
        <v>5589</v>
      </c>
      <c r="S1159" s="14"/>
      <c r="T1159" s="14"/>
      <c r="U1159" s="19" t="str">
        <f>HYPERLINK("https://pbs.twimg.com/profile_images/1109492467911389184/BJphihkK.jpg","View")</f>
        <v>View</v>
      </c>
      <c r="V1159" s="14"/>
      <c r="W1159" s="14"/>
      <c r="X1159" s="14"/>
      <c r="Y1159" s="14"/>
      <c r="Z1159" s="14"/>
    </row>
    <row r="1160">
      <c r="A1160" s="11">
        <v>43846.249456018515</v>
      </c>
      <c r="B1160" s="12" t="str">
        <f>HYPERLINK("https://twitter.com/liggyw","@liggyw")</f>
        <v>@liggyw</v>
      </c>
      <c r="C1160" s="1" t="s">
        <v>5590</v>
      </c>
      <c r="D1160" s="1" t="s">
        <v>5591</v>
      </c>
      <c r="E1160" s="12" t="str">
        <f>HYPERLINK("https://twitter.com/liggyw/status/1217763228463370242","1217763228463370242")</f>
        <v>1217763228463370242</v>
      </c>
      <c r="F1160" s="13" t="s">
        <v>5592</v>
      </c>
      <c r="G1160" s="14"/>
      <c r="H1160" s="14"/>
      <c r="I1160" s="15">
        <v>2.0</v>
      </c>
      <c r="J1160" s="15">
        <v>2.0</v>
      </c>
      <c r="K1160" s="12" t="str">
        <f>HYPERLINK("http://www.linkedin.com/","LinkedIn")</f>
        <v>LinkedIn</v>
      </c>
      <c r="L1160" s="16">
        <v>46481.0</v>
      </c>
      <c r="M1160" s="16">
        <v>56883.0</v>
      </c>
      <c r="N1160" s="16">
        <v>563.0</v>
      </c>
      <c r="O1160" s="17"/>
      <c r="P1160" s="18">
        <v>40422.322060185186</v>
      </c>
      <c r="Q1160" s="1" t="s">
        <v>5593</v>
      </c>
      <c r="R1160" s="1" t="s">
        <v>5594</v>
      </c>
      <c r="S1160" s="13" t="s">
        <v>5595</v>
      </c>
      <c r="T1160" s="14"/>
      <c r="U1160" s="19" t="str">
        <f>HYPERLINK("https://pbs.twimg.com/profile_images/930904822236241920/nw6oMvBY.jpg","View")</f>
        <v>View</v>
      </c>
      <c r="V1160" s="14"/>
      <c r="W1160" s="14"/>
      <c r="X1160" s="14"/>
      <c r="Y1160" s="14"/>
      <c r="Z1160" s="14"/>
    </row>
    <row r="1161">
      <c r="A1161" s="11">
        <v>43846.2449537037</v>
      </c>
      <c r="B1161" s="12" t="str">
        <f>HYPERLINK("https://twitter.com/StaywellOH","@StaywellOH")</f>
        <v>@StaywellOH</v>
      </c>
      <c r="C1161" s="1" t="s">
        <v>5147</v>
      </c>
      <c r="D1161" s="1" t="s">
        <v>5596</v>
      </c>
      <c r="E1161" s="12" t="str">
        <f>HYPERLINK("https://twitter.com/StaywellOH/status/1217761597432762368","1217761597432762368")</f>
        <v>1217761597432762368</v>
      </c>
      <c r="F1161" s="13" t="s">
        <v>5597</v>
      </c>
      <c r="G1161" s="14"/>
      <c r="H1161" s="14"/>
      <c r="I1161" s="15">
        <v>0.0</v>
      </c>
      <c r="J1161" s="15">
        <v>0.0</v>
      </c>
      <c r="K1161" s="12" t="str">
        <f t="shared" ref="K1161:K1163" si="118">HYPERLINK("https://mobile.twitter.com","Twitter Web App")</f>
        <v>Twitter Web App</v>
      </c>
      <c r="L1161" s="16">
        <v>12097.0</v>
      </c>
      <c r="M1161" s="16">
        <v>9227.0</v>
      </c>
      <c r="N1161" s="16">
        <v>239.0</v>
      </c>
      <c r="O1161" s="17"/>
      <c r="P1161" s="18">
        <v>42158.29020833333</v>
      </c>
      <c r="Q1161" s="1" t="s">
        <v>1194</v>
      </c>
      <c r="R1161" s="1" t="s">
        <v>5150</v>
      </c>
      <c r="S1161" s="13" t="s">
        <v>5151</v>
      </c>
      <c r="T1161" s="14"/>
      <c r="U1161" s="19" t="str">
        <f>HYPERLINK("https://pbs.twimg.com/profile_images/606053718086270977/NH7FHNHQ.png","View")</f>
        <v>View</v>
      </c>
      <c r="V1161" s="14"/>
      <c r="W1161" s="14"/>
      <c r="X1161" s="14"/>
      <c r="Y1161" s="14"/>
      <c r="Z1161" s="14"/>
    </row>
    <row r="1162">
      <c r="A1162" s="11">
        <v>43846.244421296295</v>
      </c>
      <c r="B1162" s="12" t="str">
        <f>HYPERLINK("https://twitter.com/tsunami_axis","@tsunami_axis")</f>
        <v>@tsunami_axis</v>
      </c>
      <c r="C1162" s="1" t="s">
        <v>5598</v>
      </c>
      <c r="D1162" s="1" t="s">
        <v>5599</v>
      </c>
      <c r="E1162" s="12" t="str">
        <f>HYPERLINK("https://twitter.com/tsunami_axis/status/1217761406046625794","1217761406046625794")</f>
        <v>1217761406046625794</v>
      </c>
      <c r="F1162" s="13" t="s">
        <v>5600</v>
      </c>
      <c r="G1162" s="14"/>
      <c r="H1162" s="14"/>
      <c r="I1162" s="15">
        <v>0.0</v>
      </c>
      <c r="J1162" s="15">
        <v>1.0</v>
      </c>
      <c r="K1162" s="12" t="str">
        <f t="shared" si="118"/>
        <v>Twitter Web App</v>
      </c>
      <c r="L1162" s="16">
        <v>273.0</v>
      </c>
      <c r="M1162" s="16">
        <v>227.0</v>
      </c>
      <c r="N1162" s="16">
        <v>0.0</v>
      </c>
      <c r="O1162" s="17"/>
      <c r="P1162" s="18">
        <v>42993.43387731482</v>
      </c>
      <c r="Q1162" s="1" t="s">
        <v>1194</v>
      </c>
      <c r="R1162" s="1" t="s">
        <v>5601</v>
      </c>
      <c r="S1162" s="13" t="s">
        <v>5602</v>
      </c>
      <c r="T1162" s="14"/>
      <c r="U1162" s="19" t="str">
        <f>HYPERLINK("https://pbs.twimg.com/profile_images/908701516286087173/BOL7jjuM.jpg","View")</f>
        <v>View</v>
      </c>
      <c r="V1162" s="14"/>
      <c r="W1162" s="14"/>
      <c r="X1162" s="14"/>
      <c r="Y1162" s="14"/>
      <c r="Z1162" s="14"/>
    </row>
    <row r="1163">
      <c r="A1163" s="11">
        <v>43846.24313657408</v>
      </c>
      <c r="B1163" s="12" t="str">
        <f>HYPERLINK("https://twitter.com/visweshwar8","@visweshwar8")</f>
        <v>@visweshwar8</v>
      </c>
      <c r="C1163" s="1" t="s">
        <v>5603</v>
      </c>
      <c r="D1163" s="1" t="s">
        <v>5604</v>
      </c>
      <c r="E1163" s="12" t="str">
        <f>HYPERLINK("https://twitter.com/visweshwar8/status/1217760940424192001","1217760940424192001")</f>
        <v>1217760940424192001</v>
      </c>
      <c r="F1163" s="13" t="s">
        <v>5605</v>
      </c>
      <c r="G1163" s="13" t="s">
        <v>5606</v>
      </c>
      <c r="H1163" s="14"/>
      <c r="I1163" s="15">
        <v>0.0</v>
      </c>
      <c r="J1163" s="15">
        <v>1.0</v>
      </c>
      <c r="K1163" s="12" t="str">
        <f t="shared" si="118"/>
        <v>Twitter Web App</v>
      </c>
      <c r="L1163" s="16">
        <v>10.0</v>
      </c>
      <c r="M1163" s="16">
        <v>31.0</v>
      </c>
      <c r="N1163" s="16">
        <v>1.0</v>
      </c>
      <c r="O1163" s="17"/>
      <c r="P1163" s="18">
        <v>43757.044641203705</v>
      </c>
      <c r="Q1163" s="14"/>
      <c r="R1163" s="14"/>
      <c r="S1163" s="14"/>
      <c r="T1163" s="14"/>
      <c r="U1163" s="20" t="s">
        <v>202</v>
      </c>
      <c r="V1163" s="14"/>
      <c r="W1163" s="14"/>
      <c r="X1163" s="14"/>
      <c r="Y1163" s="14"/>
      <c r="Z1163" s="14"/>
    </row>
    <row r="1164">
      <c r="A1164" s="11">
        <v>43846.24253472222</v>
      </c>
      <c r="B1164" s="12" t="str">
        <f>HYPERLINK("https://twitter.com/IAPTWilts","@IAPTWilts")</f>
        <v>@IAPTWilts</v>
      </c>
      <c r="C1164" s="1" t="s">
        <v>5607</v>
      </c>
      <c r="D1164" s="1" t="s">
        <v>5608</v>
      </c>
      <c r="E1164" s="12" t="str">
        <f>HYPERLINK("https://twitter.com/IAPTWilts/status/1217760721389412353","1217760721389412353")</f>
        <v>1217760721389412353</v>
      </c>
      <c r="F1164" s="14"/>
      <c r="G1164" s="13" t="s">
        <v>5609</v>
      </c>
      <c r="H1164" s="14"/>
      <c r="I1164" s="15">
        <v>1.0</v>
      </c>
      <c r="J1164" s="15">
        <v>1.0</v>
      </c>
      <c r="K1164" s="12" t="str">
        <f>HYPERLINK("http://twitter.com","Twitter Web Client")</f>
        <v>Twitter Web Client</v>
      </c>
      <c r="L1164" s="16">
        <v>352.0</v>
      </c>
      <c r="M1164" s="16">
        <v>319.0</v>
      </c>
      <c r="N1164" s="16">
        <v>2.0</v>
      </c>
      <c r="O1164" s="17"/>
      <c r="P1164" s="18">
        <v>42193.46706018518</v>
      </c>
      <c r="Q1164" s="1" t="s">
        <v>1194</v>
      </c>
      <c r="R1164" s="1" t="s">
        <v>5610</v>
      </c>
      <c r="S1164" s="13" t="s">
        <v>5611</v>
      </c>
      <c r="T1164" s="14"/>
      <c r="U1164" s="19" t="str">
        <f>HYPERLINK("https://pbs.twimg.com/profile_images/674590163033550848/qG1MEVGZ.png","View")</f>
        <v>View</v>
      </c>
      <c r="V1164" s="14"/>
      <c r="W1164" s="14"/>
      <c r="X1164" s="14"/>
      <c r="Y1164" s="14"/>
      <c r="Z1164" s="14"/>
    </row>
    <row r="1165">
      <c r="A1165" s="11">
        <v>43846.241631944446</v>
      </c>
      <c r="B1165" s="12" t="str">
        <f>HYPERLINK("https://twitter.com/InvensisElearn","@InvensisElearn")</f>
        <v>@InvensisElearn</v>
      </c>
      <c r="C1165" s="1" t="s">
        <v>5612</v>
      </c>
      <c r="D1165" s="1" t="s">
        <v>5613</v>
      </c>
      <c r="E1165" s="12" t="str">
        <f>HYPERLINK("https://twitter.com/InvensisElearn/status/1217760394418118656","1217760394418118656")</f>
        <v>1217760394418118656</v>
      </c>
      <c r="F1165" s="14"/>
      <c r="G1165" s="13" t="s">
        <v>5614</v>
      </c>
      <c r="H1165" s="14"/>
      <c r="I1165" s="15">
        <v>0.0</v>
      </c>
      <c r="J1165" s="15">
        <v>1.0</v>
      </c>
      <c r="K1165" s="12" t="str">
        <f t="shared" ref="K1165:K1166" si="119">HYPERLINK("https://mobile.twitter.com","Twitter Web App")</f>
        <v>Twitter Web App</v>
      </c>
      <c r="L1165" s="16">
        <v>311.0</v>
      </c>
      <c r="M1165" s="16">
        <v>850.0</v>
      </c>
      <c r="N1165" s="16">
        <v>34.0</v>
      </c>
      <c r="O1165" s="17"/>
      <c r="P1165" s="18">
        <v>41627.17461805556</v>
      </c>
      <c r="Q1165" s="1" t="s">
        <v>5615</v>
      </c>
      <c r="R1165" s="1" t="s">
        <v>5616</v>
      </c>
      <c r="S1165" s="13" t="s">
        <v>5617</v>
      </c>
      <c r="T1165" s="14"/>
      <c r="U1165" s="19" t="str">
        <f>HYPERLINK("https://pbs.twimg.com/profile_images/462154509527961602/bm0En2cF.jpeg","View")</f>
        <v>View</v>
      </c>
      <c r="V1165" s="14"/>
      <c r="W1165" s="14"/>
      <c r="X1165" s="14"/>
      <c r="Y1165" s="14"/>
      <c r="Z1165" s="14"/>
    </row>
    <row r="1166">
      <c r="A1166" s="11">
        <v>43846.239328703705</v>
      </c>
      <c r="B1166" s="12" t="str">
        <f>HYPERLINK("https://twitter.com/Astrologerinca2","@Astrologerinca2")</f>
        <v>@Astrologerinca2</v>
      </c>
      <c r="C1166" s="1" t="s">
        <v>5618</v>
      </c>
      <c r="D1166" s="1" t="s">
        <v>5619</v>
      </c>
      <c r="E1166" s="12" t="str">
        <f>HYPERLINK("https://twitter.com/Astrologerinca2/status/1217759561236406273","1217759561236406273")</f>
        <v>1217759561236406273</v>
      </c>
      <c r="F1166" s="14"/>
      <c r="G1166" s="13" t="s">
        <v>5620</v>
      </c>
      <c r="H1166" s="14"/>
      <c r="I1166" s="15">
        <v>0.0</v>
      </c>
      <c r="J1166" s="15">
        <v>1.0</v>
      </c>
      <c r="K1166" s="12" t="str">
        <f t="shared" si="119"/>
        <v>Twitter Web App</v>
      </c>
      <c r="L1166" s="16">
        <v>1.0</v>
      </c>
      <c r="M1166" s="16">
        <v>1.0</v>
      </c>
      <c r="N1166" s="16">
        <v>0.0</v>
      </c>
      <c r="O1166" s="17"/>
      <c r="P1166" s="18">
        <v>43453.30440972222</v>
      </c>
      <c r="Q1166" s="1" t="s">
        <v>143</v>
      </c>
      <c r="R1166" s="1" t="s">
        <v>5621</v>
      </c>
      <c r="S1166" s="14"/>
      <c r="T1166" s="14"/>
      <c r="U1166" s="19" t="str">
        <f>HYPERLINK("https://pbs.twimg.com/profile_images/1077872473712939008/J1uLwg1K.jpg","View")</f>
        <v>View</v>
      </c>
      <c r="V1166" s="14"/>
      <c r="W1166" s="14"/>
      <c r="X1166" s="14"/>
      <c r="Y1166" s="14"/>
      <c r="Z1166" s="14"/>
    </row>
    <row r="1167">
      <c r="A1167" s="11">
        <v>43846.239224537036</v>
      </c>
      <c r="B1167" s="12" t="str">
        <f>HYPERLINK("https://twitter.com/trafficjam_app","@trafficjam_app")</f>
        <v>@trafficjam_app</v>
      </c>
      <c r="C1167" s="1" t="s">
        <v>1251</v>
      </c>
      <c r="D1167" s="1" t="s">
        <v>5622</v>
      </c>
      <c r="E1167" s="12" t="str">
        <f>HYPERLINK("https://twitter.com/trafficjam_app/status/1217759522489610240","1217759522489610240")</f>
        <v>1217759522489610240</v>
      </c>
      <c r="F1167" s="13" t="s">
        <v>1253</v>
      </c>
      <c r="G1167" s="13" t="s">
        <v>5623</v>
      </c>
      <c r="H1167" s="14"/>
      <c r="I1167" s="15">
        <v>2.0</v>
      </c>
      <c r="J1167" s="15">
        <v>0.0</v>
      </c>
      <c r="K1167" s="12" t="str">
        <f>HYPERLINK("https://zapier.com/","Zapier.com")</f>
        <v>Zapier.com</v>
      </c>
      <c r="L1167" s="16">
        <v>113.0</v>
      </c>
      <c r="M1167" s="16">
        <v>50.0</v>
      </c>
      <c r="N1167" s="16">
        <v>1.0</v>
      </c>
      <c r="O1167" s="17"/>
      <c r="P1167" s="18">
        <v>42994.542708333334</v>
      </c>
      <c r="Q1167" s="1" t="s">
        <v>1255</v>
      </c>
      <c r="R1167" s="1" t="s">
        <v>1256</v>
      </c>
      <c r="S1167" s="13" t="s">
        <v>1257</v>
      </c>
      <c r="T1167" s="14"/>
      <c r="U1167" s="19" t="str">
        <f>HYPERLINK("https://pbs.twimg.com/profile_images/1020242156571766786/l1YKw5xD.jpg","View")</f>
        <v>View</v>
      </c>
      <c r="V1167" s="14"/>
      <c r="W1167" s="14"/>
      <c r="X1167" s="14"/>
      <c r="Y1167" s="14"/>
      <c r="Z1167" s="14"/>
    </row>
    <row r="1168">
      <c r="A1168" s="11">
        <v>43846.23587962963</v>
      </c>
      <c r="B1168" s="12" t="str">
        <f>HYPERLINK("https://twitter.com/NeuroSchool_mrs","@NeuroSchool_mrs")</f>
        <v>@NeuroSchool_mrs</v>
      </c>
      <c r="C1168" s="1" t="s">
        <v>5624</v>
      </c>
      <c r="D1168" s="1" t="s">
        <v>5625</v>
      </c>
      <c r="E1168" s="12" t="str">
        <f>HYPERLINK("https://twitter.com/NeuroSchool_mrs/status/1217758310327300096","1217758310327300096")</f>
        <v>1217758310327300096</v>
      </c>
      <c r="F1168" s="1" t="s">
        <v>5626</v>
      </c>
      <c r="G1168" s="14"/>
      <c r="H1168" s="14"/>
      <c r="I1168" s="15">
        <v>1.0</v>
      </c>
      <c r="J1168" s="15">
        <v>0.0</v>
      </c>
      <c r="K1168" s="12" t="str">
        <f>HYPERLINK("https://mobile.twitter.com","Twitter Web App")</f>
        <v>Twitter Web App</v>
      </c>
      <c r="L1168" s="16">
        <v>248.0</v>
      </c>
      <c r="M1168" s="16">
        <v>326.0</v>
      </c>
      <c r="N1168" s="16">
        <v>1.0</v>
      </c>
      <c r="O1168" s="17"/>
      <c r="P1168" s="18">
        <v>43444.19663194445</v>
      </c>
      <c r="Q1168" s="1" t="s">
        <v>5627</v>
      </c>
      <c r="R1168" s="1" t="s">
        <v>5628</v>
      </c>
      <c r="S1168" s="13" t="s">
        <v>5629</v>
      </c>
      <c r="T1168" s="14"/>
      <c r="U1168" s="19" t="str">
        <f>HYPERLINK("https://pbs.twimg.com/profile_images/1072113957509496833/5NwW6ZSX.jpg","View")</f>
        <v>View</v>
      </c>
      <c r="V1168" s="14"/>
      <c r="W1168" s="14"/>
      <c r="X1168" s="14"/>
      <c r="Y1168" s="14"/>
      <c r="Z1168" s="14"/>
    </row>
    <row r="1169">
      <c r="A1169" s="11">
        <v>43846.23547453704</v>
      </c>
      <c r="B1169" s="12" t="str">
        <f>HYPERLINK("https://twitter.com/WellbeingUmbrel","@WellbeingUmbrel")</f>
        <v>@WellbeingUmbrel</v>
      </c>
      <c r="C1169" s="1" t="s">
        <v>5630</v>
      </c>
      <c r="D1169" s="1" t="s">
        <v>5631</v>
      </c>
      <c r="E1169" s="12" t="str">
        <f>HYPERLINK("https://twitter.com/WellbeingUmbrel/status/1217758160813023232","1217758160813023232")</f>
        <v>1217758160813023232</v>
      </c>
      <c r="F1169" s="13" t="s">
        <v>5632</v>
      </c>
      <c r="G1169" s="13" t="s">
        <v>5633</v>
      </c>
      <c r="H1169" s="14"/>
      <c r="I1169" s="15">
        <v>6.0</v>
      </c>
      <c r="J1169" s="15">
        <v>4.0</v>
      </c>
      <c r="K1169" s="12" t="str">
        <f>HYPERLINK("https://www.loomly.com/","Loomly")</f>
        <v>Loomly</v>
      </c>
      <c r="L1169" s="16">
        <v>291.0</v>
      </c>
      <c r="M1169" s="16">
        <v>319.0</v>
      </c>
      <c r="N1169" s="16">
        <v>2.0</v>
      </c>
      <c r="O1169" s="17"/>
      <c r="P1169" s="18">
        <v>42909.85116898148</v>
      </c>
      <c r="Q1169" s="1" t="s">
        <v>263</v>
      </c>
      <c r="R1169" s="1" t="s">
        <v>5634</v>
      </c>
      <c r="S1169" s="13" t="s">
        <v>5635</v>
      </c>
      <c r="T1169" s="14"/>
      <c r="U1169" s="19" t="str">
        <f>HYPERLINK("https://pbs.twimg.com/profile_images/1172022557450604544/WFY-Umt6.jpg","View")</f>
        <v>View</v>
      </c>
      <c r="V1169" s="14"/>
      <c r="W1169" s="14"/>
      <c r="X1169" s="14"/>
      <c r="Y1169" s="14"/>
      <c r="Z1169" s="14"/>
    </row>
    <row r="1170">
      <c r="A1170" s="11">
        <v>43846.22912037037</v>
      </c>
      <c r="B1170" s="12" t="str">
        <f>HYPERLINK("https://twitter.com/leadershaala","@leadershaala")</f>
        <v>@leadershaala</v>
      </c>
      <c r="C1170" s="1" t="s">
        <v>5636</v>
      </c>
      <c r="D1170" s="1" t="s">
        <v>5637</v>
      </c>
      <c r="E1170" s="12" t="str">
        <f>HYPERLINK("https://twitter.com/leadershaala/status/1217755861008863232","1217755861008863232")</f>
        <v>1217755861008863232</v>
      </c>
      <c r="F1170" s="13" t="s">
        <v>5638</v>
      </c>
      <c r="G1170" s="13" t="s">
        <v>5639</v>
      </c>
      <c r="H1170" s="14"/>
      <c r="I1170" s="15">
        <v>0.0</v>
      </c>
      <c r="J1170" s="15">
        <v>1.0</v>
      </c>
      <c r="K1170" s="12" t="str">
        <f t="shared" ref="K1170:K1171" si="120">HYPERLINK("https://mobile.twitter.com","Twitter Web App")</f>
        <v>Twitter Web App</v>
      </c>
      <c r="L1170" s="16">
        <v>3.0</v>
      </c>
      <c r="M1170" s="16">
        <v>85.0</v>
      </c>
      <c r="N1170" s="16">
        <v>0.0</v>
      </c>
      <c r="O1170" s="17"/>
      <c r="P1170" s="18">
        <v>43816.090729166666</v>
      </c>
      <c r="Q1170" s="1" t="s">
        <v>5640</v>
      </c>
      <c r="R1170" s="1" t="s">
        <v>5641</v>
      </c>
      <c r="S1170" s="13" t="s">
        <v>5642</v>
      </c>
      <c r="T1170" s="14"/>
      <c r="U1170" s="19" t="str">
        <f>HYPERLINK("https://pbs.twimg.com/profile_images/1206834131130126336/6QZh0nsb.png","View")</f>
        <v>View</v>
      </c>
      <c r="V1170" s="14"/>
      <c r="W1170" s="14"/>
      <c r="X1170" s="14"/>
      <c r="Y1170" s="14"/>
      <c r="Z1170" s="14"/>
    </row>
    <row r="1171">
      <c r="A1171" s="11">
        <v>43846.22717592593</v>
      </c>
      <c r="B1171" s="12" t="str">
        <f>HYPERLINK("https://twitter.com/vallurichange","@vallurichange")</f>
        <v>@vallurichange</v>
      </c>
      <c r="C1171" s="1" t="s">
        <v>5643</v>
      </c>
      <c r="D1171" s="1" t="s">
        <v>5644</v>
      </c>
      <c r="E1171" s="12" t="str">
        <f>HYPERLINK("https://twitter.com/vallurichange/status/1217755155359100929","1217755155359100929")</f>
        <v>1217755155359100929</v>
      </c>
      <c r="F1171" s="13" t="s">
        <v>5645</v>
      </c>
      <c r="G1171" s="13" t="s">
        <v>5646</v>
      </c>
      <c r="H1171" s="14"/>
      <c r="I1171" s="15">
        <v>0.0</v>
      </c>
      <c r="J1171" s="15">
        <v>0.0</v>
      </c>
      <c r="K1171" s="12" t="str">
        <f t="shared" si="120"/>
        <v>Twitter Web App</v>
      </c>
      <c r="L1171" s="16">
        <v>166.0</v>
      </c>
      <c r="M1171" s="16">
        <v>651.0</v>
      </c>
      <c r="N1171" s="16">
        <v>27.0</v>
      </c>
      <c r="O1171" s="17"/>
      <c r="P1171" s="18">
        <v>42174.150624999995</v>
      </c>
      <c r="Q1171" s="1" t="s">
        <v>5647</v>
      </c>
      <c r="R1171" s="1" t="s">
        <v>5648</v>
      </c>
      <c r="S1171" s="13" t="s">
        <v>5649</v>
      </c>
      <c r="T1171" s="14"/>
      <c r="U1171" s="19" t="str">
        <f>HYPERLINK("https://pbs.twimg.com/profile_images/892347777610432513/97iZUP6W.jpg","View")</f>
        <v>View</v>
      </c>
      <c r="V1171" s="14"/>
      <c r="W1171" s="14"/>
      <c r="X1171" s="14"/>
      <c r="Y1171" s="14"/>
      <c r="Z1171" s="14"/>
    </row>
    <row r="1172">
      <c r="A1172" s="11">
        <v>43846.22094907408</v>
      </c>
      <c r="B1172" s="12" t="str">
        <f>HYPERLINK("https://twitter.com/agentterrysmoo1","@agentterrysmoo1")</f>
        <v>@agentterrysmoo1</v>
      </c>
      <c r="C1172" s="1" t="s">
        <v>5650</v>
      </c>
      <c r="D1172" s="1" t="s">
        <v>5651</v>
      </c>
      <c r="E1172" s="12" t="str">
        <f>HYPERLINK("https://twitter.com/agentterrysmoo1/status/1217752897292767233","1217752897292767233")</f>
        <v>1217752897292767233</v>
      </c>
      <c r="F1172" s="14"/>
      <c r="G1172" s="13" t="s">
        <v>5652</v>
      </c>
      <c r="H1172" s="14"/>
      <c r="I1172" s="15">
        <v>0.0</v>
      </c>
      <c r="J1172" s="15">
        <v>0.0</v>
      </c>
      <c r="K1172" s="12" t="str">
        <f t="shared" ref="K1172:K1173" si="121">HYPERLINK("http://twitter.com/download/android","Twitter for Android")</f>
        <v>Twitter for Android</v>
      </c>
      <c r="L1172" s="16">
        <v>19.0</v>
      </c>
      <c r="M1172" s="16">
        <v>19.0</v>
      </c>
      <c r="N1172" s="16">
        <v>0.0</v>
      </c>
      <c r="O1172" s="17"/>
      <c r="P1172" s="18">
        <v>42274.16412037037</v>
      </c>
      <c r="Q1172" s="1" t="s">
        <v>5653</v>
      </c>
      <c r="R1172" s="1" t="s">
        <v>5654</v>
      </c>
      <c r="S1172" s="14"/>
      <c r="T1172" s="14"/>
      <c r="U1172" s="19" t="str">
        <f>HYPERLINK("https://pbs.twimg.com/profile_images/1215241933490212865/a11CNghm.jpg","View")</f>
        <v>View</v>
      </c>
      <c r="V1172" s="14"/>
      <c r="W1172" s="14"/>
      <c r="X1172" s="14"/>
      <c r="Y1172" s="14"/>
      <c r="Z1172" s="14"/>
    </row>
    <row r="1173">
      <c r="A1173" s="11">
        <v>43846.21922453704</v>
      </c>
      <c r="B1173" s="12" t="str">
        <f>HYPERLINK("https://twitter.com/HealthwireMedia","@HealthwireMedia")</f>
        <v>@HealthwireMedia</v>
      </c>
      <c r="C1173" s="1" t="s">
        <v>5655</v>
      </c>
      <c r="D1173" s="1" t="s">
        <v>5656</v>
      </c>
      <c r="E1173" s="12" t="str">
        <f>HYPERLINK("https://twitter.com/HealthwireMedia/status/1217752274694356994","1217752274694356994")</f>
        <v>1217752274694356994</v>
      </c>
      <c r="F1173" s="13" t="s">
        <v>5657</v>
      </c>
      <c r="G1173" s="14"/>
      <c r="H1173" s="14"/>
      <c r="I1173" s="15">
        <v>4.0</v>
      </c>
      <c r="J1173" s="15">
        <v>7.0</v>
      </c>
      <c r="K1173" s="12" t="str">
        <f t="shared" si="121"/>
        <v>Twitter for Android</v>
      </c>
      <c r="L1173" s="16">
        <v>30.0</v>
      </c>
      <c r="M1173" s="16">
        <v>135.0</v>
      </c>
      <c r="N1173" s="16">
        <v>0.0</v>
      </c>
      <c r="O1173" s="17"/>
      <c r="P1173" s="18">
        <v>43533.99935185185</v>
      </c>
      <c r="Q1173" s="14"/>
      <c r="R1173" s="1" t="s">
        <v>5658</v>
      </c>
      <c r="S1173" s="13" t="s">
        <v>5659</v>
      </c>
      <c r="T1173" s="14"/>
      <c r="U1173" s="19" t="str">
        <f>HYPERLINK("https://pbs.twimg.com/profile_images/1199214283365609472/TR6q0Vml.jpg","View")</f>
        <v>View</v>
      </c>
      <c r="V1173" s="14"/>
      <c r="W1173" s="14"/>
      <c r="X1173" s="14"/>
      <c r="Y1173" s="14"/>
      <c r="Z1173" s="14"/>
    </row>
    <row r="1174">
      <c r="A1174" s="11">
        <v>43846.21805555555</v>
      </c>
      <c r="B1174" s="12" t="str">
        <f>HYPERLINK("https://twitter.com/EdinUniMentalH","@EdinUniMentalH")</f>
        <v>@EdinUniMentalH</v>
      </c>
      <c r="C1174" s="1" t="s">
        <v>5660</v>
      </c>
      <c r="D1174" s="1" t="s">
        <v>5661</v>
      </c>
      <c r="E1174" s="12" t="str">
        <f>HYPERLINK("https://twitter.com/EdinUniMentalH/status/1217751849177997312","1217751849177997312")</f>
        <v>1217751849177997312</v>
      </c>
      <c r="F1174" s="14"/>
      <c r="G1174" s="13" t="s">
        <v>5662</v>
      </c>
      <c r="H1174" s="14"/>
      <c r="I1174" s="15">
        <v>3.0</v>
      </c>
      <c r="J1174" s="15">
        <v>4.0</v>
      </c>
      <c r="K1174" s="12" t="str">
        <f>HYPERLINK("https://about.twitter.com/products/tweetdeck","TweetDeck")</f>
        <v>TweetDeck</v>
      </c>
      <c r="L1174" s="16">
        <v>1729.0</v>
      </c>
      <c r="M1174" s="16">
        <v>1166.0</v>
      </c>
      <c r="N1174" s="16">
        <v>17.0</v>
      </c>
      <c r="O1174" s="17"/>
      <c r="P1174" s="18">
        <v>43430.61461805555</v>
      </c>
      <c r="Q1174" s="1" t="s">
        <v>5663</v>
      </c>
      <c r="R1174" s="1" t="s">
        <v>5664</v>
      </c>
      <c r="S1174" s="14"/>
      <c r="T1174" s="14"/>
      <c r="U1174" s="19" t="str">
        <f>HYPERLINK("https://pbs.twimg.com/profile_images/1067349229591502848/CET5P5Am.jpg","View")</f>
        <v>View</v>
      </c>
      <c r="V1174" s="14"/>
      <c r="W1174" s="14"/>
      <c r="X1174" s="14"/>
      <c r="Y1174" s="14"/>
      <c r="Z1174" s="14"/>
    </row>
    <row r="1175">
      <c r="A1175" s="11">
        <v>43846.2118287037</v>
      </c>
      <c r="B1175" s="12" t="str">
        <f>HYPERLINK("https://twitter.com/DailyWaffle","@DailyWaffle")</f>
        <v>@DailyWaffle</v>
      </c>
      <c r="C1175" s="1" t="s">
        <v>2274</v>
      </c>
      <c r="D1175" s="1" t="s">
        <v>3520</v>
      </c>
      <c r="E1175" s="12" t="str">
        <f>HYPERLINK("https://twitter.com/DailyWaffle/status/1217749593833779200","1217749593833779200")</f>
        <v>1217749593833779200</v>
      </c>
      <c r="F1175" s="13" t="s">
        <v>3521</v>
      </c>
      <c r="G1175" s="13" t="s">
        <v>5665</v>
      </c>
      <c r="H1175" s="14"/>
      <c r="I1175" s="15">
        <v>2.0</v>
      </c>
      <c r="J1175" s="15">
        <v>1.0</v>
      </c>
      <c r="K1175" s="12" t="str">
        <f>HYPERLINK("https://buffer.com","Buffer")</f>
        <v>Buffer</v>
      </c>
      <c r="L1175" s="16">
        <v>2527.0</v>
      </c>
      <c r="M1175" s="16">
        <v>2181.0</v>
      </c>
      <c r="N1175" s="16">
        <v>134.0</v>
      </c>
      <c r="O1175" s="17"/>
      <c r="P1175" s="18">
        <v>40568.26107638889</v>
      </c>
      <c r="Q1175" s="1" t="s">
        <v>2278</v>
      </c>
      <c r="R1175" s="1" t="s">
        <v>2279</v>
      </c>
      <c r="S1175" s="13" t="s">
        <v>2280</v>
      </c>
      <c r="T1175" s="14"/>
      <c r="U1175" s="19" t="str">
        <f>HYPERLINK("https://pbs.twimg.com/profile_images/378800000704624480/d79e97179fbe43cc0306bbafbf096b73.jpeg","View")</f>
        <v>View</v>
      </c>
      <c r="V1175" s="14"/>
      <c r="W1175" s="14"/>
      <c r="X1175" s="14"/>
      <c r="Y1175" s="14"/>
      <c r="Z1175" s="14"/>
    </row>
    <row r="1176">
      <c r="A1176" s="11">
        <v>43846.209814814814</v>
      </c>
      <c r="B1176" s="12" t="str">
        <f>HYPERLINK("https://twitter.com/BHLibraries","@BHLibraries")</f>
        <v>@BHLibraries</v>
      </c>
      <c r="C1176" s="1" t="s">
        <v>5666</v>
      </c>
      <c r="D1176" s="1" t="s">
        <v>5667</v>
      </c>
      <c r="E1176" s="12" t="str">
        <f>HYPERLINK("https://twitter.com/BHLibraries/status/1217748862942744577","1217748862942744577")</f>
        <v>1217748862942744577</v>
      </c>
      <c r="F1176" s="14"/>
      <c r="G1176" s="13" t="s">
        <v>5668</v>
      </c>
      <c r="H1176" s="14"/>
      <c r="I1176" s="15">
        <v>1.0</v>
      </c>
      <c r="J1176" s="15">
        <v>1.0</v>
      </c>
      <c r="K1176" s="12" t="str">
        <f>HYPERLINK("https://mobile.twitter.com","Twitter Web App")</f>
        <v>Twitter Web App</v>
      </c>
      <c r="L1176" s="16">
        <v>6747.0</v>
      </c>
      <c r="M1176" s="16">
        <v>2036.0</v>
      </c>
      <c r="N1176" s="16">
        <v>201.0</v>
      </c>
      <c r="O1176" s="17"/>
      <c r="P1176" s="18">
        <v>40471.47929398148</v>
      </c>
      <c r="Q1176" s="1" t="s">
        <v>5669</v>
      </c>
      <c r="R1176" s="1" t="s">
        <v>5670</v>
      </c>
      <c r="S1176" s="13" t="s">
        <v>5671</v>
      </c>
      <c r="T1176" s="14"/>
      <c r="U1176" s="19" t="str">
        <f>HYPERLINK("https://pbs.twimg.com/profile_images/1161973112898031617/H1bcdGOG.jpg","View")</f>
        <v>View</v>
      </c>
      <c r="V1176" s="14"/>
      <c r="W1176" s="14"/>
      <c r="X1176" s="14"/>
      <c r="Y1176" s="14"/>
      <c r="Z1176" s="14"/>
    </row>
    <row r="1177">
      <c r="A1177" s="11">
        <v>43846.20905092593</v>
      </c>
      <c r="B1177" s="12" t="str">
        <f>HYPERLINK("https://twitter.com/COME_outreach","@COME_outreach")</f>
        <v>@COME_outreach</v>
      </c>
      <c r="C1177" s="1" t="s">
        <v>3408</v>
      </c>
      <c r="D1177" s="1" t="s">
        <v>5672</v>
      </c>
      <c r="E1177" s="12" t="str">
        <f>HYPERLINK("https://twitter.com/COME_outreach/status/1217748588979261441","1217748588979261441")</f>
        <v>1217748588979261441</v>
      </c>
      <c r="F1177" s="14"/>
      <c r="G1177" s="13" t="s">
        <v>5673</v>
      </c>
      <c r="H1177" s="14"/>
      <c r="I1177" s="15">
        <v>1.0</v>
      </c>
      <c r="J1177" s="15">
        <v>1.0</v>
      </c>
      <c r="K1177" s="12" t="str">
        <f>HYPERLINK("https://www.later.com","LaterMedia")</f>
        <v>LaterMedia</v>
      </c>
      <c r="L1177" s="16">
        <v>122.0</v>
      </c>
      <c r="M1177" s="16">
        <v>285.0</v>
      </c>
      <c r="N1177" s="16">
        <v>23.0</v>
      </c>
      <c r="O1177" s="17"/>
      <c r="P1177" s="18">
        <v>42603.736608796295</v>
      </c>
      <c r="Q1177" s="1" t="s">
        <v>3411</v>
      </c>
      <c r="R1177" s="1" t="s">
        <v>3412</v>
      </c>
      <c r="S1177" s="13" t="s">
        <v>3413</v>
      </c>
      <c r="T1177" s="14"/>
      <c r="U1177" s="19" t="str">
        <f>HYPERLINK("https://pbs.twimg.com/profile_images/1168633618807345152/1n9w7b3P.jpg","View")</f>
        <v>View</v>
      </c>
      <c r="V1177" s="14"/>
      <c r="W1177" s="14"/>
      <c r="X1177" s="14"/>
      <c r="Y1177" s="14"/>
      <c r="Z1177" s="14"/>
    </row>
    <row r="1178">
      <c r="A1178" s="11">
        <v>43846.20675925926</v>
      </c>
      <c r="B1178" s="12" t="str">
        <f>HYPERLINK("https://twitter.com/whitetreecoach1","@whitetreecoach1")</f>
        <v>@whitetreecoach1</v>
      </c>
      <c r="C1178" s="1" t="s">
        <v>5674</v>
      </c>
      <c r="D1178" s="1" t="s">
        <v>5675</v>
      </c>
      <c r="E1178" s="12" t="str">
        <f>HYPERLINK("https://twitter.com/whitetreecoach1/status/1217747756397334528","1217747756397334528")</f>
        <v>1217747756397334528</v>
      </c>
      <c r="F1178" s="14"/>
      <c r="G1178" s="13" t="s">
        <v>5676</v>
      </c>
      <c r="H1178" s="14"/>
      <c r="I1178" s="15">
        <v>1.0</v>
      </c>
      <c r="J1178" s="15">
        <v>2.0</v>
      </c>
      <c r="K1178" s="12" t="str">
        <f>HYPERLINK("http://twitter.com/download/iphone","Twitter for iPhone")</f>
        <v>Twitter for iPhone</v>
      </c>
      <c r="L1178" s="16">
        <v>334.0</v>
      </c>
      <c r="M1178" s="16">
        <v>731.0</v>
      </c>
      <c r="N1178" s="16">
        <v>3.0</v>
      </c>
      <c r="O1178" s="17"/>
      <c r="P1178" s="18">
        <v>43480.22927083333</v>
      </c>
      <c r="Q1178" s="1" t="s">
        <v>5677</v>
      </c>
      <c r="R1178" s="1" t="s">
        <v>5678</v>
      </c>
      <c r="S1178" s="14"/>
      <c r="T1178" s="14"/>
      <c r="U1178" s="19" t="str">
        <f>HYPERLINK("https://pbs.twimg.com/profile_images/1165551562434985985/eFn50eZe.jpg","View")</f>
        <v>View</v>
      </c>
      <c r="V1178" s="14"/>
      <c r="W1178" s="14"/>
      <c r="X1178" s="14"/>
      <c r="Y1178" s="14"/>
      <c r="Z1178" s="14"/>
    </row>
    <row r="1179">
      <c r="A1179" s="11">
        <v>43846.20649305556</v>
      </c>
      <c r="B1179" s="12" t="str">
        <f>HYPERLINK("https://twitter.com/LindaABecker","@LindaABecker")</f>
        <v>@LindaABecker</v>
      </c>
      <c r="C1179" s="1" t="s">
        <v>5679</v>
      </c>
      <c r="D1179" s="1" t="s">
        <v>5680</v>
      </c>
      <c r="E1179" s="12" t="str">
        <f>HYPERLINK("https://twitter.com/LindaABecker/status/1217747662163841025","1217747662163841025")</f>
        <v>1217747662163841025</v>
      </c>
      <c r="F1179" s="14"/>
      <c r="G1179" s="13" t="s">
        <v>5681</v>
      </c>
      <c r="H1179" s="14"/>
      <c r="I1179" s="15">
        <v>1.0</v>
      </c>
      <c r="J1179" s="15">
        <v>6.0</v>
      </c>
      <c r="K1179" s="12" t="str">
        <f>HYPERLINK("http://twitter.com/download/android","Twitter for Android")</f>
        <v>Twitter for Android</v>
      </c>
      <c r="L1179" s="16">
        <v>21.0</v>
      </c>
      <c r="M1179" s="16">
        <v>37.0</v>
      </c>
      <c r="N1179" s="16">
        <v>0.0</v>
      </c>
      <c r="O1179" s="17"/>
      <c r="P1179" s="18">
        <v>43612.55368055556</v>
      </c>
      <c r="Q1179" s="1" t="s">
        <v>5682</v>
      </c>
      <c r="R1179" s="1" t="s">
        <v>5683</v>
      </c>
      <c r="S1179" s="14"/>
      <c r="T1179" s="14"/>
      <c r="U1179" s="19" t="str">
        <f>HYPERLINK("https://pbs.twimg.com/profile_images/1156296259424202753/xP5FUiWX.jpg","View")</f>
        <v>View</v>
      </c>
      <c r="V1179" s="14"/>
      <c r="W1179" s="14"/>
      <c r="X1179" s="14"/>
      <c r="Y1179" s="14"/>
      <c r="Z1179" s="14"/>
    </row>
    <row r="1180">
      <c r="A1180" s="11">
        <v>43846.20545138889</v>
      </c>
      <c r="B1180" s="12" t="str">
        <f>HYPERLINK("https://twitter.com/lifesortedapp","@lifesortedapp")</f>
        <v>@lifesortedapp</v>
      </c>
      <c r="C1180" s="1" t="s">
        <v>5684</v>
      </c>
      <c r="D1180" s="1" t="s">
        <v>5685</v>
      </c>
      <c r="E1180" s="12" t="str">
        <f>HYPERLINK("https://twitter.com/lifesortedapp/status/1217747282268950528","1217747282268950528")</f>
        <v>1217747282268950528</v>
      </c>
      <c r="F1180" s="13" t="s">
        <v>5686</v>
      </c>
      <c r="G1180" s="13" t="s">
        <v>5687</v>
      </c>
      <c r="H1180" s="14"/>
      <c r="I1180" s="15">
        <v>1.0</v>
      </c>
      <c r="J1180" s="15">
        <v>0.0</v>
      </c>
      <c r="K1180" s="12" t="str">
        <f>HYPERLINK("https://missinglettr.com","Missinglettr")</f>
        <v>Missinglettr</v>
      </c>
      <c r="L1180" s="16">
        <v>6.0</v>
      </c>
      <c r="M1180" s="16">
        <v>0.0</v>
      </c>
      <c r="N1180" s="16">
        <v>0.0</v>
      </c>
      <c r="O1180" s="17"/>
      <c r="P1180" s="18">
        <v>42831.26565972222</v>
      </c>
      <c r="Q1180" s="14"/>
      <c r="R1180" s="14"/>
      <c r="S1180" s="14"/>
      <c r="T1180" s="14"/>
      <c r="U1180" s="19" t="str">
        <f>HYPERLINK("https://pbs.twimg.com/profile_images/849930867367583744/A52pt3eN.jpg","View")</f>
        <v>View</v>
      </c>
      <c r="V1180" s="14"/>
      <c r="W1180" s="14"/>
      <c r="X1180" s="14"/>
      <c r="Y1180" s="14"/>
      <c r="Z1180" s="14"/>
    </row>
    <row r="1181">
      <c r="A1181" s="11">
        <v>43846.205</v>
      </c>
      <c r="B1181" s="12" t="str">
        <f>HYPERLINK("https://twitter.com/Mind_in_Focus","@Mind_in_Focus")</f>
        <v>@Mind_in_Focus</v>
      </c>
      <c r="C1181" s="1" t="s">
        <v>5688</v>
      </c>
      <c r="D1181" s="1" t="s">
        <v>5689</v>
      </c>
      <c r="E1181" s="12" t="str">
        <f>HYPERLINK("https://twitter.com/Mind_in_Focus/status/1217747117206274048","1217747117206274048")</f>
        <v>1217747117206274048</v>
      </c>
      <c r="F1181" s="13" t="s">
        <v>5690</v>
      </c>
      <c r="G1181" s="14"/>
      <c r="H1181" s="14"/>
      <c r="I1181" s="15">
        <v>0.0</v>
      </c>
      <c r="J1181" s="15">
        <v>0.0</v>
      </c>
      <c r="K1181" s="12" t="str">
        <f>HYPERLINK("http://www.linkedin.com/","LinkedIn")</f>
        <v>LinkedIn</v>
      </c>
      <c r="L1181" s="16">
        <v>111.0</v>
      </c>
      <c r="M1181" s="16">
        <v>233.0</v>
      </c>
      <c r="N1181" s="16">
        <v>16.0</v>
      </c>
      <c r="O1181" s="17"/>
      <c r="P1181" s="18">
        <v>42192.877175925925</v>
      </c>
      <c r="Q1181" s="1" t="s">
        <v>5691</v>
      </c>
      <c r="R1181" s="1" t="s">
        <v>5692</v>
      </c>
      <c r="S1181" s="13" t="s">
        <v>5693</v>
      </c>
      <c r="T1181" s="14"/>
      <c r="U1181" s="19" t="str">
        <f>HYPERLINK("https://pbs.twimg.com/profile_images/618590780433764357/fDWU9KOO.jpg","View")</f>
        <v>View</v>
      </c>
      <c r="V1181" s="14"/>
      <c r="W1181" s="14"/>
      <c r="X1181" s="14"/>
      <c r="Y1181" s="14"/>
      <c r="Z1181" s="14"/>
    </row>
    <row r="1182">
      <c r="A1182" s="11">
        <v>43846.204988425925</v>
      </c>
      <c r="B1182" s="12" t="str">
        <f>HYPERLINK("https://twitter.com/ThingsAboutGod","@ThingsAboutGod")</f>
        <v>@ThingsAboutGod</v>
      </c>
      <c r="C1182" s="1" t="s">
        <v>5694</v>
      </c>
      <c r="D1182" s="1" t="s">
        <v>5695</v>
      </c>
      <c r="E1182" s="12" t="str">
        <f>HYPERLINK("https://twitter.com/ThingsAboutGod/status/1217747116845600769","1217747116845600769")</f>
        <v>1217747116845600769</v>
      </c>
      <c r="F1182" s="13" t="s">
        <v>5696</v>
      </c>
      <c r="G1182" s="14"/>
      <c r="H1182" s="14"/>
      <c r="I1182" s="15">
        <v>0.0</v>
      </c>
      <c r="J1182" s="15">
        <v>0.0</v>
      </c>
      <c r="K1182" s="12" t="str">
        <f t="shared" ref="K1182:K1183" si="122">HYPERLINK("https://www.socialoomph.com","SocialOomph")</f>
        <v>SocialOomph</v>
      </c>
      <c r="L1182" s="16">
        <v>57132.0</v>
      </c>
      <c r="M1182" s="16">
        <v>6241.0</v>
      </c>
      <c r="N1182" s="16">
        <v>646.0</v>
      </c>
      <c r="O1182" s="17"/>
      <c r="P1182" s="18">
        <v>40265.622395833336</v>
      </c>
      <c r="Q1182" s="1" t="s">
        <v>5697</v>
      </c>
      <c r="R1182" s="1" t="s">
        <v>5698</v>
      </c>
      <c r="S1182" s="14"/>
      <c r="T1182" s="14"/>
      <c r="U1182" s="19" t="str">
        <f>HYPERLINK("https://pbs.twimg.com/profile_images/616632092139499521/G5Lmg9Ih.jpg","View")</f>
        <v>View</v>
      </c>
      <c r="V1182" s="14"/>
      <c r="W1182" s="14"/>
      <c r="X1182" s="14"/>
      <c r="Y1182" s="14"/>
      <c r="Z1182" s="14"/>
    </row>
    <row r="1183">
      <c r="A1183" s="11">
        <v>43846.19791666667</v>
      </c>
      <c r="B1183" s="12" t="str">
        <f>HYPERLINK("https://twitter.com/TrainingMindful","@TrainingMindful")</f>
        <v>@TrainingMindful</v>
      </c>
      <c r="C1183" s="1" t="s">
        <v>94</v>
      </c>
      <c r="D1183" s="1" t="s">
        <v>5699</v>
      </c>
      <c r="E1183" s="12" t="str">
        <f>HYPERLINK("https://twitter.com/TrainingMindful/status/1217744551315746817","1217744551315746817")</f>
        <v>1217744551315746817</v>
      </c>
      <c r="F1183" s="13" t="s">
        <v>878</v>
      </c>
      <c r="G1183" s="14"/>
      <c r="H1183" s="14"/>
      <c r="I1183" s="15">
        <v>0.0</v>
      </c>
      <c r="J1183" s="15">
        <v>2.0</v>
      </c>
      <c r="K1183" s="12" t="str">
        <f t="shared" si="122"/>
        <v>SocialOomph</v>
      </c>
      <c r="L1183" s="16">
        <v>185303.0</v>
      </c>
      <c r="M1183" s="16">
        <v>43980.0</v>
      </c>
      <c r="N1183" s="16">
        <v>2800.0</v>
      </c>
      <c r="O1183" s="17"/>
      <c r="P1183" s="18">
        <v>41286.039305555554</v>
      </c>
      <c r="Q1183" s="1" t="s">
        <v>97</v>
      </c>
      <c r="R1183" s="1" t="s">
        <v>98</v>
      </c>
      <c r="S1183" s="13" t="s">
        <v>99</v>
      </c>
      <c r="T1183" s="14"/>
      <c r="U1183" s="19" t="str">
        <f>HYPERLINK("https://pbs.twimg.com/profile_images/566526924059459584/gdMxDA9x.jpeg","View")</f>
        <v>View</v>
      </c>
      <c r="V1183" s="14"/>
      <c r="W1183" s="14"/>
      <c r="X1183" s="14"/>
      <c r="Y1183" s="14"/>
      <c r="Z1183" s="14"/>
    </row>
    <row r="1184">
      <c r="A1184" s="11">
        <v>43846.19446759259</v>
      </c>
      <c r="B1184" s="12" t="str">
        <f>HYPERLINK("https://twitter.com/AnxietyUK","@AnxietyUK")</f>
        <v>@AnxietyUK</v>
      </c>
      <c r="C1184" s="1" t="s">
        <v>1420</v>
      </c>
      <c r="D1184" s="1" t="s">
        <v>5700</v>
      </c>
      <c r="E1184" s="12" t="str">
        <f>HYPERLINK("https://twitter.com/AnxietyUK/status/1217743303136944128","1217743303136944128")</f>
        <v>1217743303136944128</v>
      </c>
      <c r="F1184" s="13" t="s">
        <v>5701</v>
      </c>
      <c r="G1184" s="14"/>
      <c r="H1184" s="14"/>
      <c r="I1184" s="15">
        <v>7.0</v>
      </c>
      <c r="J1184" s="15">
        <v>19.0</v>
      </c>
      <c r="K1184" s="12" t="str">
        <f>HYPERLINK("https://www.hootsuite.com","Hootsuite Inc.")</f>
        <v>Hootsuite Inc.</v>
      </c>
      <c r="L1184" s="16">
        <v>130198.0</v>
      </c>
      <c r="M1184" s="16">
        <v>2538.0</v>
      </c>
      <c r="N1184" s="16">
        <v>1114.0</v>
      </c>
      <c r="O1184" s="17"/>
      <c r="P1184" s="18">
        <v>39854.57107638889</v>
      </c>
      <c r="Q1184" s="1" t="s">
        <v>1423</v>
      </c>
      <c r="R1184" s="1" t="s">
        <v>1424</v>
      </c>
      <c r="S1184" s="13" t="s">
        <v>1425</v>
      </c>
      <c r="T1184" s="14"/>
      <c r="U1184" s="19" t="str">
        <f>HYPERLINK("https://pbs.twimg.com/profile_images/1184032569148485632/ARtaFKKO.jpg","View")</f>
        <v>View</v>
      </c>
      <c r="V1184" s="14"/>
      <c r="W1184" s="14"/>
      <c r="X1184" s="14"/>
      <c r="Y1184" s="14"/>
      <c r="Z1184" s="14"/>
    </row>
    <row r="1185">
      <c r="A1185" s="11">
        <v>43846.19262731481</v>
      </c>
      <c r="B1185" s="12" t="str">
        <f>HYPERLINK("https://twitter.com/BumblingLaura","@BumblingLaura")</f>
        <v>@BumblingLaura</v>
      </c>
      <c r="C1185" s="1" t="s">
        <v>5702</v>
      </c>
      <c r="D1185" s="1" t="s">
        <v>5703</v>
      </c>
      <c r="E1185" s="12" t="str">
        <f>HYPERLINK("https://twitter.com/BumblingLaura/status/1217742634376101889","1217742634376101889")</f>
        <v>1217742634376101889</v>
      </c>
      <c r="F1185" s="13" t="s">
        <v>5704</v>
      </c>
      <c r="G1185" s="14"/>
      <c r="H1185" s="14"/>
      <c r="I1185" s="15">
        <v>18.0</v>
      </c>
      <c r="J1185" s="15">
        <v>44.0</v>
      </c>
      <c r="K1185" s="12" t="str">
        <f>HYPERLINK("http://twitter.com/download/android","Twitter for Android")</f>
        <v>Twitter for Android</v>
      </c>
      <c r="L1185" s="16">
        <v>402.0</v>
      </c>
      <c r="M1185" s="16">
        <v>631.0</v>
      </c>
      <c r="N1185" s="16">
        <v>4.0</v>
      </c>
      <c r="O1185" s="17"/>
      <c r="P1185" s="18">
        <v>41535.91222222222</v>
      </c>
      <c r="Q1185" s="1" t="s">
        <v>5705</v>
      </c>
      <c r="R1185" s="1" t="s">
        <v>5706</v>
      </c>
      <c r="S1185" s="13" t="s">
        <v>5707</v>
      </c>
      <c r="T1185" s="14"/>
      <c r="U1185" s="19" t="str">
        <f>HYPERLINK("https://pbs.twimg.com/profile_images/1217823879294570496/vM1Tlw90.jpg","View")</f>
        <v>View</v>
      </c>
      <c r="V1185" s="14"/>
      <c r="W1185" s="14"/>
      <c r="X1185" s="14"/>
      <c r="Y1185" s="14"/>
      <c r="Z1185" s="14"/>
    </row>
    <row r="1186">
      <c r="A1186" s="11">
        <v>43846.192523148144</v>
      </c>
      <c r="B1186" s="12" t="str">
        <f>HYPERLINK("https://twitter.com/justtikib","@justtikib")</f>
        <v>@justtikib</v>
      </c>
      <c r="C1186" s="1" t="s">
        <v>5708</v>
      </c>
      <c r="D1186" s="1" t="s">
        <v>5709</v>
      </c>
      <c r="E1186" s="12" t="str">
        <f>HYPERLINK("https://twitter.com/justtikib/status/1217742598082875392","1217742598082875392")</f>
        <v>1217742598082875392</v>
      </c>
      <c r="F1186" s="13" t="s">
        <v>5710</v>
      </c>
      <c r="G1186" s="14"/>
      <c r="H1186" s="14"/>
      <c r="I1186" s="15">
        <v>0.0</v>
      </c>
      <c r="J1186" s="15">
        <v>0.0</v>
      </c>
      <c r="K1186" s="12" t="str">
        <f>HYPERLINK("https://www.justtiki.com","Just Tiki")</f>
        <v>Just Tiki</v>
      </c>
      <c r="L1186" s="16">
        <v>2819.0</v>
      </c>
      <c r="M1186" s="16">
        <v>447.0</v>
      </c>
      <c r="N1186" s="16">
        <v>65.0</v>
      </c>
      <c r="O1186" s="17"/>
      <c r="P1186" s="18">
        <v>41185.625023148146</v>
      </c>
      <c r="Q1186" s="1" t="s">
        <v>5711</v>
      </c>
      <c r="R1186" s="1" t="s">
        <v>5712</v>
      </c>
      <c r="S1186" s="13" t="s">
        <v>5713</v>
      </c>
      <c r="T1186" s="14"/>
      <c r="U1186" s="19" t="str">
        <f>HYPERLINK("https://pbs.twimg.com/profile_images/661403611511939072/3kU-3buD.jpg","View")</f>
        <v>View</v>
      </c>
      <c r="V1186" s="14"/>
      <c r="W1186" s="14"/>
      <c r="X1186" s="14"/>
      <c r="Y1186" s="14"/>
      <c r="Z1186" s="14"/>
    </row>
    <row r="1187">
      <c r="A1187" s="11">
        <v>43846.19206018519</v>
      </c>
      <c r="B1187" s="12" t="str">
        <f>HYPERLINK("https://twitter.com/RNBISME","@RNBISME")</f>
        <v>@RNBISME</v>
      </c>
      <c r="C1187" s="1" t="s">
        <v>5714</v>
      </c>
      <c r="D1187" s="1" t="s">
        <v>5715</v>
      </c>
      <c r="E1187" s="12" t="str">
        <f>HYPERLINK("https://twitter.com/RNBISME/status/1217742431841660929","1217742431841660929")</f>
        <v>1217742431841660929</v>
      </c>
      <c r="F1187" s="14"/>
      <c r="G1187" s="13" t="s">
        <v>5716</v>
      </c>
      <c r="H1187" s="14"/>
      <c r="I1187" s="15">
        <v>0.0</v>
      </c>
      <c r="J1187" s="15">
        <v>0.0</v>
      </c>
      <c r="K1187" s="12" t="str">
        <f>HYPERLINK("http://twitter.com/download/iphone","Twitter for iPhone")</f>
        <v>Twitter for iPhone</v>
      </c>
      <c r="L1187" s="16">
        <v>1968.0</v>
      </c>
      <c r="M1187" s="16">
        <v>2257.0</v>
      </c>
      <c r="N1187" s="16">
        <v>18.0</v>
      </c>
      <c r="O1187" s="17"/>
      <c r="P1187" s="18">
        <v>40893.63565972222</v>
      </c>
      <c r="Q1187" s="1" t="s">
        <v>5717</v>
      </c>
      <c r="R1187" s="1" t="s">
        <v>5718</v>
      </c>
      <c r="S1187" s="13" t="s">
        <v>5719</v>
      </c>
      <c r="T1187" s="14"/>
      <c r="U1187" s="19" t="str">
        <f>HYPERLINK("https://pbs.twimg.com/profile_images/634439630310514688/03Gjiute.jpg","View")</f>
        <v>View</v>
      </c>
      <c r="V1187" s="14"/>
      <c r="W1187" s="14"/>
      <c r="X1187" s="14"/>
      <c r="Y1187" s="14"/>
      <c r="Z1187" s="14"/>
    </row>
    <row r="1188">
      <c r="A1188" s="11">
        <v>43846.18837962963</v>
      </c>
      <c r="B1188" s="12" t="str">
        <f>HYPERLINK("https://twitter.com/ProfAnneMW","@ProfAnneMW")</f>
        <v>@ProfAnneMW</v>
      </c>
      <c r="C1188" s="1" t="s">
        <v>5720</v>
      </c>
      <c r="D1188" s="1" t="s">
        <v>5721</v>
      </c>
      <c r="E1188" s="12" t="str">
        <f>HYPERLINK("https://twitter.com/ProfAnneMW/status/1217741094043041792","1217741094043041792")</f>
        <v>1217741094043041792</v>
      </c>
      <c r="F1188" s="13" t="s">
        <v>5722</v>
      </c>
      <c r="G1188" s="14"/>
      <c r="H1188" s="14"/>
      <c r="I1188" s="15">
        <v>0.0</v>
      </c>
      <c r="J1188" s="15">
        <v>5.0</v>
      </c>
      <c r="K1188" s="12" t="str">
        <f>HYPERLINK("http://twitter.com/#!/download/ipad","Twitter for iPad")</f>
        <v>Twitter for iPad</v>
      </c>
      <c r="L1188" s="16">
        <v>709.0</v>
      </c>
      <c r="M1188" s="16">
        <v>1188.0</v>
      </c>
      <c r="N1188" s="16">
        <v>15.0</v>
      </c>
      <c r="O1188" s="17"/>
      <c r="P1188" s="18">
        <v>41946.10886574074</v>
      </c>
      <c r="Q1188" s="1" t="s">
        <v>1838</v>
      </c>
      <c r="R1188" s="1" t="s">
        <v>5723</v>
      </c>
      <c r="S1188" s="14"/>
      <c r="T1188" s="14"/>
      <c r="U1188" s="19" t="str">
        <f>HYPERLINK("https://pbs.twimg.com/profile_images/1128085076908990465/NYHMN9ch.jpg","View")</f>
        <v>View</v>
      </c>
      <c r="V1188" s="14"/>
      <c r="W1188" s="14"/>
      <c r="X1188" s="14"/>
      <c r="Y1188" s="14"/>
      <c r="Z1188" s="14"/>
    </row>
    <row r="1189">
      <c r="A1189" s="11">
        <v>43846.18819444445</v>
      </c>
      <c r="B1189" s="12" t="str">
        <f>HYPERLINK("https://twitter.com/TheWblogger","@TheWblogger")</f>
        <v>@TheWblogger</v>
      </c>
      <c r="C1189" s="1" t="s">
        <v>5724</v>
      </c>
      <c r="D1189" s="1" t="s">
        <v>5725</v>
      </c>
      <c r="E1189" s="12" t="str">
        <f>HYPERLINK("https://twitter.com/TheWblogger/status/1217741029048307712","1217741029048307712")</f>
        <v>1217741029048307712</v>
      </c>
      <c r="F1189" s="14"/>
      <c r="G1189" s="13" t="s">
        <v>5726</v>
      </c>
      <c r="H1189" s="14"/>
      <c r="I1189" s="15">
        <v>0.0</v>
      </c>
      <c r="J1189" s="15">
        <v>13.0</v>
      </c>
      <c r="K1189" s="12" t="str">
        <f>HYPERLINK("http://twitter.com/download/iphone","Twitter for iPhone")</f>
        <v>Twitter for iPhone</v>
      </c>
      <c r="L1189" s="16">
        <v>3775.0</v>
      </c>
      <c r="M1189" s="16">
        <v>3763.0</v>
      </c>
      <c r="N1189" s="16">
        <v>30.0</v>
      </c>
      <c r="O1189" s="17"/>
      <c r="P1189" s="18">
        <v>43317.312951388885</v>
      </c>
      <c r="Q1189" s="1" t="s">
        <v>5727</v>
      </c>
      <c r="R1189" s="1" t="s">
        <v>5728</v>
      </c>
      <c r="S1189" s="13" t="s">
        <v>5729</v>
      </c>
      <c r="T1189" s="14"/>
      <c r="U1189" s="19" t="str">
        <f>HYPERLINK("https://pbs.twimg.com/profile_images/1205629907755294722/qBpNMg2x.jpg","View")</f>
        <v>View</v>
      </c>
      <c r="V1189" s="14"/>
      <c r="W1189" s="14"/>
      <c r="X1189" s="14"/>
      <c r="Y1189" s="14"/>
      <c r="Z1189" s="14"/>
    </row>
    <row r="1190">
      <c r="A1190" s="11">
        <v>43846.181967592594</v>
      </c>
      <c r="B1190" s="12" t="str">
        <f>HYPERLINK("https://twitter.com/CordellHealth","@CordellHealth")</f>
        <v>@CordellHealth</v>
      </c>
      <c r="C1190" s="1" t="s">
        <v>5340</v>
      </c>
      <c r="D1190" s="1" t="s">
        <v>5730</v>
      </c>
      <c r="E1190" s="12" t="str">
        <f>HYPERLINK("https://twitter.com/CordellHealth/status/1217738773267722240","1217738773267722240")</f>
        <v>1217738773267722240</v>
      </c>
      <c r="F1190" s="13" t="s">
        <v>5731</v>
      </c>
      <c r="G1190" s="13" t="s">
        <v>5732</v>
      </c>
      <c r="H1190" s="14"/>
      <c r="I1190" s="15">
        <v>0.0</v>
      </c>
      <c r="J1190" s="15">
        <v>1.0</v>
      </c>
      <c r="K1190" s="12" t="str">
        <f>HYPERLINK("https://www.contentcal.io","ContentCal Studio")</f>
        <v>ContentCal Studio</v>
      </c>
      <c r="L1190" s="16">
        <v>405.0</v>
      </c>
      <c r="M1190" s="16">
        <v>386.0</v>
      </c>
      <c r="N1190" s="16">
        <v>8.0</v>
      </c>
      <c r="O1190" s="17"/>
      <c r="P1190" s="18">
        <v>42576.70282407408</v>
      </c>
      <c r="Q1190" s="1" t="s">
        <v>5344</v>
      </c>
      <c r="R1190" s="1" t="s">
        <v>5345</v>
      </c>
      <c r="S1190" s="13" t="s">
        <v>5346</v>
      </c>
      <c r="T1190" s="14"/>
      <c r="U1190" s="19" t="str">
        <f>HYPERLINK("https://pbs.twimg.com/profile_images/844881448897302528/kXlu_e4Z.jpg","View")</f>
        <v>View</v>
      </c>
      <c r="V1190" s="14"/>
      <c r="W1190" s="14"/>
      <c r="X1190" s="14"/>
      <c r="Y1190" s="14"/>
      <c r="Z1190" s="14"/>
    </row>
    <row r="1191">
      <c r="A1191" s="11">
        <v>43846.169375</v>
      </c>
      <c r="B1191" s="12" t="str">
        <f>HYPERLINK("https://twitter.com/clinicmanakriti","@clinicmanakriti")</f>
        <v>@clinicmanakriti</v>
      </c>
      <c r="C1191" s="1" t="s">
        <v>5733</v>
      </c>
      <c r="D1191" s="1" t="s">
        <v>5734</v>
      </c>
      <c r="E1191" s="12" t="str">
        <f>HYPERLINK("https://twitter.com/clinicmanakriti/status/1217734207545307136","1217734207545307136")</f>
        <v>1217734207545307136</v>
      </c>
      <c r="F1191" s="13" t="s">
        <v>5735</v>
      </c>
      <c r="G1191" s="13" t="s">
        <v>5736</v>
      </c>
      <c r="H1191" s="14"/>
      <c r="I1191" s="15">
        <v>0.0</v>
      </c>
      <c r="J1191" s="15">
        <v>1.0</v>
      </c>
      <c r="K1191" s="12" t="str">
        <f>HYPERLINK("https://mobile.twitter.com","Twitter Web App")</f>
        <v>Twitter Web App</v>
      </c>
      <c r="L1191" s="16">
        <v>3296.0</v>
      </c>
      <c r="M1191" s="16">
        <v>4928.0</v>
      </c>
      <c r="N1191" s="16">
        <v>3.0</v>
      </c>
      <c r="O1191" s="17"/>
      <c r="P1191" s="18">
        <v>42779.42190972222</v>
      </c>
      <c r="Q1191" s="1" t="s">
        <v>5737</v>
      </c>
      <c r="R1191" s="1" t="s">
        <v>5738</v>
      </c>
      <c r="S1191" s="13" t="s">
        <v>5739</v>
      </c>
      <c r="T1191" s="14"/>
      <c r="U1191" s="19" t="str">
        <f>HYPERLINK("https://pbs.twimg.com/profile_images/831159755104153601/jWQgTo22.jpg","View")</f>
        <v>View</v>
      </c>
      <c r="V1191" s="14"/>
      <c r="W1191" s="14"/>
      <c r="X1191" s="14"/>
      <c r="Y1191" s="14"/>
      <c r="Z1191" s="14"/>
    </row>
    <row r="1192">
      <c r="A1192" s="11">
        <v>43846.16828703704</v>
      </c>
      <c r="B1192" s="12" t="str">
        <f>HYPERLINK("https://twitter.com/AAkanet","@AAkanet")</f>
        <v>@AAkanet</v>
      </c>
      <c r="C1192" s="1" t="s">
        <v>5740</v>
      </c>
      <c r="D1192" s="1" t="s">
        <v>5741</v>
      </c>
      <c r="E1192" s="12" t="str">
        <f>HYPERLINK("https://twitter.com/AAkanet/status/1217733816237854720","1217733816237854720")</f>
        <v>1217733816237854720</v>
      </c>
      <c r="F1192" s="13" t="s">
        <v>5742</v>
      </c>
      <c r="G1192" s="13" t="s">
        <v>5743</v>
      </c>
      <c r="H1192" s="14"/>
      <c r="I1192" s="15">
        <v>0.0</v>
      </c>
      <c r="J1192" s="15">
        <v>0.0</v>
      </c>
      <c r="K1192" s="12" t="str">
        <f>HYPERLINK("http://twitter.com/download/android","Twitter for Android")</f>
        <v>Twitter for Android</v>
      </c>
      <c r="L1192" s="16">
        <v>188.0</v>
      </c>
      <c r="M1192" s="16">
        <v>373.0</v>
      </c>
      <c r="N1192" s="16">
        <v>13.0</v>
      </c>
      <c r="O1192" s="17"/>
      <c r="P1192" s="18">
        <v>42746.47483796296</v>
      </c>
      <c r="Q1192" s="1" t="s">
        <v>1194</v>
      </c>
      <c r="R1192" s="1" t="s">
        <v>5744</v>
      </c>
      <c r="S1192" s="13" t="s">
        <v>5745</v>
      </c>
      <c r="T1192" s="14"/>
      <c r="U1192" s="19" t="str">
        <f>HYPERLINK("https://pbs.twimg.com/profile_images/1213603578746564608/7-w1BqP8.jpg","View")</f>
        <v>View</v>
      </c>
      <c r="V1192" s="14"/>
      <c r="W1192" s="14"/>
      <c r="X1192" s="14"/>
      <c r="Y1192" s="14"/>
      <c r="Z1192" s="14"/>
    </row>
    <row r="1193">
      <c r="A1193" s="11">
        <v>43846.16751157407</v>
      </c>
      <c r="B1193" s="12" t="str">
        <f>HYPERLINK("https://twitter.com/ReshmiPatel_","@ReshmiPatel_")</f>
        <v>@ReshmiPatel_</v>
      </c>
      <c r="C1193" s="1" t="s">
        <v>5746</v>
      </c>
      <c r="D1193" s="1" t="s">
        <v>5747</v>
      </c>
      <c r="E1193" s="12" t="str">
        <f>HYPERLINK("https://twitter.com/ReshmiPatel_/status/1217733532627472386","1217733532627472386")</f>
        <v>1217733532627472386</v>
      </c>
      <c r="F1193" s="14"/>
      <c r="G1193" s="13" t="s">
        <v>5748</v>
      </c>
      <c r="H1193" s="14"/>
      <c r="I1193" s="15">
        <v>0.0</v>
      </c>
      <c r="J1193" s="15">
        <v>0.0</v>
      </c>
      <c r="K1193" s="12" t="str">
        <f>HYPERLINK("https://www.later.com","LaterMedia")</f>
        <v>LaterMedia</v>
      </c>
      <c r="L1193" s="16">
        <v>324.0</v>
      </c>
      <c r="M1193" s="16">
        <v>312.0</v>
      </c>
      <c r="N1193" s="16">
        <v>16.0</v>
      </c>
      <c r="O1193" s="17"/>
      <c r="P1193" s="18">
        <v>41194.62936342593</v>
      </c>
      <c r="Q1193" s="1" t="s">
        <v>268</v>
      </c>
      <c r="R1193" s="1" t="s">
        <v>5749</v>
      </c>
      <c r="S1193" s="13" t="s">
        <v>5750</v>
      </c>
      <c r="T1193" s="14"/>
      <c r="U1193" s="19" t="str">
        <f>HYPERLINK("https://pbs.twimg.com/profile_images/931534821368782848/EzxF1GNZ.jpg","View")</f>
        <v>View</v>
      </c>
      <c r="V1193" s="14"/>
      <c r="W1193" s="14"/>
      <c r="X1193" s="14"/>
      <c r="Y1193" s="14"/>
      <c r="Z1193" s="14"/>
    </row>
    <row r="1194">
      <c r="A1194" s="11">
        <v>43846.1631712963</v>
      </c>
      <c r="B1194" s="12" t="str">
        <f>HYPERLINK("https://twitter.com/HunterMezher","@HunterMezher")</f>
        <v>@HunterMezher</v>
      </c>
      <c r="C1194" s="1" t="s">
        <v>5751</v>
      </c>
      <c r="D1194" s="1" t="s">
        <v>5752</v>
      </c>
      <c r="E1194" s="12" t="str">
        <f>HYPERLINK("https://twitter.com/HunterMezher/status/1217731961411653632","1217731961411653632")</f>
        <v>1217731961411653632</v>
      </c>
      <c r="F1194" s="14"/>
      <c r="G1194" s="13" t="s">
        <v>5753</v>
      </c>
      <c r="H1194" s="14"/>
      <c r="I1194" s="15">
        <v>1.0</v>
      </c>
      <c r="J1194" s="15">
        <v>74.0</v>
      </c>
      <c r="K1194" s="12" t="str">
        <f>HYPERLINK("http://twitter.com/download/iphone","Twitter for iPhone")</f>
        <v>Twitter for iPhone</v>
      </c>
      <c r="L1194" s="16">
        <v>2298.0</v>
      </c>
      <c r="M1194" s="16">
        <v>3691.0</v>
      </c>
      <c r="N1194" s="16">
        <v>7.0</v>
      </c>
      <c r="O1194" s="17"/>
      <c r="P1194" s="18">
        <v>43594.19855324074</v>
      </c>
      <c r="Q1194" s="1" t="s">
        <v>5754</v>
      </c>
      <c r="R1194" s="1" t="s">
        <v>5755</v>
      </c>
      <c r="S1194" s="14"/>
      <c r="T1194" s="14"/>
      <c r="U1194" s="19" t="str">
        <f>HYPERLINK("https://pbs.twimg.com/profile_images/1190403435469955073/JRcVBCNH.jpg","View")</f>
        <v>View</v>
      </c>
      <c r="V1194" s="14"/>
      <c r="W1194" s="14"/>
      <c r="X1194" s="14"/>
      <c r="Y1194" s="14"/>
      <c r="Z1194" s="14"/>
    </row>
    <row r="1195">
      <c r="A1195" s="11">
        <v>43846.1625</v>
      </c>
      <c r="B1195" s="12" t="str">
        <f>HYPERLINK("https://twitter.com/StreamlionHelen","@StreamlionHelen")</f>
        <v>@StreamlionHelen</v>
      </c>
      <c r="C1195" s="1" t="s">
        <v>5756</v>
      </c>
      <c r="D1195" s="1" t="s">
        <v>5757</v>
      </c>
      <c r="E1195" s="12" t="str">
        <f>HYPERLINK("https://twitter.com/StreamlionHelen/status/1217731719354372096","1217731719354372096")</f>
        <v>1217731719354372096</v>
      </c>
      <c r="F1195" s="13" t="s">
        <v>5758</v>
      </c>
      <c r="G1195" s="14"/>
      <c r="H1195" s="14"/>
      <c r="I1195" s="15">
        <v>0.0</v>
      </c>
      <c r="J1195" s="15">
        <v>0.0</v>
      </c>
      <c r="K1195" s="12" t="str">
        <f>HYPERLINK("https://www.contentcal.io","ContentCal Studio")</f>
        <v>ContentCal Studio</v>
      </c>
      <c r="L1195" s="16">
        <v>596.0</v>
      </c>
      <c r="M1195" s="16">
        <v>565.0</v>
      </c>
      <c r="N1195" s="16">
        <v>14.0</v>
      </c>
      <c r="O1195" s="17"/>
      <c r="P1195" s="18">
        <v>42247.73804398148</v>
      </c>
      <c r="Q1195" s="1" t="s">
        <v>1194</v>
      </c>
      <c r="R1195" s="1" t="s">
        <v>5759</v>
      </c>
      <c r="S1195" s="13" t="s">
        <v>5760</v>
      </c>
      <c r="T1195" s="14"/>
      <c r="U1195" s="19" t="str">
        <f>HYPERLINK("https://pbs.twimg.com/profile_images/1076757333886361600/Udz0MEqn.jpg","View")</f>
        <v>View</v>
      </c>
      <c r="V1195" s="14"/>
      <c r="W1195" s="14"/>
      <c r="X1195" s="14"/>
      <c r="Y1195" s="14"/>
      <c r="Z1195" s="14"/>
    </row>
    <row r="1196">
      <c r="A1196" s="11">
        <v>43846.16190972222</v>
      </c>
      <c r="B1196" s="12" t="str">
        <f>HYPERLINK("https://twitter.com/niharikaverma95","@niharikaverma95")</f>
        <v>@niharikaverma95</v>
      </c>
      <c r="C1196" s="1" t="s">
        <v>888</v>
      </c>
      <c r="D1196" s="1" t="s">
        <v>5761</v>
      </c>
      <c r="E1196" s="12" t="str">
        <f>HYPERLINK("https://twitter.com/niharikaverma95/status/1217731505511960576","1217731505511960576")</f>
        <v>1217731505511960576</v>
      </c>
      <c r="F1196" s="13" t="s">
        <v>5762</v>
      </c>
      <c r="G1196" s="14"/>
      <c r="H1196" s="14"/>
      <c r="I1196" s="15">
        <v>0.0</v>
      </c>
      <c r="J1196" s="15">
        <v>0.0</v>
      </c>
      <c r="K1196" s="12" t="str">
        <f>HYPERLINK("http://twitter.com","Twitter Web Client")</f>
        <v>Twitter Web Client</v>
      </c>
      <c r="L1196" s="16">
        <v>847.0</v>
      </c>
      <c r="M1196" s="16">
        <v>142.0</v>
      </c>
      <c r="N1196" s="16">
        <v>61.0</v>
      </c>
      <c r="O1196" s="17"/>
      <c r="P1196" s="18">
        <v>42542.06670138889</v>
      </c>
      <c r="Q1196" s="1" t="s">
        <v>891</v>
      </c>
      <c r="R1196" s="1" t="s">
        <v>892</v>
      </c>
      <c r="S1196" s="13" t="s">
        <v>893</v>
      </c>
      <c r="T1196" s="14"/>
      <c r="U1196" s="19" t="str">
        <f>HYPERLINK("https://pbs.twimg.com/profile_images/1218631112752160768/smL-X6Vx.jpg","View")</f>
        <v>View</v>
      </c>
      <c r="V1196" s="14"/>
      <c r="W1196" s="14"/>
      <c r="X1196" s="14"/>
      <c r="Y1196" s="14"/>
      <c r="Z1196" s="14"/>
    </row>
    <row r="1197">
      <c r="A1197" s="11">
        <v>43846.158541666664</v>
      </c>
      <c r="B1197" s="12" t="str">
        <f>HYPERLINK("https://twitter.com/IncomeRoute","@IncomeRoute")</f>
        <v>@IncomeRoute</v>
      </c>
      <c r="C1197" s="1" t="s">
        <v>5763</v>
      </c>
      <c r="D1197" s="1" t="s">
        <v>1427</v>
      </c>
      <c r="E1197" s="12" t="str">
        <f>HYPERLINK("https://twitter.com/IncomeRoute/status/1217730284231233537","1217730284231233537")</f>
        <v>1217730284231233537</v>
      </c>
      <c r="F1197" s="13" t="s">
        <v>1428</v>
      </c>
      <c r="G1197" s="13" t="s">
        <v>5764</v>
      </c>
      <c r="H1197" s="14"/>
      <c r="I1197" s="15">
        <v>0.0</v>
      </c>
      <c r="J1197" s="15">
        <v>0.0</v>
      </c>
      <c r="K1197" s="12" t="str">
        <f>HYPERLINK("https://www.socialjukebox.com","The Social Jukebox")</f>
        <v>The Social Jukebox</v>
      </c>
      <c r="L1197" s="16">
        <v>652.0</v>
      </c>
      <c r="M1197" s="16">
        <v>2570.0</v>
      </c>
      <c r="N1197" s="16">
        <v>8.0</v>
      </c>
      <c r="O1197" s="17"/>
      <c r="P1197" s="18">
        <v>40764.78619212963</v>
      </c>
      <c r="Q1197" s="1" t="s">
        <v>5765</v>
      </c>
      <c r="R1197" s="1" t="s">
        <v>5766</v>
      </c>
      <c r="S1197" s="13" t="s">
        <v>5767</v>
      </c>
      <c r="T1197" s="14"/>
      <c r="U1197" s="19" t="str">
        <f>HYPERLINK("https://pbs.twimg.com/profile_images/1215053368370003970/m2uEHDtP.jpg","View")</f>
        <v>View</v>
      </c>
      <c r="V1197" s="14"/>
      <c r="W1197" s="14"/>
      <c r="X1197" s="14"/>
      <c r="Y1197" s="14"/>
      <c r="Z1197" s="14"/>
    </row>
    <row r="1198">
      <c r="A1198" s="11">
        <v>43846.15840277778</v>
      </c>
      <c r="B1198" s="12" t="str">
        <f>HYPERLINK("https://twitter.com/ThingsAboutGod","@ThingsAboutGod")</f>
        <v>@ThingsAboutGod</v>
      </c>
      <c r="C1198" s="1" t="s">
        <v>5694</v>
      </c>
      <c r="D1198" s="1" t="s">
        <v>5768</v>
      </c>
      <c r="E1198" s="12" t="str">
        <f>HYPERLINK("https://twitter.com/ThingsAboutGod/status/1217730231047467008","1217730231047467008")</f>
        <v>1217730231047467008</v>
      </c>
      <c r="F1198" s="13" t="s">
        <v>5769</v>
      </c>
      <c r="G1198" s="14"/>
      <c r="H1198" s="14"/>
      <c r="I1198" s="15">
        <v>0.0</v>
      </c>
      <c r="J1198" s="15">
        <v>0.0</v>
      </c>
      <c r="K1198" s="12" t="str">
        <f>HYPERLINK("https://www.socialoomph.com","SocialOomph")</f>
        <v>SocialOomph</v>
      </c>
      <c r="L1198" s="16">
        <v>57132.0</v>
      </c>
      <c r="M1198" s="16">
        <v>6241.0</v>
      </c>
      <c r="N1198" s="16">
        <v>646.0</v>
      </c>
      <c r="O1198" s="17"/>
      <c r="P1198" s="18">
        <v>40265.622395833336</v>
      </c>
      <c r="Q1198" s="1" t="s">
        <v>5697</v>
      </c>
      <c r="R1198" s="1" t="s">
        <v>5698</v>
      </c>
      <c r="S1198" s="14"/>
      <c r="T1198" s="14"/>
      <c r="U1198" s="19" t="str">
        <f>HYPERLINK("https://pbs.twimg.com/profile_images/616632092139499521/G5Lmg9Ih.jpg","View")</f>
        <v>View</v>
      </c>
      <c r="V1198" s="14"/>
      <c r="W1198" s="14"/>
      <c r="X1198" s="14"/>
      <c r="Y1198" s="14"/>
      <c r="Z1198" s="14"/>
    </row>
    <row r="1199">
      <c r="A1199" s="11">
        <v>43846.15628472222</v>
      </c>
      <c r="B1199" s="12" t="str">
        <f>HYPERLINK("https://twitter.com/thestressclinic","@thestressclinic")</f>
        <v>@thestressclinic</v>
      </c>
      <c r="C1199" s="1" t="s">
        <v>282</v>
      </c>
      <c r="D1199" s="1" t="s">
        <v>5770</v>
      </c>
      <c r="E1199" s="12" t="str">
        <f>HYPERLINK("https://twitter.com/thestressclinic/status/1217729465276665857","1217729465276665857")</f>
        <v>1217729465276665857</v>
      </c>
      <c r="F1199" s="13" t="s">
        <v>5771</v>
      </c>
      <c r="G1199" s="14"/>
      <c r="H1199" s="14"/>
      <c r="I1199" s="15">
        <v>0.0</v>
      </c>
      <c r="J1199" s="15">
        <v>0.0</v>
      </c>
      <c r="K1199" s="12" t="str">
        <f>HYPERLINK("https://www.hootsuite.com","Hootsuite Inc.")</f>
        <v>Hootsuite Inc.</v>
      </c>
      <c r="L1199" s="16">
        <v>548.0</v>
      </c>
      <c r="M1199" s="16">
        <v>148.0</v>
      </c>
      <c r="N1199" s="16">
        <v>21.0</v>
      </c>
      <c r="O1199" s="17"/>
      <c r="P1199" s="18">
        <v>40837.51666666666</v>
      </c>
      <c r="Q1199" s="1" t="s">
        <v>284</v>
      </c>
      <c r="R1199" s="1" t="s">
        <v>285</v>
      </c>
      <c r="S1199" s="13" t="s">
        <v>286</v>
      </c>
      <c r="T1199" s="14"/>
      <c r="U1199" s="19" t="str">
        <f>HYPERLINK("https://pbs.twimg.com/profile_images/1786841943/RelaxButton.jpg","View")</f>
        <v>View</v>
      </c>
      <c r="V1199" s="14"/>
      <c r="W1199" s="14"/>
      <c r="X1199" s="14"/>
      <c r="Y1199" s="14"/>
      <c r="Z1199" s="14"/>
    </row>
    <row r="1200">
      <c r="A1200" s="11">
        <v>43846.15363425926</v>
      </c>
      <c r="B1200" s="12" t="str">
        <f>HYPERLINK("https://twitter.com/therawrainbow","@therawrainbow")</f>
        <v>@therawrainbow</v>
      </c>
      <c r="C1200" s="1" t="s">
        <v>1365</v>
      </c>
      <c r="D1200" s="1" t="s">
        <v>1366</v>
      </c>
      <c r="E1200" s="12" t="str">
        <f>HYPERLINK("https://twitter.com/therawrainbow/status/1217728505082859520","1217728505082859520")</f>
        <v>1217728505082859520</v>
      </c>
      <c r="F1200" s="13" t="s">
        <v>1367</v>
      </c>
      <c r="G1200" s="13" t="s">
        <v>5772</v>
      </c>
      <c r="H1200" s="14"/>
      <c r="I1200" s="15">
        <v>0.0</v>
      </c>
      <c r="J1200" s="15">
        <v>1.0</v>
      </c>
      <c r="K1200" s="12" t="str">
        <f>HYPERLINK("http://twitter.com/download/iphone","Twitter for iPhone")</f>
        <v>Twitter for iPhone</v>
      </c>
      <c r="L1200" s="16">
        <v>150.0</v>
      </c>
      <c r="M1200" s="16">
        <v>17.0</v>
      </c>
      <c r="N1200" s="16">
        <v>112.0</v>
      </c>
      <c r="O1200" s="17"/>
      <c r="P1200" s="18">
        <v>42219.45300925926</v>
      </c>
      <c r="Q1200" s="1" t="s">
        <v>268</v>
      </c>
      <c r="R1200" s="1" t="s">
        <v>1369</v>
      </c>
      <c r="S1200" s="13" t="s">
        <v>1367</v>
      </c>
      <c r="T1200" s="14"/>
      <c r="U1200" s="19" t="str">
        <f>HYPERLINK("https://pbs.twimg.com/profile_images/628219046991908864/zKJx4dmP.jpg","View")</f>
        <v>View</v>
      </c>
      <c r="V1200" s="14"/>
      <c r="W1200" s="14"/>
      <c r="X1200" s="14"/>
      <c r="Y1200" s="14"/>
      <c r="Z1200" s="14"/>
    </row>
    <row r="1201">
      <c r="A1201" s="11">
        <v>43846.15363425926</v>
      </c>
      <c r="B1201" s="12" t="str">
        <f>HYPERLINK("https://twitter.com/TLLLFoundation","@TLLLFoundation")</f>
        <v>@TLLLFoundation</v>
      </c>
      <c r="C1201" s="1" t="s">
        <v>5773</v>
      </c>
      <c r="D1201" s="1" t="s">
        <v>5774</v>
      </c>
      <c r="E1201" s="12" t="str">
        <f>HYPERLINK("https://twitter.com/TLLLFoundation/status/1217728505066086400","1217728505066086400")</f>
        <v>1217728505066086400</v>
      </c>
      <c r="F1201" s="14"/>
      <c r="G1201" s="13" t="s">
        <v>5775</v>
      </c>
      <c r="H1201" s="14"/>
      <c r="I1201" s="15">
        <v>5.0</v>
      </c>
      <c r="J1201" s="15">
        <v>22.0</v>
      </c>
      <c r="K1201" s="12" t="str">
        <f>HYPERLINK("https://mobile.twitter.com","Twitter Web App")</f>
        <v>Twitter Web App</v>
      </c>
      <c r="L1201" s="16">
        <v>33925.0</v>
      </c>
      <c r="M1201" s="16">
        <v>113.0</v>
      </c>
      <c r="N1201" s="16">
        <v>71.0</v>
      </c>
      <c r="O1201" s="20" t="s">
        <v>38</v>
      </c>
      <c r="P1201" s="18">
        <v>42263.20284722222</v>
      </c>
      <c r="Q1201" s="1" t="s">
        <v>72</v>
      </c>
      <c r="R1201" s="1" t="s">
        <v>5776</v>
      </c>
      <c r="S1201" s="13" t="s">
        <v>5777</v>
      </c>
      <c r="T1201" s="14"/>
      <c r="U1201" s="19" t="str">
        <f>HYPERLINK("https://pbs.twimg.com/profile_images/802120012160843776/Nl02E2v9.jpg","View")</f>
        <v>View</v>
      </c>
      <c r="V1201" s="14"/>
      <c r="W1201" s="14"/>
      <c r="X1201" s="14"/>
      <c r="Y1201" s="14"/>
      <c r="Z1201" s="14"/>
    </row>
    <row r="1202">
      <c r="A1202" s="11">
        <v>43846.15357638889</v>
      </c>
      <c r="B1202" s="12" t="str">
        <f>HYPERLINK("https://twitter.com/Schlogasticbook","@Schlogasticbook")</f>
        <v>@Schlogasticbook</v>
      </c>
      <c r="C1202" s="1" t="s">
        <v>5778</v>
      </c>
      <c r="D1202" s="1" t="s">
        <v>5779</v>
      </c>
      <c r="E1202" s="12" t="str">
        <f>HYPERLINK("https://twitter.com/Schlogasticbook/status/1217728482450370560","1217728482450370560")</f>
        <v>1217728482450370560</v>
      </c>
      <c r="F1202" s="13" t="s">
        <v>5780</v>
      </c>
      <c r="G1202" s="14"/>
      <c r="H1202" s="14"/>
      <c r="I1202" s="15">
        <v>0.0</v>
      </c>
      <c r="J1202" s="15">
        <v>0.0</v>
      </c>
      <c r="K1202" s="12" t="str">
        <f>HYPERLINK("http://instagram.com","Instagram")</f>
        <v>Instagram</v>
      </c>
      <c r="L1202" s="16">
        <v>540.0</v>
      </c>
      <c r="M1202" s="16">
        <v>729.0</v>
      </c>
      <c r="N1202" s="16">
        <v>5.0</v>
      </c>
      <c r="O1202" s="17"/>
      <c r="P1202" s="18">
        <v>43725.92236111111</v>
      </c>
      <c r="Q1202" s="14"/>
      <c r="R1202" s="1" t="s">
        <v>5781</v>
      </c>
      <c r="S1202" s="14"/>
      <c r="T1202" s="14"/>
      <c r="U1202" s="19" t="str">
        <f>HYPERLINK("https://pbs.twimg.com/profile_images/1178783414629126144/8Wgg4NxT.jpg","View")</f>
        <v>View</v>
      </c>
      <c r="V1202" s="14"/>
      <c r="W1202" s="14"/>
      <c r="X1202" s="14"/>
      <c r="Y1202" s="14"/>
      <c r="Z1202" s="14"/>
    </row>
    <row r="1203">
      <c r="A1203" s="11">
        <v>43846.153460648144</v>
      </c>
      <c r="B1203" s="12" t="str">
        <f>HYPERLINK("https://twitter.com/rikidavies1","@rikidavies1")</f>
        <v>@rikidavies1</v>
      </c>
      <c r="C1203" s="1" t="s">
        <v>1372</v>
      </c>
      <c r="D1203" s="1" t="s">
        <v>1366</v>
      </c>
      <c r="E1203" s="12" t="str">
        <f>HYPERLINK("https://twitter.com/rikidavies1/status/1217728441358987264","1217728441358987264")</f>
        <v>1217728441358987264</v>
      </c>
      <c r="F1203" s="13" t="s">
        <v>1373</v>
      </c>
      <c r="G1203" s="13" t="s">
        <v>5782</v>
      </c>
      <c r="H1203" s="14"/>
      <c r="I1203" s="15">
        <v>0.0</v>
      </c>
      <c r="J1203" s="15">
        <v>1.0</v>
      </c>
      <c r="K1203" s="12" t="str">
        <f>HYPERLINK("http://twitter.com/download/iphone","Twitter for iPhone")</f>
        <v>Twitter for iPhone</v>
      </c>
      <c r="L1203" s="16">
        <v>325.0</v>
      </c>
      <c r="M1203" s="16">
        <v>377.0</v>
      </c>
      <c r="N1203" s="16">
        <v>100.0</v>
      </c>
      <c r="O1203" s="17"/>
      <c r="P1203" s="18">
        <v>41072.61628472222</v>
      </c>
      <c r="Q1203" s="1" t="s">
        <v>342</v>
      </c>
      <c r="R1203" s="1" t="s">
        <v>1375</v>
      </c>
      <c r="S1203" s="13" t="s">
        <v>1376</v>
      </c>
      <c r="T1203" s="14"/>
      <c r="U1203" s="19" t="str">
        <f>HYPERLINK("https://pbs.twimg.com/profile_images/2302574368/b6tu6ogl3vs4m4f75y4o.png","View")</f>
        <v>View</v>
      </c>
      <c r="V1203" s="14"/>
      <c r="W1203" s="14"/>
      <c r="X1203" s="14"/>
      <c r="Y1203" s="14"/>
      <c r="Z1203" s="14"/>
    </row>
    <row r="1204">
      <c r="A1204" s="11">
        <v>43846.14408564815</v>
      </c>
      <c r="B1204" s="12" t="str">
        <f>HYPERLINK("https://twitter.com/fawcett_karina","@fawcett_karina")</f>
        <v>@fawcett_karina</v>
      </c>
      <c r="C1204" s="1" t="s">
        <v>5783</v>
      </c>
      <c r="D1204" s="1" t="s">
        <v>5784</v>
      </c>
      <c r="E1204" s="12" t="str">
        <f>HYPERLINK("https://twitter.com/fawcett_karina/status/1217725046036234240","1217725046036234240")</f>
        <v>1217725046036234240</v>
      </c>
      <c r="F1204" s="14"/>
      <c r="G1204" s="13" t="s">
        <v>5785</v>
      </c>
      <c r="H1204" s="14"/>
      <c r="I1204" s="15">
        <v>0.0</v>
      </c>
      <c r="J1204" s="15">
        <v>0.0</v>
      </c>
      <c r="K1204" s="12" t="str">
        <f t="shared" ref="K1204:K1205" si="123">HYPERLINK("http://twitter.com/download/android","Twitter for Android")</f>
        <v>Twitter for Android</v>
      </c>
      <c r="L1204" s="16">
        <v>46.0</v>
      </c>
      <c r="M1204" s="16">
        <v>99.0</v>
      </c>
      <c r="N1204" s="16">
        <v>0.0</v>
      </c>
      <c r="O1204" s="17"/>
      <c r="P1204" s="18">
        <v>43729.61231481482</v>
      </c>
      <c r="Q1204" s="1" t="s">
        <v>5786</v>
      </c>
      <c r="R1204" s="1" t="s">
        <v>5787</v>
      </c>
      <c r="S1204" s="13" t="s">
        <v>5788</v>
      </c>
      <c r="T1204" s="14"/>
      <c r="U1204" s="19" t="str">
        <f>HYPERLINK("https://pbs.twimg.com/profile_images/1175486072182202369/kij4TwE0.jpg","View")</f>
        <v>View</v>
      </c>
      <c r="V1204" s="14"/>
      <c r="W1204" s="14"/>
      <c r="X1204" s="14"/>
      <c r="Y1204" s="14"/>
      <c r="Z1204" s="14"/>
    </row>
    <row r="1205">
      <c r="A1205" s="11">
        <v>43846.13420138889</v>
      </c>
      <c r="B1205" s="12" t="str">
        <f>HYPERLINK("https://twitter.com/Mimiengblog2","@Mimiengblog2")</f>
        <v>@Mimiengblog2</v>
      </c>
      <c r="C1205" s="1" t="s">
        <v>5789</v>
      </c>
      <c r="D1205" s="1" t="s">
        <v>5790</v>
      </c>
      <c r="E1205" s="12" t="str">
        <f>HYPERLINK("https://twitter.com/Mimiengblog2/status/1217721462158778368","1217721462158778368")</f>
        <v>1217721462158778368</v>
      </c>
      <c r="F1205" s="14"/>
      <c r="G1205" s="14"/>
      <c r="H1205" s="14"/>
      <c r="I1205" s="15">
        <v>4.0</v>
      </c>
      <c r="J1205" s="15">
        <v>16.0</v>
      </c>
      <c r="K1205" s="12" t="str">
        <f t="shared" si="123"/>
        <v>Twitter for Android</v>
      </c>
      <c r="L1205" s="16">
        <v>1750.0</v>
      </c>
      <c r="M1205" s="16">
        <v>1770.0</v>
      </c>
      <c r="N1205" s="16">
        <v>1.0</v>
      </c>
      <c r="O1205" s="17"/>
      <c r="P1205" s="18">
        <v>43827.74565972222</v>
      </c>
      <c r="Q1205" s="1" t="s">
        <v>5791</v>
      </c>
      <c r="R1205" s="1" t="s">
        <v>5792</v>
      </c>
      <c r="S1205" s="13" t="s">
        <v>5793</v>
      </c>
      <c r="T1205" s="14"/>
      <c r="U1205" s="19" t="str">
        <f>HYPERLINK("https://pbs.twimg.com/profile_images/1218409889825009665/0Vo1kzAK.jpg","View")</f>
        <v>View</v>
      </c>
      <c r="V1205" s="14"/>
      <c r="W1205" s="14"/>
      <c r="X1205" s="14"/>
      <c r="Y1205" s="14"/>
      <c r="Z1205" s="14"/>
    </row>
    <row r="1206">
      <c r="A1206" s="11">
        <v>43846.129849537036</v>
      </c>
      <c r="B1206" s="12" t="str">
        <f>HYPERLINK("https://twitter.com/faithnicolleee","@faithnicolleee")</f>
        <v>@faithnicolleee</v>
      </c>
      <c r="C1206" s="1" t="s">
        <v>5794</v>
      </c>
      <c r="D1206" s="1" t="s">
        <v>5795</v>
      </c>
      <c r="E1206" s="12" t="str">
        <f>HYPERLINK("https://twitter.com/faithnicolleee/status/1217719884647297024","1217719884647297024")</f>
        <v>1217719884647297024</v>
      </c>
      <c r="F1206" s="14"/>
      <c r="G1206" s="13" t="s">
        <v>5796</v>
      </c>
      <c r="H1206" s="14"/>
      <c r="I1206" s="15">
        <v>1.0</v>
      </c>
      <c r="J1206" s="15">
        <v>0.0</v>
      </c>
      <c r="K1206" s="12" t="str">
        <f>HYPERLINK("http://twitter.com/download/iphone","Twitter for iPhone")</f>
        <v>Twitter for iPhone</v>
      </c>
      <c r="L1206" s="16">
        <v>6.0</v>
      </c>
      <c r="M1206" s="16">
        <v>118.0</v>
      </c>
      <c r="N1206" s="16">
        <v>0.0</v>
      </c>
      <c r="O1206" s="17"/>
      <c r="P1206" s="18">
        <v>43843.77758101852</v>
      </c>
      <c r="Q1206" s="14"/>
      <c r="R1206" s="1" t="s">
        <v>5797</v>
      </c>
      <c r="S1206" s="14"/>
      <c r="T1206" s="14"/>
      <c r="U1206" s="19" t="str">
        <f>HYPERLINK("https://pbs.twimg.com/profile_images/1216867576661196800/uBi3HPJq.jpg","View")</f>
        <v>View</v>
      </c>
      <c r="V1206" s="14"/>
      <c r="W1206" s="14"/>
      <c r="X1206" s="14"/>
      <c r="Y1206" s="14"/>
      <c r="Z1206" s="14"/>
    </row>
    <row r="1207">
      <c r="A1207" s="11">
        <v>43846.129525462966</v>
      </c>
      <c r="B1207" s="12" t="str">
        <f>HYPERLINK("https://twitter.com/parent_phd","@parent_phd")</f>
        <v>@parent_phd</v>
      </c>
      <c r="C1207" s="1" t="s">
        <v>5798</v>
      </c>
      <c r="D1207" s="1" t="s">
        <v>5799</v>
      </c>
      <c r="E1207" s="12" t="str">
        <f>HYPERLINK("https://twitter.com/parent_phd/status/1217719766896586752","1217719766896586752")</f>
        <v>1217719766896586752</v>
      </c>
      <c r="F1207" s="14"/>
      <c r="G1207" s="14"/>
      <c r="H1207" s="14"/>
      <c r="I1207" s="15">
        <v>7.0</v>
      </c>
      <c r="J1207" s="15">
        <v>10.0</v>
      </c>
      <c r="K1207" s="12" t="str">
        <f>HYPERLINK("http://twitter.com/#!/download/ipad","Twitter for iPad")</f>
        <v>Twitter for iPad</v>
      </c>
      <c r="L1207" s="16">
        <v>2050.0</v>
      </c>
      <c r="M1207" s="16">
        <v>224.0</v>
      </c>
      <c r="N1207" s="16">
        <v>6.0</v>
      </c>
      <c r="O1207" s="17"/>
      <c r="P1207" s="18">
        <v>43715.672743055555</v>
      </c>
      <c r="Q1207" s="1" t="s">
        <v>864</v>
      </c>
      <c r="R1207" s="1" t="s">
        <v>5800</v>
      </c>
      <c r="S1207" s="13" t="s">
        <v>5801</v>
      </c>
      <c r="T1207" s="14"/>
      <c r="U1207" s="19" t="str">
        <f>HYPERLINK("https://pbs.twimg.com/profile_images/1195804587778854917/8cTY5LMn.jpg","View")</f>
        <v>View</v>
      </c>
      <c r="V1207" s="14"/>
      <c r="W1207" s="14"/>
      <c r="X1207" s="14"/>
      <c r="Y1207" s="14"/>
      <c r="Z1207" s="14"/>
    </row>
    <row r="1208">
      <c r="A1208" s="11">
        <v>43846.12578703703</v>
      </c>
      <c r="B1208" s="12" t="str">
        <f>HYPERLINK("https://twitter.com/WisdomQuotesMM","@WisdomQuotesMM")</f>
        <v>@WisdomQuotesMM</v>
      </c>
      <c r="C1208" s="1" t="s">
        <v>844</v>
      </c>
      <c r="D1208" s="1" t="s">
        <v>5802</v>
      </c>
      <c r="E1208" s="12" t="str">
        <f>HYPERLINK("https://twitter.com/WisdomQuotesMM/status/1217718414346805248","1217718414346805248")</f>
        <v>1217718414346805248</v>
      </c>
      <c r="F1208" s="1" t="s">
        <v>846</v>
      </c>
      <c r="G1208" s="14"/>
      <c r="H1208" s="14"/>
      <c r="I1208" s="15">
        <v>6.0</v>
      </c>
      <c r="J1208" s="15">
        <v>14.0</v>
      </c>
      <c r="K1208" s="12" t="str">
        <f>HYPERLINK("https://metricool.com","Metricool")</f>
        <v>Metricool</v>
      </c>
      <c r="L1208" s="16">
        <v>483.0</v>
      </c>
      <c r="M1208" s="16">
        <v>31.0</v>
      </c>
      <c r="N1208" s="16">
        <v>2.0</v>
      </c>
      <c r="O1208" s="17"/>
      <c r="P1208" s="18">
        <v>43792.50886574074</v>
      </c>
      <c r="Q1208" s="1" t="s">
        <v>847</v>
      </c>
      <c r="R1208" s="1" t="s">
        <v>848</v>
      </c>
      <c r="S1208" s="13" t="s">
        <v>849</v>
      </c>
      <c r="T1208" s="14"/>
      <c r="U1208" s="19" t="str">
        <f>HYPERLINK("https://pbs.twimg.com/profile_images/1198288436349865985/D_x9O0Np.jpg","View")</f>
        <v>View</v>
      </c>
      <c r="V1208" s="14"/>
      <c r="W1208" s="14"/>
      <c r="X1208" s="14"/>
      <c r="Y1208" s="14"/>
      <c r="Z1208" s="14"/>
    </row>
    <row r="1209">
      <c r="A1209" s="11">
        <v>43846.12560185185</v>
      </c>
      <c r="B1209" s="12" t="str">
        <f>HYPERLINK("https://twitter.com/CSCollegeOrg","@CSCollegeOrg")</f>
        <v>@CSCollegeOrg</v>
      </c>
      <c r="C1209" s="1" t="s">
        <v>5371</v>
      </c>
      <c r="D1209" s="1" t="s">
        <v>5803</v>
      </c>
      <c r="E1209" s="12" t="str">
        <f>HYPERLINK("https://twitter.com/CSCollegeOrg/status/1217718346101198848","1217718346101198848")</f>
        <v>1217718346101198848</v>
      </c>
      <c r="F1209" s="13" t="s">
        <v>5804</v>
      </c>
      <c r="G1209" s="13" t="s">
        <v>5805</v>
      </c>
      <c r="H1209" s="14"/>
      <c r="I1209" s="15">
        <v>0.0</v>
      </c>
      <c r="J1209" s="15">
        <v>0.0</v>
      </c>
      <c r="K1209" s="12" t="str">
        <f>HYPERLINK("https://www.hootsuite.com","Hootsuite Inc.")</f>
        <v>Hootsuite Inc.</v>
      </c>
      <c r="L1209" s="16">
        <v>383.0</v>
      </c>
      <c r="M1209" s="16">
        <v>252.0</v>
      </c>
      <c r="N1209" s="16">
        <v>7.0</v>
      </c>
      <c r="O1209" s="17"/>
      <c r="P1209" s="18">
        <v>42965.34185185185</v>
      </c>
      <c r="Q1209" s="1" t="s">
        <v>5374</v>
      </c>
      <c r="R1209" s="1" t="s">
        <v>5375</v>
      </c>
      <c r="S1209" s="13" t="s">
        <v>5376</v>
      </c>
      <c r="T1209" s="14"/>
      <c r="U1209" s="19" t="str">
        <f>HYPERLINK("https://pbs.twimg.com/profile_images/1146797862153609219/2iT-E6ze.png","View")</f>
        <v>View</v>
      </c>
      <c r="V1209" s="14"/>
      <c r="W1209" s="14"/>
      <c r="X1209" s="14"/>
      <c r="Y1209" s="14"/>
      <c r="Z1209" s="14"/>
    </row>
    <row r="1210">
      <c r="A1210" s="11">
        <v>43846.12513888889</v>
      </c>
      <c r="B1210" s="12" t="str">
        <f>HYPERLINK("https://twitter.com/NCCEducation","@NCCEducation")</f>
        <v>@NCCEducation</v>
      </c>
      <c r="C1210" s="1" t="s">
        <v>5806</v>
      </c>
      <c r="D1210" s="1" t="s">
        <v>5807</v>
      </c>
      <c r="E1210" s="12" t="str">
        <f>HYPERLINK("https://twitter.com/NCCEducation/status/1217718176638734336","1217718176638734336")</f>
        <v>1217718176638734336</v>
      </c>
      <c r="F1210" s="13" t="s">
        <v>5808</v>
      </c>
      <c r="G1210" s="13" t="s">
        <v>5809</v>
      </c>
      <c r="H1210" s="14"/>
      <c r="I1210" s="15">
        <v>0.0</v>
      </c>
      <c r="J1210" s="15">
        <v>1.0</v>
      </c>
      <c r="K1210" s="12" t="str">
        <f>HYPERLINK("https://buffer.com","Buffer")</f>
        <v>Buffer</v>
      </c>
      <c r="L1210" s="16">
        <v>2441.0</v>
      </c>
      <c r="M1210" s="16">
        <v>3787.0</v>
      </c>
      <c r="N1210" s="16">
        <v>26.0</v>
      </c>
      <c r="O1210" s="17"/>
      <c r="P1210" s="18">
        <v>40133.22702546296</v>
      </c>
      <c r="Q1210" s="1" t="s">
        <v>5810</v>
      </c>
      <c r="R1210" s="1" t="s">
        <v>5811</v>
      </c>
      <c r="S1210" s="13" t="s">
        <v>5812</v>
      </c>
      <c r="T1210" s="14"/>
      <c r="U1210" s="19" t="str">
        <f>HYPERLINK("https://pbs.twimg.com/profile_images/969537116408569856/qg3cdF37.jpg","View")</f>
        <v>View</v>
      </c>
      <c r="V1210" s="14"/>
      <c r="W1210" s="14"/>
      <c r="X1210" s="14"/>
      <c r="Y1210" s="14"/>
      <c r="Z1210" s="14"/>
    </row>
    <row r="1211">
      <c r="A1211" s="11">
        <v>43846.1209375</v>
      </c>
      <c r="B1211" s="12" t="str">
        <f>HYPERLINK("https://twitter.com/annareflexology","@annareflexology")</f>
        <v>@annareflexology</v>
      </c>
      <c r="C1211" s="1" t="s">
        <v>5813</v>
      </c>
      <c r="D1211" s="1" t="s">
        <v>5814</v>
      </c>
      <c r="E1211" s="12" t="str">
        <f>HYPERLINK("https://twitter.com/annareflexology/status/1217716657063452672","1217716657063452672")</f>
        <v>1217716657063452672</v>
      </c>
      <c r="F1211" s="14"/>
      <c r="G1211" s="13" t="s">
        <v>5815</v>
      </c>
      <c r="H1211" s="14"/>
      <c r="I1211" s="15">
        <v>6.0</v>
      </c>
      <c r="J1211" s="15">
        <v>4.0</v>
      </c>
      <c r="K1211" s="12" t="str">
        <f>HYPERLINK("http://twitter.com/download/iphone","Twitter for iPhone")</f>
        <v>Twitter for iPhone</v>
      </c>
      <c r="L1211" s="16">
        <v>163.0</v>
      </c>
      <c r="M1211" s="16">
        <v>618.0</v>
      </c>
      <c r="N1211" s="16">
        <v>1.0</v>
      </c>
      <c r="O1211" s="17"/>
      <c r="P1211" s="18">
        <v>43237.37777777778</v>
      </c>
      <c r="Q1211" s="1" t="s">
        <v>5816</v>
      </c>
      <c r="R1211" s="1" t="s">
        <v>5817</v>
      </c>
      <c r="S1211" s="13" t="s">
        <v>5818</v>
      </c>
      <c r="T1211" s="14"/>
      <c r="U1211" s="19" t="str">
        <f>HYPERLINK("https://pbs.twimg.com/profile_images/1057773271419101185/6_nGCzEC.jpg","View")</f>
        <v>View</v>
      </c>
      <c r="V1211" s="14"/>
      <c r="W1211" s="14"/>
      <c r="X1211" s="14"/>
      <c r="Y1211" s="14"/>
      <c r="Z1211" s="14"/>
    </row>
    <row r="1212">
      <c r="A1212" s="11">
        <v>43846.120092592595</v>
      </c>
      <c r="B1212" s="12" t="str">
        <f>HYPERLINK("https://twitter.com/sostostress","@sostostress")</f>
        <v>@sostostress</v>
      </c>
      <c r="C1212" s="1" t="s">
        <v>1042</v>
      </c>
      <c r="D1212" s="1" t="s">
        <v>1477</v>
      </c>
      <c r="E1212" s="12" t="str">
        <f>HYPERLINK("https://twitter.com/sostostress/status/1217716348152885248","1217716348152885248")</f>
        <v>1217716348152885248</v>
      </c>
      <c r="F1212" s="13" t="s">
        <v>5819</v>
      </c>
      <c r="G1212" s="14"/>
      <c r="H1212" s="14"/>
      <c r="I1212" s="15">
        <v>0.0</v>
      </c>
      <c r="J1212" s="15">
        <v>0.0</v>
      </c>
      <c r="K1212" s="12" t="str">
        <f>HYPERLINK("http://www.podbean.com","Podbean Podcast")</f>
        <v>Podbean Podcast</v>
      </c>
      <c r="L1212" s="16">
        <v>333.0</v>
      </c>
      <c r="M1212" s="16">
        <v>171.0</v>
      </c>
      <c r="N1212" s="16">
        <v>46.0</v>
      </c>
      <c r="O1212" s="17"/>
      <c r="P1212" s="18">
        <v>40529.642071759255</v>
      </c>
      <c r="Q1212" s="1" t="s">
        <v>143</v>
      </c>
      <c r="R1212" s="1" t="s">
        <v>1046</v>
      </c>
      <c r="S1212" s="13" t="s">
        <v>1047</v>
      </c>
      <c r="T1212" s="14"/>
      <c r="U1212" s="19" t="str">
        <f>HYPERLINK("https://pbs.twimg.com/profile_images/1192953737/image006_pp_-_2__2_.jpg","View")</f>
        <v>View</v>
      </c>
      <c r="V1212" s="14"/>
      <c r="W1212" s="14"/>
      <c r="X1212" s="14"/>
      <c r="Y1212" s="14"/>
      <c r="Z1212" s="14"/>
    </row>
    <row r="1213">
      <c r="A1213" s="11">
        <v>43846.11458333333</v>
      </c>
      <c r="B1213" s="12" t="str">
        <f>HYPERLINK("https://twitter.com/TrainingMindful","@TrainingMindful")</f>
        <v>@TrainingMindful</v>
      </c>
      <c r="C1213" s="1" t="s">
        <v>94</v>
      </c>
      <c r="D1213" s="1" t="s">
        <v>1048</v>
      </c>
      <c r="E1213" s="12" t="str">
        <f>HYPERLINK("https://twitter.com/TrainingMindful/status/1217714352368898048","1217714352368898048")</f>
        <v>1217714352368898048</v>
      </c>
      <c r="F1213" s="13" t="s">
        <v>1049</v>
      </c>
      <c r="G1213" s="14"/>
      <c r="H1213" s="14"/>
      <c r="I1213" s="15">
        <v>0.0</v>
      </c>
      <c r="J1213" s="15">
        <v>3.0</v>
      </c>
      <c r="K1213" s="12" t="str">
        <f>HYPERLINK("https://www.socialoomph.com","SocialOomph")</f>
        <v>SocialOomph</v>
      </c>
      <c r="L1213" s="16">
        <v>185303.0</v>
      </c>
      <c r="M1213" s="16">
        <v>43980.0</v>
      </c>
      <c r="N1213" s="16">
        <v>2800.0</v>
      </c>
      <c r="O1213" s="17"/>
      <c r="P1213" s="18">
        <v>41286.039305555554</v>
      </c>
      <c r="Q1213" s="1" t="s">
        <v>97</v>
      </c>
      <c r="R1213" s="1" t="s">
        <v>98</v>
      </c>
      <c r="S1213" s="13" t="s">
        <v>99</v>
      </c>
      <c r="T1213" s="14"/>
      <c r="U1213" s="19" t="str">
        <f>HYPERLINK("https://pbs.twimg.com/profile_images/566526924059459584/gdMxDA9x.jpeg","View")</f>
        <v>View</v>
      </c>
      <c r="V1213" s="14"/>
      <c r="W1213" s="14"/>
      <c r="X1213" s="14"/>
      <c r="Y1213" s="14"/>
      <c r="Z1213" s="14"/>
    </row>
    <row r="1214">
      <c r="A1214" s="11">
        <v>43846.11113425926</v>
      </c>
      <c r="B1214" s="12" t="str">
        <f>HYPERLINK("https://twitter.com/FUSIONspaces","@FUSIONspaces")</f>
        <v>@FUSIONspaces</v>
      </c>
      <c r="C1214" s="1" t="s">
        <v>3236</v>
      </c>
      <c r="D1214" s="1" t="s">
        <v>5820</v>
      </c>
      <c r="E1214" s="12" t="str">
        <f>HYPERLINK("https://twitter.com/FUSIONspaces/status/1217713102940262401","1217713102940262401")</f>
        <v>1217713102940262401</v>
      </c>
      <c r="F1214" s="13" t="s">
        <v>5821</v>
      </c>
      <c r="G1214" s="14"/>
      <c r="H1214" s="14"/>
      <c r="I1214" s="15">
        <v>2.0</v>
      </c>
      <c r="J1214" s="15">
        <v>3.0</v>
      </c>
      <c r="K1214" s="12" t="str">
        <f>HYPERLINK("https://www.hootsuite.com","Hootsuite Inc.")</f>
        <v>Hootsuite Inc.</v>
      </c>
      <c r="L1214" s="16">
        <v>472.0</v>
      </c>
      <c r="M1214" s="16">
        <v>955.0</v>
      </c>
      <c r="N1214" s="16">
        <v>32.0</v>
      </c>
      <c r="O1214" s="17"/>
      <c r="P1214" s="18">
        <v>42329.19001157407</v>
      </c>
      <c r="Q1214" s="1" t="s">
        <v>3239</v>
      </c>
      <c r="R1214" s="1" t="s">
        <v>3240</v>
      </c>
      <c r="S1214" s="13" t="s">
        <v>3241</v>
      </c>
      <c r="T1214" s="14"/>
      <c r="U1214" s="19" t="str">
        <f>HYPERLINK("https://pbs.twimg.com/profile_images/691304209321451521/ecW_wCpH.jpg","View")</f>
        <v>View</v>
      </c>
      <c r="V1214" s="14"/>
      <c r="W1214" s="14"/>
      <c r="X1214" s="14"/>
      <c r="Y1214" s="14"/>
      <c r="Z1214" s="14"/>
    </row>
    <row r="1215">
      <c r="A1215" s="11">
        <v>43846.11006944445</v>
      </c>
      <c r="B1215" s="12" t="str">
        <f>HYPERLINK("https://twitter.com/hearthandmadeuk","@hearthandmadeuk")</f>
        <v>@hearthandmadeuk</v>
      </c>
      <c r="C1215" s="1" t="s">
        <v>894</v>
      </c>
      <c r="D1215" s="1" t="s">
        <v>5822</v>
      </c>
      <c r="E1215" s="12" t="str">
        <f>HYPERLINK("https://twitter.com/hearthandmadeuk/status/1217712716795785223","1217712716795785223")</f>
        <v>1217712716795785223</v>
      </c>
      <c r="F1215" s="13" t="s">
        <v>896</v>
      </c>
      <c r="G1215" s="13" t="s">
        <v>5823</v>
      </c>
      <c r="H1215" s="14"/>
      <c r="I1215" s="15">
        <v>0.0</v>
      </c>
      <c r="J1215" s="15">
        <v>0.0</v>
      </c>
      <c r="K1215" s="12" t="str">
        <f>HYPERLINK("https://missinglettr.com","Missinglettr")</f>
        <v>Missinglettr</v>
      </c>
      <c r="L1215" s="16">
        <v>5257.0</v>
      </c>
      <c r="M1215" s="16">
        <v>1163.0</v>
      </c>
      <c r="N1215" s="16">
        <v>166.0</v>
      </c>
      <c r="O1215" s="17"/>
      <c r="P1215" s="18">
        <v>40246.384247685186</v>
      </c>
      <c r="Q1215" s="1" t="s">
        <v>898</v>
      </c>
      <c r="R1215" s="1" t="s">
        <v>899</v>
      </c>
      <c r="S1215" s="13" t="s">
        <v>900</v>
      </c>
      <c r="T1215" s="14"/>
      <c r="U1215" s="19" t="str">
        <f>HYPERLINK("https://pbs.twimg.com/profile_images/1096057274760683521/Bog751sc.png","View")</f>
        <v>View</v>
      </c>
      <c r="V1215" s="14"/>
      <c r="W1215" s="14"/>
      <c r="X1215" s="14"/>
      <c r="Y1215" s="14"/>
      <c r="Z1215" s="14"/>
    </row>
    <row r="1216">
      <c r="A1216" s="11">
        <v>43846.10439814815</v>
      </c>
      <c r="B1216" s="12" t="str">
        <f>HYPERLINK("https://twitter.com/HavishamH","@HavishamH")</f>
        <v>@HavishamH</v>
      </c>
      <c r="C1216" s="1" t="s">
        <v>5824</v>
      </c>
      <c r="D1216" s="1" t="s">
        <v>5825</v>
      </c>
      <c r="E1216" s="12" t="str">
        <f>HYPERLINK("https://twitter.com/HavishamH/status/1217710660202745857","1217710660202745857")</f>
        <v>1217710660202745857</v>
      </c>
      <c r="F1216" s="14"/>
      <c r="G1216" s="13" t="s">
        <v>5826</v>
      </c>
      <c r="H1216" s="14"/>
      <c r="I1216" s="15">
        <v>1.0</v>
      </c>
      <c r="J1216" s="15">
        <v>0.0</v>
      </c>
      <c r="K1216" s="12" t="str">
        <f>HYPERLINK("https://www.hootsuite.com","Hootsuite Inc.")</f>
        <v>Hootsuite Inc.</v>
      </c>
      <c r="L1216" s="16">
        <v>42.0</v>
      </c>
      <c r="M1216" s="16">
        <v>118.0</v>
      </c>
      <c r="N1216" s="16">
        <v>0.0</v>
      </c>
      <c r="O1216" s="17"/>
      <c r="P1216" s="18">
        <v>43308.577106481476</v>
      </c>
      <c r="Q1216" s="1" t="s">
        <v>3389</v>
      </c>
      <c r="R1216" s="1" t="s">
        <v>5827</v>
      </c>
      <c r="S1216" s="13" t="s">
        <v>5828</v>
      </c>
      <c r="T1216" s="14"/>
      <c r="U1216" s="19" t="str">
        <f>HYPERLINK("https://pbs.twimg.com/profile_images/1078435641426432000/SQNGTEmY.jpg","View")</f>
        <v>View</v>
      </c>
      <c r="V1216" s="14"/>
      <c r="W1216" s="14"/>
      <c r="X1216" s="14"/>
      <c r="Y1216" s="14"/>
      <c r="Z1216" s="14"/>
    </row>
    <row r="1217">
      <c r="A1217" s="11">
        <v>43846.095625</v>
      </c>
      <c r="B1217" s="12" t="str">
        <f>HYPERLINK("https://twitter.com/IngridRegenass","@IngridRegenass")</f>
        <v>@IngridRegenass</v>
      </c>
      <c r="C1217" s="1" t="s">
        <v>5829</v>
      </c>
      <c r="D1217" s="1" t="s">
        <v>5830</v>
      </c>
      <c r="E1217" s="12" t="str">
        <f>HYPERLINK("https://twitter.com/IngridRegenass/status/1217707483675996160","1217707483675996160")</f>
        <v>1217707483675996160</v>
      </c>
      <c r="F1217" s="14"/>
      <c r="G1217" s="13" t="s">
        <v>5831</v>
      </c>
      <c r="H1217" s="14"/>
      <c r="I1217" s="15">
        <v>0.0</v>
      </c>
      <c r="J1217" s="15">
        <v>0.0</v>
      </c>
      <c r="K1217" s="12" t="str">
        <f>HYPERLINK("https://mobile.twitter.com","Twitter Web App")</f>
        <v>Twitter Web App</v>
      </c>
      <c r="L1217" s="16">
        <v>148.0</v>
      </c>
      <c r="M1217" s="16">
        <v>366.0</v>
      </c>
      <c r="N1217" s="16">
        <v>8.0</v>
      </c>
      <c r="O1217" s="17"/>
      <c r="P1217" s="18">
        <v>42509.724074074074</v>
      </c>
      <c r="Q1217" s="1" t="s">
        <v>1075</v>
      </c>
      <c r="R1217" s="1" t="s">
        <v>5832</v>
      </c>
      <c r="S1217" s="13" t="s">
        <v>5833</v>
      </c>
      <c r="T1217" s="14"/>
      <c r="U1217" s="19" t="str">
        <f>HYPERLINK("https://pbs.twimg.com/profile_images/998888995407843328/xk98evM9.jpg","View")</f>
        <v>View</v>
      </c>
      <c r="V1217" s="14"/>
      <c r="W1217" s="14"/>
      <c r="X1217" s="14"/>
      <c r="Y1217" s="14"/>
      <c r="Z1217" s="14"/>
    </row>
    <row r="1218">
      <c r="A1218" s="11">
        <v>43846.09523148148</v>
      </c>
      <c r="B1218" s="12" t="str">
        <f>HYPERLINK("https://twitter.com/nathanpraed","@nathanpraed")</f>
        <v>@nathanpraed</v>
      </c>
      <c r="C1218" s="1" t="s">
        <v>5834</v>
      </c>
      <c r="D1218" s="1" t="s">
        <v>5835</v>
      </c>
      <c r="E1218" s="12" t="str">
        <f>HYPERLINK("https://twitter.com/nathanpraed/status/1217707338414657536","1217707338414657536")</f>
        <v>1217707338414657536</v>
      </c>
      <c r="F1218" s="13" t="s">
        <v>5836</v>
      </c>
      <c r="G1218" s="14"/>
      <c r="H1218" s="14"/>
      <c r="I1218" s="15">
        <v>0.0</v>
      </c>
      <c r="J1218" s="15">
        <v>1.0</v>
      </c>
      <c r="K1218" s="12" t="str">
        <f>HYPERLINK("https://ifttt.com","IFTTT")</f>
        <v>IFTTT</v>
      </c>
      <c r="L1218" s="16">
        <v>38.0</v>
      </c>
      <c r="M1218" s="16">
        <v>6.0</v>
      </c>
      <c r="N1218" s="16">
        <v>3.0</v>
      </c>
      <c r="O1218" s="17"/>
      <c r="P1218" s="18">
        <v>42265.965</v>
      </c>
      <c r="Q1218" s="14"/>
      <c r="R1218" s="1" t="s">
        <v>5837</v>
      </c>
      <c r="S1218" s="13" t="s">
        <v>5838</v>
      </c>
      <c r="T1218" s="14"/>
      <c r="U1218" s="19" t="str">
        <f>HYPERLINK("https://pbs.twimg.com/profile_images/645072449831350272/iaRfR0UJ.jpg","View")</f>
        <v>View</v>
      </c>
      <c r="V1218" s="14"/>
      <c r="W1218" s="14"/>
      <c r="X1218" s="14"/>
      <c r="Y1218" s="14"/>
      <c r="Z1218" s="14"/>
    </row>
    <row r="1219">
      <c r="A1219" s="11">
        <v>43846.09377314815</v>
      </c>
      <c r="B1219" s="12" t="str">
        <f>HYPERLINK("https://twitter.com/habitswellbeing","@habitswellbeing")</f>
        <v>@habitswellbeing</v>
      </c>
      <c r="C1219" s="1" t="s">
        <v>1654</v>
      </c>
      <c r="D1219" s="1" t="s">
        <v>5839</v>
      </c>
      <c r="E1219" s="12" t="str">
        <f>HYPERLINK("https://twitter.com/habitswellbeing/status/1217706812130168834","1217706812130168834")</f>
        <v>1217706812130168834</v>
      </c>
      <c r="F1219" s="13" t="s">
        <v>5840</v>
      </c>
      <c r="G1219" s="13" t="s">
        <v>5841</v>
      </c>
      <c r="H1219" s="14"/>
      <c r="I1219" s="15">
        <v>1.0</v>
      </c>
      <c r="J1219" s="15">
        <v>1.0</v>
      </c>
      <c r="K1219" s="12" t="str">
        <f>HYPERLINK("https://buffer.com","Buffer")</f>
        <v>Buffer</v>
      </c>
      <c r="L1219" s="16">
        <v>182.0</v>
      </c>
      <c r="M1219" s="16">
        <v>82.0</v>
      </c>
      <c r="N1219" s="16">
        <v>34.0</v>
      </c>
      <c r="O1219" s="17"/>
      <c r="P1219" s="18">
        <v>42106.92797453704</v>
      </c>
      <c r="Q1219" s="1" t="s">
        <v>51</v>
      </c>
      <c r="R1219" s="1" t="s">
        <v>1658</v>
      </c>
      <c r="S1219" s="13" t="s">
        <v>1659</v>
      </c>
      <c r="T1219" s="14"/>
      <c r="U1219" s="19" t="str">
        <f>HYPERLINK("https://pbs.twimg.com/profile_images/587445709403631617/qgbNIiNn.jpg","View")</f>
        <v>View</v>
      </c>
      <c r="V1219" s="14"/>
      <c r="W1219" s="14"/>
      <c r="X1219" s="14"/>
      <c r="Y1219" s="14"/>
      <c r="Z1219" s="14"/>
    </row>
    <row r="1220">
      <c r="A1220" s="11">
        <v>43846.088472222225</v>
      </c>
      <c r="B1220" s="12" t="str">
        <f>HYPERLINK("https://twitter.com/PaulaMeir","@PaulaMeir")</f>
        <v>@PaulaMeir</v>
      </c>
      <c r="C1220" s="1" t="s">
        <v>5842</v>
      </c>
      <c r="D1220" s="1" t="s">
        <v>5843</v>
      </c>
      <c r="E1220" s="12" t="str">
        <f>HYPERLINK("https://twitter.com/PaulaMeir/status/1217704890413342720","1217704890413342720")</f>
        <v>1217704890413342720</v>
      </c>
      <c r="F1220" s="14"/>
      <c r="G1220" s="13" t="s">
        <v>5844</v>
      </c>
      <c r="H1220" s="14"/>
      <c r="I1220" s="15">
        <v>1.0</v>
      </c>
      <c r="J1220" s="15">
        <v>1.0</v>
      </c>
      <c r="K1220" s="12" t="str">
        <f>HYPERLINK("http://twitter.com/download/iphone","Twitter for iPhone")</f>
        <v>Twitter for iPhone</v>
      </c>
      <c r="L1220" s="16">
        <v>10267.0</v>
      </c>
      <c r="M1220" s="16">
        <v>4981.0</v>
      </c>
      <c r="N1220" s="16">
        <v>123.0</v>
      </c>
      <c r="O1220" s="17"/>
      <c r="P1220" s="18">
        <v>39755.26180555556</v>
      </c>
      <c r="Q1220" s="1" t="s">
        <v>5845</v>
      </c>
      <c r="R1220" s="1" t="s">
        <v>5846</v>
      </c>
      <c r="S1220" s="13" t="s">
        <v>5847</v>
      </c>
      <c r="T1220" s="14"/>
      <c r="U1220" s="19" t="str">
        <f>HYPERLINK("https://pbs.twimg.com/profile_images/1115501217893974017/Fpf7exzE.jpg","View")</f>
        <v>View</v>
      </c>
      <c r="V1220" s="14"/>
      <c r="W1220" s="14"/>
      <c r="X1220" s="14"/>
      <c r="Y1220" s="14"/>
      <c r="Z1220" s="14"/>
    </row>
    <row r="1221">
      <c r="A1221" s="11">
        <v>43846.08630787037</v>
      </c>
      <c r="B1221" s="12" t="str">
        <f>HYPERLINK("https://twitter.com/AurelG7","@AurelG7")</f>
        <v>@AurelG7</v>
      </c>
      <c r="C1221" s="1" t="s">
        <v>5848</v>
      </c>
      <c r="D1221" s="1" t="s">
        <v>5849</v>
      </c>
      <c r="E1221" s="12" t="str">
        <f>HYPERLINK("https://twitter.com/AurelG7/status/1217704107429040128","1217704107429040128")</f>
        <v>1217704107429040128</v>
      </c>
      <c r="F1221" s="13" t="s">
        <v>3740</v>
      </c>
      <c r="G1221" s="14"/>
      <c r="H1221" s="14"/>
      <c r="I1221" s="15">
        <v>0.0</v>
      </c>
      <c r="J1221" s="15">
        <v>0.0</v>
      </c>
      <c r="K1221" s="12" t="str">
        <f>HYPERLINK("https://github.com/aurelg/feedspora","feedspora2")</f>
        <v>feedspora2</v>
      </c>
      <c r="L1221" s="16">
        <v>25.0</v>
      </c>
      <c r="M1221" s="16">
        <v>0.0</v>
      </c>
      <c r="N1221" s="16">
        <v>2.0</v>
      </c>
      <c r="O1221" s="17"/>
      <c r="P1221" s="18">
        <v>43432.60765046296</v>
      </c>
      <c r="Q1221" s="14"/>
      <c r="R1221" s="1" t="s">
        <v>5850</v>
      </c>
      <c r="S1221" s="14"/>
      <c r="T1221" s="14"/>
      <c r="U1221" s="19" t="str">
        <f>HYPERLINK("https://pbs.twimg.com/profile_images/1067865359951282176/QAzrvv-w.jpg","View")</f>
        <v>View</v>
      </c>
      <c r="V1221" s="14"/>
      <c r="W1221" s="14"/>
      <c r="X1221" s="14"/>
      <c r="Y1221" s="14"/>
      <c r="Z1221" s="14"/>
    </row>
    <row r="1222">
      <c r="A1222" s="11">
        <v>43846.08560185185</v>
      </c>
      <c r="B1222" s="12" t="str">
        <f>HYPERLINK("https://twitter.com/cherylchapman_","@cherylchapman_")</f>
        <v>@cherylchapman_</v>
      </c>
      <c r="C1222" s="1" t="s">
        <v>5851</v>
      </c>
      <c r="D1222" s="1" t="s">
        <v>5852</v>
      </c>
      <c r="E1222" s="12" t="str">
        <f>HYPERLINK("https://twitter.com/cherylchapman_/status/1217703851173851136","1217703851173851136")</f>
        <v>1217703851173851136</v>
      </c>
      <c r="F1222" s="13" t="s">
        <v>5853</v>
      </c>
      <c r="G1222" s="14"/>
      <c r="H1222" s="14"/>
      <c r="I1222" s="15">
        <v>0.0</v>
      </c>
      <c r="J1222" s="15">
        <v>0.0</v>
      </c>
      <c r="K1222" s="12" t="str">
        <f>HYPERLINK("https://www.socialoomph.com","SocialOomph")</f>
        <v>SocialOomph</v>
      </c>
      <c r="L1222" s="16">
        <v>5178.0</v>
      </c>
      <c r="M1222" s="16">
        <v>4472.0</v>
      </c>
      <c r="N1222" s="16">
        <v>63.0</v>
      </c>
      <c r="O1222" s="17"/>
      <c r="P1222" s="18">
        <v>40991.073969907404</v>
      </c>
      <c r="Q1222" s="1" t="s">
        <v>864</v>
      </c>
      <c r="R1222" s="1" t="s">
        <v>5854</v>
      </c>
      <c r="S1222" s="13" t="s">
        <v>5855</v>
      </c>
      <c r="T1222" s="14"/>
      <c r="U1222" s="19" t="str">
        <f>HYPERLINK("https://pbs.twimg.com/profile_images/1112129470943690752/-mdsL6eS.jpg","View")</f>
        <v>View</v>
      </c>
      <c r="V1222" s="14"/>
      <c r="W1222" s="14"/>
      <c r="X1222" s="14"/>
      <c r="Y1222" s="14"/>
      <c r="Z1222" s="14"/>
    </row>
    <row r="1223">
      <c r="A1223" s="11">
        <v>43846.08387731481</v>
      </c>
      <c r="B1223" s="12" t="str">
        <f>HYPERLINK("https://twitter.com/GeorgeKousouros","@GeorgeKousouros")</f>
        <v>@GeorgeKousouros</v>
      </c>
      <c r="C1223" s="1" t="s">
        <v>5856</v>
      </c>
      <c r="D1223" s="1" t="s">
        <v>5857</v>
      </c>
      <c r="E1223" s="12" t="str">
        <f>HYPERLINK("https://twitter.com/GeorgeKousouros/status/1217703224335093761","1217703224335093761")</f>
        <v>1217703224335093761</v>
      </c>
      <c r="F1223" s="13" t="s">
        <v>5858</v>
      </c>
      <c r="G1223" s="14"/>
      <c r="H1223" s="14"/>
      <c r="I1223" s="15">
        <v>0.0</v>
      </c>
      <c r="J1223" s="15">
        <v>0.0</v>
      </c>
      <c r="K1223" s="12" t="str">
        <f>HYPERLINK("https://www.hootsuite.com","Hootsuite Inc.")</f>
        <v>Hootsuite Inc.</v>
      </c>
      <c r="L1223" s="16">
        <v>663.0</v>
      </c>
      <c r="M1223" s="16">
        <v>566.0</v>
      </c>
      <c r="N1223" s="16">
        <v>28.0</v>
      </c>
      <c r="O1223" s="17"/>
      <c r="P1223" s="18">
        <v>40970.50755787037</v>
      </c>
      <c r="Q1223" s="1" t="s">
        <v>975</v>
      </c>
      <c r="R1223" s="1" t="s">
        <v>5859</v>
      </c>
      <c r="S1223" s="14"/>
      <c r="T1223" s="14"/>
      <c r="U1223" s="19" t="str">
        <f>HYPERLINK("https://pbs.twimg.com/profile_images/1096441085419765760/nP34fpvk.jpg","View")</f>
        <v>View</v>
      </c>
      <c r="V1223" s="14"/>
      <c r="W1223" s="14"/>
      <c r="X1223" s="14"/>
      <c r="Y1223" s="14"/>
      <c r="Z1223" s="14"/>
    </row>
    <row r="1224">
      <c r="A1224" s="11">
        <v>43846.083402777775</v>
      </c>
      <c r="B1224" s="12" t="str">
        <f>HYPERLINK("https://twitter.com/CherylJanecky","@CherylJanecky")</f>
        <v>@CherylJanecky</v>
      </c>
      <c r="C1224" s="1" t="s">
        <v>1773</v>
      </c>
      <c r="D1224" s="1" t="s">
        <v>5860</v>
      </c>
      <c r="E1224" s="12" t="str">
        <f>HYPERLINK("https://twitter.com/CherylJanecky/status/1217703052855169024","1217703052855169024")</f>
        <v>1217703052855169024</v>
      </c>
      <c r="F1224" s="14"/>
      <c r="G1224" s="14"/>
      <c r="H1224" s="14"/>
      <c r="I1224" s="15">
        <v>0.0</v>
      </c>
      <c r="J1224" s="15">
        <v>0.0</v>
      </c>
      <c r="K1224" s="12" t="str">
        <f>HYPERLINK("https://www.socialoomph.com","SocialOomph")</f>
        <v>SocialOomph</v>
      </c>
      <c r="L1224" s="16">
        <v>26291.0</v>
      </c>
      <c r="M1224" s="16">
        <v>30413.0</v>
      </c>
      <c r="N1224" s="16">
        <v>670.0</v>
      </c>
      <c r="O1224" s="17"/>
      <c r="P1224" s="18">
        <v>40232.579247685186</v>
      </c>
      <c r="Q1224" s="1" t="s">
        <v>1776</v>
      </c>
      <c r="R1224" s="1" t="s">
        <v>1777</v>
      </c>
      <c r="S1224" s="13" t="s">
        <v>1778</v>
      </c>
      <c r="T1224" s="14"/>
      <c r="U1224" s="19" t="str">
        <f>HYPERLINK("https://pbs.twimg.com/profile_images/714174290/janecky-80-80.jpg","View")</f>
        <v>View</v>
      </c>
      <c r="V1224" s="14"/>
      <c r="W1224" s="14"/>
      <c r="X1224" s="14"/>
      <c r="Y1224" s="14"/>
      <c r="Z1224" s="14"/>
    </row>
    <row r="1225">
      <c r="A1225" s="11">
        <v>43846.07659722222</v>
      </c>
      <c r="B1225" s="12" t="str">
        <f>HYPERLINK("https://twitter.com/hsb_me","@hsb_me")</f>
        <v>@hsb_me</v>
      </c>
      <c r="C1225" s="1" t="s">
        <v>5861</v>
      </c>
      <c r="D1225" s="1" t="s">
        <v>5862</v>
      </c>
      <c r="E1225" s="12" t="str">
        <f>HYPERLINK("https://twitter.com/hsb_me/status/1217700586243543040","1217700586243543040")</f>
        <v>1217700586243543040</v>
      </c>
      <c r="F1225" s="14"/>
      <c r="G1225" s="14"/>
      <c r="H1225" s="14"/>
      <c r="I1225" s="15">
        <v>0.0</v>
      </c>
      <c r="J1225" s="15">
        <v>0.0</v>
      </c>
      <c r="K1225" s="12" t="str">
        <f t="shared" ref="K1225:K1226" si="124">HYPERLINK("https://mobile.twitter.com","Twitter Web App")</f>
        <v>Twitter Web App</v>
      </c>
      <c r="L1225" s="16">
        <v>380.0</v>
      </c>
      <c r="M1225" s="16">
        <v>51.0</v>
      </c>
      <c r="N1225" s="16">
        <v>39.0</v>
      </c>
      <c r="O1225" s="17"/>
      <c r="P1225" s="18">
        <v>39974.713229166664</v>
      </c>
      <c r="Q1225" s="1" t="s">
        <v>5863</v>
      </c>
      <c r="R1225" s="1" t="s">
        <v>5864</v>
      </c>
      <c r="S1225" s="14"/>
      <c r="T1225" s="14"/>
      <c r="U1225" s="19" t="str">
        <f>HYPERLINK("https://pbs.twimg.com/profile_images/642474405503741952/tAiw8aI_.jpg","View")</f>
        <v>View</v>
      </c>
      <c r="V1225" s="14"/>
      <c r="W1225" s="14"/>
      <c r="X1225" s="14"/>
      <c r="Y1225" s="14"/>
      <c r="Z1225" s="14"/>
    </row>
    <row r="1226">
      <c r="A1226" s="11">
        <v>43846.065509259264</v>
      </c>
      <c r="B1226" s="12" t="str">
        <f>HYPERLINK("https://twitter.com/HIThomasFranke","@HIThomasFranke")</f>
        <v>@HIThomasFranke</v>
      </c>
      <c r="C1226" s="1" t="s">
        <v>5865</v>
      </c>
      <c r="D1226" s="1" t="s">
        <v>5866</v>
      </c>
      <c r="E1226" s="12" t="str">
        <f>HYPERLINK("https://twitter.com/HIThomasFranke/status/1217696569593663488","1217696569593663488")</f>
        <v>1217696569593663488</v>
      </c>
      <c r="F1226" s="14"/>
      <c r="G1226" s="13" t="s">
        <v>5867</v>
      </c>
      <c r="H1226" s="14"/>
      <c r="I1226" s="15">
        <v>0.0</v>
      </c>
      <c r="J1226" s="15">
        <v>0.0</v>
      </c>
      <c r="K1226" s="12" t="str">
        <f t="shared" si="124"/>
        <v>Twitter Web App</v>
      </c>
      <c r="L1226" s="16">
        <v>191.0</v>
      </c>
      <c r="M1226" s="16">
        <v>852.0</v>
      </c>
      <c r="N1226" s="16">
        <v>1.0</v>
      </c>
      <c r="O1226" s="17"/>
      <c r="P1226" s="18">
        <v>43806.37553240741</v>
      </c>
      <c r="Q1226" s="1" t="s">
        <v>5868</v>
      </c>
      <c r="R1226" s="1" t="s">
        <v>5869</v>
      </c>
      <c r="S1226" s="13" t="s">
        <v>5870</v>
      </c>
      <c r="T1226" s="14"/>
      <c r="U1226" s="19" t="str">
        <f>HYPERLINK("https://pbs.twimg.com/profile_images/1205082776082485248/VHsRE4Jx.jpg","View")</f>
        <v>View</v>
      </c>
      <c r="V1226" s="14"/>
      <c r="W1226" s="14"/>
      <c r="X1226" s="14"/>
      <c r="Y1226" s="14"/>
      <c r="Z1226" s="14"/>
    </row>
    <row r="1227">
      <c r="A1227" s="11">
        <v>43846.06181712963</v>
      </c>
      <c r="B1227" s="12" t="str">
        <f>HYPERLINK("https://twitter.com/PublicationsCE","@PublicationsCE")</f>
        <v>@PublicationsCE</v>
      </c>
      <c r="C1227" s="1" t="s">
        <v>5871</v>
      </c>
      <c r="D1227" s="1" t="s">
        <v>5872</v>
      </c>
      <c r="E1227" s="12" t="str">
        <f>HYPERLINK("https://twitter.com/PublicationsCE/status/1217695230599815168","1217695230599815168")</f>
        <v>1217695230599815168</v>
      </c>
      <c r="F1227" s="13" t="s">
        <v>5873</v>
      </c>
      <c r="G1227" s="14"/>
      <c r="H1227" s="14"/>
      <c r="I1227" s="15">
        <v>0.0</v>
      </c>
      <c r="J1227" s="15">
        <v>0.0</v>
      </c>
      <c r="K1227" s="12" t="str">
        <f>HYPERLINK("https://about.twitter.com/products/tweetdeck","TweetDeck")</f>
        <v>TweetDeck</v>
      </c>
      <c r="L1227" s="16">
        <v>48.0</v>
      </c>
      <c r="M1227" s="16">
        <v>26.0</v>
      </c>
      <c r="N1227" s="16">
        <v>1.0</v>
      </c>
      <c r="O1227" s="17"/>
      <c r="P1227" s="18">
        <v>42875.23859953704</v>
      </c>
      <c r="Q1227" s="14"/>
      <c r="R1227" s="1" t="s">
        <v>5874</v>
      </c>
      <c r="S1227" s="14"/>
      <c r="T1227" s="14"/>
      <c r="U1227" s="19" t="str">
        <f>HYPERLINK("https://pbs.twimg.com/profile_images/865947606899404802/GhWaGJlF.jpg","View")</f>
        <v>View</v>
      </c>
      <c r="V1227" s="14"/>
      <c r="W1227" s="14"/>
      <c r="X1227" s="14"/>
      <c r="Y1227" s="14"/>
      <c r="Z1227" s="14"/>
    </row>
    <row r="1228">
      <c r="A1228" s="11">
        <v>43846.05208333333</v>
      </c>
      <c r="B1228" s="12" t="str">
        <f>HYPERLINK("https://twitter.com/TrainingMindful","@TrainingMindful")</f>
        <v>@TrainingMindful</v>
      </c>
      <c r="C1228" s="1" t="s">
        <v>94</v>
      </c>
      <c r="D1228" s="1" t="s">
        <v>5875</v>
      </c>
      <c r="E1228" s="12" t="str">
        <f>HYPERLINK("https://twitter.com/TrainingMindful/status/1217691703123042305","1217691703123042305")</f>
        <v>1217691703123042305</v>
      </c>
      <c r="F1228" s="13" t="s">
        <v>1208</v>
      </c>
      <c r="G1228" s="14"/>
      <c r="H1228" s="14"/>
      <c r="I1228" s="15">
        <v>0.0</v>
      </c>
      <c r="J1228" s="15">
        <v>3.0</v>
      </c>
      <c r="K1228" s="12" t="str">
        <f>HYPERLINK("https://www.socialoomph.com","SocialOomph")</f>
        <v>SocialOomph</v>
      </c>
      <c r="L1228" s="16">
        <v>185303.0</v>
      </c>
      <c r="M1228" s="16">
        <v>43980.0</v>
      </c>
      <c r="N1228" s="16">
        <v>2800.0</v>
      </c>
      <c r="O1228" s="17"/>
      <c r="P1228" s="18">
        <v>41286.039305555554</v>
      </c>
      <c r="Q1228" s="1" t="s">
        <v>97</v>
      </c>
      <c r="R1228" s="1" t="s">
        <v>98</v>
      </c>
      <c r="S1228" s="13" t="s">
        <v>99</v>
      </c>
      <c r="T1228" s="14"/>
      <c r="U1228" s="19" t="str">
        <f>HYPERLINK("https://pbs.twimg.com/profile_images/566526924059459584/gdMxDA9x.jpeg","View")</f>
        <v>View</v>
      </c>
      <c r="V1228" s="14"/>
      <c r="W1228" s="14"/>
      <c r="X1228" s="14"/>
      <c r="Y1228" s="14"/>
      <c r="Z1228" s="14"/>
    </row>
    <row r="1229">
      <c r="A1229" s="11">
        <v>43846.04956018519</v>
      </c>
      <c r="B1229" s="12" t="str">
        <f>HYPERLINK("https://twitter.com/thecrowdview","@thecrowdview")</f>
        <v>@thecrowdview</v>
      </c>
      <c r="C1229" s="1" t="s">
        <v>178</v>
      </c>
      <c r="D1229" s="1" t="s">
        <v>179</v>
      </c>
      <c r="E1229" s="12" t="str">
        <f>HYPERLINK("https://twitter.com/thecrowdview/status/1217690790035460101","1217690790035460101")</f>
        <v>1217690790035460101</v>
      </c>
      <c r="F1229" s="13" t="s">
        <v>180</v>
      </c>
      <c r="G1229" s="14"/>
      <c r="H1229" s="14"/>
      <c r="I1229" s="15">
        <v>0.0</v>
      </c>
      <c r="J1229" s="15">
        <v>0.0</v>
      </c>
      <c r="K1229" s="12" t="str">
        <f>HYPERLINK("http://www.thecrowdview.com","thecrowdview")</f>
        <v>thecrowdview</v>
      </c>
      <c r="L1229" s="16">
        <v>4272.0</v>
      </c>
      <c r="M1229" s="16">
        <v>1051.0</v>
      </c>
      <c r="N1229" s="16">
        <v>126.0</v>
      </c>
      <c r="O1229" s="17"/>
      <c r="P1229" s="18">
        <v>41470.69158564815</v>
      </c>
      <c r="Q1229" s="14"/>
      <c r="R1229" s="1" t="s">
        <v>181</v>
      </c>
      <c r="S1229" s="14"/>
      <c r="T1229" s="14"/>
      <c r="U1229" s="19" t="str">
        <f>HYPERLINK("https://pbs.twimg.com/profile_images/923017387221270529/WH_TgSUD.jpg","View")</f>
        <v>View</v>
      </c>
      <c r="V1229" s="14"/>
      <c r="W1229" s="14"/>
      <c r="X1229" s="14"/>
      <c r="Y1229" s="14"/>
      <c r="Z1229" s="14"/>
    </row>
    <row r="1230">
      <c r="A1230" s="11">
        <v>43846.04923611111</v>
      </c>
      <c r="B1230" s="12" t="str">
        <f>HYPERLINK("https://twitter.com/puffthis_","@puffthis_")</f>
        <v>@puffthis_</v>
      </c>
      <c r="C1230" s="1" t="s">
        <v>5876</v>
      </c>
      <c r="D1230" s="1" t="s">
        <v>5877</v>
      </c>
      <c r="E1230" s="12" t="str">
        <f>HYPERLINK("https://twitter.com/puffthis_/status/1217690671290519553","1217690671290519553")</f>
        <v>1217690671290519553</v>
      </c>
      <c r="F1230" s="14"/>
      <c r="G1230" s="14"/>
      <c r="H1230" s="14"/>
      <c r="I1230" s="15">
        <v>0.0</v>
      </c>
      <c r="J1230" s="15">
        <v>1.0</v>
      </c>
      <c r="K1230" s="12" t="str">
        <f>HYPERLINK("http://twitter.com/download/iphone","Twitter for iPhone")</f>
        <v>Twitter for iPhone</v>
      </c>
      <c r="L1230" s="16">
        <v>295.0</v>
      </c>
      <c r="M1230" s="16">
        <v>130.0</v>
      </c>
      <c r="N1230" s="16">
        <v>8.0</v>
      </c>
      <c r="O1230" s="17"/>
      <c r="P1230" s="18">
        <v>40424.978530092594</v>
      </c>
      <c r="Q1230" s="1" t="s">
        <v>5878</v>
      </c>
      <c r="R1230" s="1" t="s">
        <v>5879</v>
      </c>
      <c r="S1230" s="13" t="s">
        <v>5880</v>
      </c>
      <c r="T1230" s="14"/>
      <c r="U1230" s="19" t="str">
        <f>HYPERLINK("https://pbs.twimg.com/profile_images/629117179959468032/wM7b1Z70.jpg","View")</f>
        <v>View</v>
      </c>
      <c r="V1230" s="14"/>
      <c r="W1230" s="14"/>
      <c r="X1230" s="14"/>
      <c r="Y1230" s="14"/>
      <c r="Z1230" s="14"/>
    </row>
    <row r="1231">
      <c r="A1231" s="11">
        <v>43846.04174768519</v>
      </c>
      <c r="B1231" s="12" t="str">
        <f>HYPERLINK("https://twitter.com/TTBerkshire","@TTBerkshire")</f>
        <v>@TTBerkshire</v>
      </c>
      <c r="C1231" s="1" t="s">
        <v>5377</v>
      </c>
      <c r="D1231" s="1" t="s">
        <v>5881</v>
      </c>
      <c r="E1231" s="12" t="str">
        <f>HYPERLINK("https://twitter.com/TTBerkshire/status/1217687960012849153","1217687960012849153")</f>
        <v>1217687960012849153</v>
      </c>
      <c r="F1231" s="14"/>
      <c r="G1231" s="13" t="s">
        <v>5882</v>
      </c>
      <c r="H1231" s="14"/>
      <c r="I1231" s="15">
        <v>1.0</v>
      </c>
      <c r="J1231" s="15">
        <v>0.0</v>
      </c>
      <c r="K1231" s="12" t="str">
        <f>HYPERLINK("https://orlo.tech","Orlo")</f>
        <v>Orlo</v>
      </c>
      <c r="L1231" s="16">
        <v>1064.0</v>
      </c>
      <c r="M1231" s="16">
        <v>453.0</v>
      </c>
      <c r="N1231" s="16">
        <v>14.0</v>
      </c>
      <c r="O1231" s="17"/>
      <c r="P1231" s="18">
        <v>41768.21959490741</v>
      </c>
      <c r="Q1231" s="1" t="s">
        <v>5381</v>
      </c>
      <c r="R1231" s="1" t="s">
        <v>5382</v>
      </c>
      <c r="S1231" s="13" t="s">
        <v>5383</v>
      </c>
      <c r="T1231" s="14"/>
      <c r="U1231" s="19" t="str">
        <f>HYPERLINK("https://pbs.twimg.com/profile_images/894936860375515136/4zGSlG2B.jpg","View")</f>
        <v>View</v>
      </c>
      <c r="V1231" s="14"/>
      <c r="W1231" s="14"/>
      <c r="X1231" s="14"/>
      <c r="Y1231" s="14"/>
      <c r="Z1231" s="14"/>
    </row>
    <row r="1232">
      <c r="A1232" s="11">
        <v>43846.041608796295</v>
      </c>
      <c r="B1232" s="12" t="str">
        <f>HYPERLINK("https://twitter.com/isrgrajan","@isrgrajan")</f>
        <v>@isrgrajan</v>
      </c>
      <c r="C1232" s="1" t="s">
        <v>146</v>
      </c>
      <c r="D1232" s="1" t="s">
        <v>5883</v>
      </c>
      <c r="E1232" s="12" t="str">
        <f>HYPERLINK("https://twitter.com/isrgrajan/status/1217687906405404672","1217687906405404672")</f>
        <v>1217687906405404672</v>
      </c>
      <c r="F1232" s="13" t="s">
        <v>3786</v>
      </c>
      <c r="G1232" s="13" t="s">
        <v>5884</v>
      </c>
      <c r="H1232" s="14"/>
      <c r="I1232" s="15">
        <v>0.0</v>
      </c>
      <c r="J1232" s="15">
        <v>0.0</v>
      </c>
      <c r="K1232" s="12" t="str">
        <f>HYPERLINK("http://www.isrg.in/","Isrg")</f>
        <v>Isrg</v>
      </c>
      <c r="L1232" s="16">
        <v>3300.0</v>
      </c>
      <c r="M1232" s="16">
        <v>80.0</v>
      </c>
      <c r="N1232" s="16">
        <v>45.0</v>
      </c>
      <c r="O1232" s="17"/>
      <c r="P1232" s="18">
        <v>40108.413819444446</v>
      </c>
      <c r="Q1232" s="1" t="s">
        <v>150</v>
      </c>
      <c r="R1232" s="1" t="s">
        <v>151</v>
      </c>
      <c r="S1232" s="13" t="s">
        <v>152</v>
      </c>
      <c r="T1232" s="14"/>
      <c r="U1232" s="19" t="str">
        <f>HYPERLINK("https://pbs.twimg.com/profile_images/1190988064765743106/FJrzpCN1.jpg","View")</f>
        <v>View</v>
      </c>
      <c r="V1232" s="14"/>
      <c r="W1232" s="14"/>
      <c r="X1232" s="14"/>
      <c r="Y1232" s="14"/>
      <c r="Z1232" s="14"/>
    </row>
    <row r="1233">
      <c r="A1233" s="11">
        <v>43846.0414699074</v>
      </c>
      <c r="B1233" s="12" t="str">
        <f>HYPERLINK("https://twitter.com/SocialAppHub","@SocialAppHub")</f>
        <v>@SocialAppHub</v>
      </c>
      <c r="C1233" s="1" t="s">
        <v>5885</v>
      </c>
      <c r="D1233" s="1" t="s">
        <v>5886</v>
      </c>
      <c r="E1233" s="12" t="str">
        <f>HYPERLINK("https://twitter.com/SocialAppHub/status/1217687856690319362","1217687856690319362")</f>
        <v>1217687856690319362</v>
      </c>
      <c r="F1233" s="13" t="s">
        <v>5887</v>
      </c>
      <c r="G1233" s="13" t="s">
        <v>5888</v>
      </c>
      <c r="H1233" s="14"/>
      <c r="I1233" s="15">
        <v>0.0</v>
      </c>
      <c r="J1233" s="15">
        <v>2.0</v>
      </c>
      <c r="K1233" s="12" t="str">
        <f t="shared" ref="K1233:K1234" si="125">HYPERLINK("https://mobile.twitter.com","Twitter Web App")</f>
        <v>Twitter Web App</v>
      </c>
      <c r="L1233" s="16">
        <v>135.0</v>
      </c>
      <c r="M1233" s="16">
        <v>335.0</v>
      </c>
      <c r="N1233" s="16">
        <v>2.0</v>
      </c>
      <c r="O1233" s="17"/>
      <c r="P1233" s="18">
        <v>42759.305810185186</v>
      </c>
      <c r="Q1233" s="1" t="s">
        <v>5889</v>
      </c>
      <c r="R1233" s="1" t="s">
        <v>5890</v>
      </c>
      <c r="S1233" s="13" t="s">
        <v>5891</v>
      </c>
      <c r="T1233" s="14"/>
      <c r="U1233" s="19" t="str">
        <f>HYPERLINK("https://pbs.twimg.com/profile_images/823868729087954944/EWYewkhc.jpg","View")</f>
        <v>View</v>
      </c>
      <c r="V1233" s="14"/>
      <c r="W1233" s="14"/>
      <c r="X1233" s="14"/>
      <c r="Y1233" s="14"/>
      <c r="Z1233" s="14"/>
    </row>
    <row r="1234">
      <c r="A1234" s="11">
        <v>43846.035682870366</v>
      </c>
      <c r="B1234" s="12" t="str">
        <f>HYPERLINK("https://twitter.com/OrchidSquare","@OrchidSquare")</f>
        <v>@OrchidSquare</v>
      </c>
      <c r="C1234" s="1" t="s">
        <v>5892</v>
      </c>
      <c r="D1234" s="1" t="s">
        <v>5893</v>
      </c>
      <c r="E1234" s="12" t="str">
        <f>HYPERLINK("https://twitter.com/OrchidSquare/status/1217685761413144576","1217685761413144576")</f>
        <v>1217685761413144576</v>
      </c>
      <c r="F1234" s="13" t="s">
        <v>5894</v>
      </c>
      <c r="G1234" s="13" t="s">
        <v>5895</v>
      </c>
      <c r="H1234" s="14"/>
      <c r="I1234" s="15">
        <v>0.0</v>
      </c>
      <c r="J1234" s="15">
        <v>0.0</v>
      </c>
      <c r="K1234" s="12" t="str">
        <f t="shared" si="125"/>
        <v>Twitter Web App</v>
      </c>
      <c r="L1234" s="16">
        <v>38.0</v>
      </c>
      <c r="M1234" s="16">
        <v>55.0</v>
      </c>
      <c r="N1234" s="16">
        <v>0.0</v>
      </c>
      <c r="O1234" s="17"/>
      <c r="P1234" s="18">
        <v>41844.42049768518</v>
      </c>
      <c r="Q1234" s="1" t="s">
        <v>5896</v>
      </c>
      <c r="R1234" s="1" t="s">
        <v>5897</v>
      </c>
      <c r="S1234" s="13" t="s">
        <v>5898</v>
      </c>
      <c r="T1234" s="14"/>
      <c r="U1234" s="19" t="str">
        <f>HYPERLINK("https://pbs.twimg.com/profile_images/848062698084585472/KteWy8NI.jpg","View")</f>
        <v>View</v>
      </c>
      <c r="V1234" s="14"/>
      <c r="W1234" s="14"/>
      <c r="X1234" s="14"/>
      <c r="Y1234" s="14"/>
      <c r="Z1234" s="14"/>
    </row>
    <row r="1235">
      <c r="A1235" s="11">
        <v>43846.031747685185</v>
      </c>
      <c r="B1235" s="12" t="str">
        <f>HYPERLINK("https://twitter.com/Jay_Dee23","@Jay_Dee23")</f>
        <v>@Jay_Dee23</v>
      </c>
      <c r="C1235" s="1" t="s">
        <v>5899</v>
      </c>
      <c r="D1235" s="1" t="s">
        <v>5900</v>
      </c>
      <c r="E1235" s="12" t="str">
        <f>HYPERLINK("https://twitter.com/Jay_Dee23/status/1217684335215681536","1217684335215681536")</f>
        <v>1217684335215681536</v>
      </c>
      <c r="F1235" s="13" t="s">
        <v>5901</v>
      </c>
      <c r="G1235" s="14"/>
      <c r="H1235" s="14"/>
      <c r="I1235" s="15">
        <v>0.0</v>
      </c>
      <c r="J1235" s="15">
        <v>0.0</v>
      </c>
      <c r="K1235" s="12" t="str">
        <f>HYPERLINK("http://instagram.com","Instagram")</f>
        <v>Instagram</v>
      </c>
      <c r="L1235" s="16">
        <v>63.0</v>
      </c>
      <c r="M1235" s="16">
        <v>142.0</v>
      </c>
      <c r="N1235" s="16">
        <v>7.0</v>
      </c>
      <c r="O1235" s="17"/>
      <c r="P1235" s="18">
        <v>39920.778761574074</v>
      </c>
      <c r="Q1235" s="1" t="s">
        <v>1493</v>
      </c>
      <c r="R1235" s="14"/>
      <c r="S1235" s="14"/>
      <c r="T1235" s="14"/>
      <c r="U1235" s="19" t="str">
        <f>HYPERLINK("https://pbs.twimg.com/profile_images/1144542994827116550/bt-Jh1mV.jpg","View")</f>
        <v>View</v>
      </c>
      <c r="V1235" s="14"/>
      <c r="W1235" s="14"/>
      <c r="X1235" s="14"/>
      <c r="Y1235" s="14"/>
      <c r="Z1235" s="14"/>
    </row>
    <row r="1236">
      <c r="A1236" s="11">
        <v>43846.02811342593</v>
      </c>
      <c r="B1236" s="12" t="str">
        <f>HYPERLINK("https://twitter.com/cars_prggnn","@cars_prggnn")</f>
        <v>@cars_prggnn</v>
      </c>
      <c r="C1236" s="1" t="s">
        <v>5902</v>
      </c>
      <c r="D1236" s="1" t="s">
        <v>5903</v>
      </c>
      <c r="E1236" s="12" t="str">
        <f>HYPERLINK("https://twitter.com/cars_prggnn/status/1217683016706707456","1217683016706707456")</f>
        <v>1217683016706707456</v>
      </c>
      <c r="F1236" s="14"/>
      <c r="G1236" s="14"/>
      <c r="H1236" s="14"/>
      <c r="I1236" s="15">
        <v>0.0</v>
      </c>
      <c r="J1236" s="15">
        <v>2.0</v>
      </c>
      <c r="K1236" s="12" t="str">
        <f>HYPERLINK("http://twitter.com/download/android","Twitter for Android")</f>
        <v>Twitter for Android</v>
      </c>
      <c r="L1236" s="16">
        <v>18.0</v>
      </c>
      <c r="M1236" s="16">
        <v>22.0</v>
      </c>
      <c r="N1236" s="16">
        <v>0.0</v>
      </c>
      <c r="O1236" s="17"/>
      <c r="P1236" s="18">
        <v>43645.98327546296</v>
      </c>
      <c r="Q1236" s="14"/>
      <c r="R1236" s="1" t="s">
        <v>5904</v>
      </c>
      <c r="S1236" s="14"/>
      <c r="T1236" s="14"/>
      <c r="U1236" s="19" t="str">
        <f>HYPERLINK("https://pbs.twimg.com/profile_images/1208660241115578369/_nJUQ_AY.jpg","View")</f>
        <v>View</v>
      </c>
      <c r="V1236" s="14"/>
      <c r="W1236" s="14"/>
      <c r="X1236" s="14"/>
      <c r="Y1236" s="14"/>
      <c r="Z1236" s="14"/>
    </row>
    <row r="1237">
      <c r="A1237" s="11">
        <v>43846.02792824074</v>
      </c>
      <c r="B1237" s="12" t="str">
        <f>HYPERLINK("https://twitter.com/monajyoder","@monajyoder")</f>
        <v>@monajyoder</v>
      </c>
      <c r="C1237" s="1" t="s">
        <v>1563</v>
      </c>
      <c r="D1237" s="1" t="s">
        <v>5905</v>
      </c>
      <c r="E1237" s="12" t="str">
        <f>HYPERLINK("https://twitter.com/monajyoder/status/1217682948872380417","1217682948872380417")</f>
        <v>1217682948872380417</v>
      </c>
      <c r="F1237" s="13" t="s">
        <v>1565</v>
      </c>
      <c r="G1237" s="13" t="s">
        <v>5906</v>
      </c>
      <c r="H1237" s="14"/>
      <c r="I1237" s="15">
        <v>0.0</v>
      </c>
      <c r="J1237" s="15">
        <v>0.0</v>
      </c>
      <c r="K1237" s="12" t="str">
        <f>HYPERLINK("https://mobile.twitter.com","Twitter Web App")</f>
        <v>Twitter Web App</v>
      </c>
      <c r="L1237" s="16">
        <v>33.0</v>
      </c>
      <c r="M1237" s="16">
        <v>124.0</v>
      </c>
      <c r="N1237" s="16">
        <v>0.0</v>
      </c>
      <c r="O1237" s="17"/>
      <c r="P1237" s="18">
        <v>43824.99884259259</v>
      </c>
      <c r="Q1237" s="14"/>
      <c r="R1237" s="14"/>
      <c r="S1237" s="14"/>
      <c r="T1237" s="14"/>
      <c r="U1237" s="19" t="str">
        <f>HYPERLINK("https://pbs.twimg.com/profile_images/1214147081998192640/bHZdqlRP.jpg","View")</f>
        <v>View</v>
      </c>
      <c r="V1237" s="14"/>
      <c r="W1237" s="14"/>
      <c r="X1237" s="14"/>
      <c r="Y1237" s="14"/>
      <c r="Z1237" s="14"/>
    </row>
    <row r="1238">
      <c r="A1238" s="11">
        <v>43846.025868055556</v>
      </c>
      <c r="B1238" s="12" t="str">
        <f>HYPERLINK("https://twitter.com/SEHiforeye","@SEHiforeye")</f>
        <v>@SEHiforeye</v>
      </c>
      <c r="C1238" s="1" t="s">
        <v>5907</v>
      </c>
      <c r="D1238" s="1" t="s">
        <v>5908</v>
      </c>
      <c r="E1238" s="12" t="str">
        <f>HYPERLINK("https://twitter.com/SEHiforeye/status/1217682205410906112","1217682205410906112")</f>
        <v>1217682205410906112</v>
      </c>
      <c r="F1238" s="14"/>
      <c r="G1238" s="13" t="s">
        <v>5909</v>
      </c>
      <c r="H1238" s="14"/>
      <c r="I1238" s="15">
        <v>0.0</v>
      </c>
      <c r="J1238" s="15">
        <v>1.0</v>
      </c>
      <c r="K1238" s="12" t="str">
        <f>HYPERLINK("http://twitter.com/download/iphone","Twitter for iPhone")</f>
        <v>Twitter for iPhone</v>
      </c>
      <c r="L1238" s="16">
        <v>477.0</v>
      </c>
      <c r="M1238" s="16">
        <v>50.0</v>
      </c>
      <c r="N1238" s="16">
        <v>0.0</v>
      </c>
      <c r="O1238" s="17"/>
      <c r="P1238" s="18">
        <v>42985.40311342593</v>
      </c>
      <c r="Q1238" s="1" t="s">
        <v>5910</v>
      </c>
      <c r="R1238" s="1" t="s">
        <v>5911</v>
      </c>
      <c r="S1238" s="13" t="s">
        <v>5912</v>
      </c>
      <c r="T1238" s="14"/>
      <c r="U1238" s="19" t="str">
        <f>HYPERLINK("https://pbs.twimg.com/profile_images/993810438059053056/wE-mHyOP.jpg","View")</f>
        <v>View</v>
      </c>
      <c r="V1238" s="14"/>
      <c r="W1238" s="14"/>
      <c r="X1238" s="14"/>
      <c r="Y1238" s="14"/>
      <c r="Z1238" s="14"/>
    </row>
    <row r="1239">
      <c r="A1239" s="11">
        <v>43846.02447916666</v>
      </c>
      <c r="B1239" s="12" t="str">
        <f>HYPERLINK("https://twitter.com/366in2020","@366in2020")</f>
        <v>@366in2020</v>
      </c>
      <c r="C1239" s="1" t="s">
        <v>5913</v>
      </c>
      <c r="D1239" s="1" t="s">
        <v>5914</v>
      </c>
      <c r="E1239" s="12" t="str">
        <f>HYPERLINK("https://twitter.com/366in2020/status/1217681702169890816","1217681702169890816")</f>
        <v>1217681702169890816</v>
      </c>
      <c r="F1239" s="14"/>
      <c r="G1239" s="14"/>
      <c r="H1239" s="14"/>
      <c r="I1239" s="15">
        <v>0.0</v>
      </c>
      <c r="J1239" s="15">
        <v>0.0</v>
      </c>
      <c r="K1239" s="12" t="str">
        <f t="shared" ref="K1239:K1240" si="126">HYPERLINK("http://twitter.com/download/android","Twitter for Android")</f>
        <v>Twitter for Android</v>
      </c>
      <c r="L1239" s="16">
        <v>1.0</v>
      </c>
      <c r="M1239" s="16">
        <v>1.0</v>
      </c>
      <c r="N1239" s="16">
        <v>0.0</v>
      </c>
      <c r="O1239" s="17"/>
      <c r="P1239" s="18">
        <v>43831.2033912037</v>
      </c>
      <c r="Q1239" s="14"/>
      <c r="R1239" s="1" t="s">
        <v>5915</v>
      </c>
      <c r="S1239" s="14"/>
      <c r="T1239" s="14"/>
      <c r="U1239" s="19" t="str">
        <f>HYPERLINK("https://pbs.twimg.com/profile_images/1212313031356473344/GI7PCAnb.jpg","View")</f>
        <v>View</v>
      </c>
      <c r="V1239" s="14"/>
      <c r="W1239" s="14"/>
      <c r="X1239" s="14"/>
      <c r="Y1239" s="14"/>
      <c r="Z1239" s="14"/>
    </row>
    <row r="1240">
      <c r="A1240" s="11">
        <v>43846.021006944444</v>
      </c>
      <c r="B1240" s="12" t="str">
        <f>HYPERLINK("https://twitter.com/Emzlisle","@Emzlisle")</f>
        <v>@Emzlisle</v>
      </c>
      <c r="C1240" s="1" t="s">
        <v>5916</v>
      </c>
      <c r="D1240" s="1" t="s">
        <v>5917</v>
      </c>
      <c r="E1240" s="12" t="str">
        <f>HYPERLINK("https://twitter.com/Emzlisle/status/1217680440632455168","1217680440632455168")</f>
        <v>1217680440632455168</v>
      </c>
      <c r="F1240" s="14"/>
      <c r="G1240" s="14"/>
      <c r="H1240" s="14"/>
      <c r="I1240" s="15">
        <v>1.0</v>
      </c>
      <c r="J1240" s="15">
        <v>3.0</v>
      </c>
      <c r="K1240" s="12" t="str">
        <f t="shared" si="126"/>
        <v>Twitter for Android</v>
      </c>
      <c r="L1240" s="16">
        <v>205.0</v>
      </c>
      <c r="M1240" s="16">
        <v>207.0</v>
      </c>
      <c r="N1240" s="16">
        <v>0.0</v>
      </c>
      <c r="O1240" s="17"/>
      <c r="P1240" s="18">
        <v>42506.02420138889</v>
      </c>
      <c r="Q1240" s="1" t="s">
        <v>5918</v>
      </c>
      <c r="R1240" s="1" t="s">
        <v>5919</v>
      </c>
      <c r="S1240" s="13" t="s">
        <v>5920</v>
      </c>
      <c r="T1240" s="14"/>
      <c r="U1240" s="19" t="str">
        <f>HYPERLINK("https://pbs.twimg.com/profile_images/1215941647634178049/iMQeWf2D.jpg","View")</f>
        <v>View</v>
      </c>
      <c r="V1240" s="14"/>
      <c r="W1240" s="14"/>
      <c r="X1240" s="14"/>
      <c r="Y1240" s="14"/>
      <c r="Z1240" s="14"/>
    </row>
    <row r="1241">
      <c r="A1241" s="11">
        <v>43846.00575231481</v>
      </c>
      <c r="B1241" s="12" t="str">
        <f>HYPERLINK("https://twitter.com/prettynessssss","@prettynessssss")</f>
        <v>@prettynessssss</v>
      </c>
      <c r="C1241" s="1" t="s">
        <v>5921</v>
      </c>
      <c r="D1241" s="1" t="s">
        <v>5922</v>
      </c>
      <c r="E1241" s="12" t="str">
        <f>HYPERLINK("https://twitter.com/prettynessssss/status/1217674915521990657","1217674915521990657")</f>
        <v>1217674915521990657</v>
      </c>
      <c r="F1241" s="14"/>
      <c r="G1241" s="14"/>
      <c r="H1241" s="14"/>
      <c r="I1241" s="15">
        <v>0.0</v>
      </c>
      <c r="J1241" s="15">
        <v>0.0</v>
      </c>
      <c r="K1241" s="12" t="str">
        <f>HYPERLINK("http://twitter.com/download/iphone","Twitter for iPhone")</f>
        <v>Twitter for iPhone</v>
      </c>
      <c r="L1241" s="16">
        <v>71.0</v>
      </c>
      <c r="M1241" s="16">
        <v>268.0</v>
      </c>
      <c r="N1241" s="16">
        <v>0.0</v>
      </c>
      <c r="O1241" s="17"/>
      <c r="P1241" s="18">
        <v>43035.81177083333</v>
      </c>
      <c r="Q1241" s="1" t="s">
        <v>115</v>
      </c>
      <c r="R1241" s="1" t="s">
        <v>5923</v>
      </c>
      <c r="S1241" s="14"/>
      <c r="T1241" s="14"/>
      <c r="U1241" s="19" t="str">
        <f>HYPERLINK("https://pbs.twimg.com/profile_images/1217316955851542528/cU0mfXrK.jpg","View")</f>
        <v>View</v>
      </c>
      <c r="V1241" s="14"/>
      <c r="W1241" s="14"/>
      <c r="X1241" s="14"/>
      <c r="Y1241" s="14"/>
      <c r="Z1241" s="14"/>
    </row>
    <row r="1242">
      <c r="A1242" s="11">
        <v>43846.00543981481</v>
      </c>
      <c r="B1242" s="12" t="str">
        <f>HYPERLINK("https://twitter.com/BartleToby","@BartleToby")</f>
        <v>@BartleToby</v>
      </c>
      <c r="C1242" s="1" t="s">
        <v>5924</v>
      </c>
      <c r="D1242" s="1" t="s">
        <v>5925</v>
      </c>
      <c r="E1242" s="12" t="str">
        <f>HYPERLINK("https://twitter.com/BartleToby/status/1217674800857903104","1217674800857903104")</f>
        <v>1217674800857903104</v>
      </c>
      <c r="F1242" s="13" t="s">
        <v>5926</v>
      </c>
      <c r="G1242" s="14"/>
      <c r="H1242" s="14"/>
      <c r="I1242" s="15">
        <v>2.0</v>
      </c>
      <c r="J1242" s="15">
        <v>3.0</v>
      </c>
      <c r="K1242" s="12" t="str">
        <f>HYPERLINK("https://mobile.twitter.com","Twitter Web App")</f>
        <v>Twitter Web App</v>
      </c>
      <c r="L1242" s="16">
        <v>78.0</v>
      </c>
      <c r="M1242" s="16">
        <v>291.0</v>
      </c>
      <c r="N1242" s="16">
        <v>0.0</v>
      </c>
      <c r="O1242" s="17"/>
      <c r="P1242" s="18">
        <v>43348.0025</v>
      </c>
      <c r="Q1242" s="1" t="s">
        <v>5927</v>
      </c>
      <c r="R1242" s="1" t="s">
        <v>5928</v>
      </c>
      <c r="S1242" s="14"/>
      <c r="T1242" s="14"/>
      <c r="U1242" s="19" t="str">
        <f>HYPERLINK("https://pbs.twimg.com/profile_images/1037213108635414528/_aeJBp6W.jpg","View")</f>
        <v>View</v>
      </c>
      <c r="V1242" s="14"/>
      <c r="W1242" s="14"/>
      <c r="X1242" s="14"/>
      <c r="Y1242" s="14"/>
      <c r="Z1242" s="14"/>
    </row>
    <row r="1243">
      <c r="A1243" s="11">
        <v>43846.00141203703</v>
      </c>
      <c r="B1243" s="12" t="str">
        <f>HYPERLINK("https://twitter.com/FinancialMSW","@FinancialMSW")</f>
        <v>@FinancialMSW</v>
      </c>
      <c r="C1243" s="1" t="s">
        <v>5929</v>
      </c>
      <c r="D1243" s="1" t="s">
        <v>5930</v>
      </c>
      <c r="E1243" s="12" t="str">
        <f>HYPERLINK("https://twitter.com/FinancialMSW/status/1217673341802307584","1217673341802307584")</f>
        <v>1217673341802307584</v>
      </c>
      <c r="F1243" s="1" t="s">
        <v>5931</v>
      </c>
      <c r="G1243" s="13" t="s">
        <v>5932</v>
      </c>
      <c r="H1243" s="14"/>
      <c r="I1243" s="15">
        <v>0.0</v>
      </c>
      <c r="J1243" s="15">
        <v>0.0</v>
      </c>
      <c r="K1243" s="12" t="str">
        <f>HYPERLINK("https://buffer.com","Buffer")</f>
        <v>Buffer</v>
      </c>
      <c r="L1243" s="16">
        <v>2697.0</v>
      </c>
      <c r="M1243" s="16">
        <v>2038.0</v>
      </c>
      <c r="N1243" s="16">
        <v>0.0</v>
      </c>
      <c r="O1243" s="17"/>
      <c r="P1243" s="18">
        <v>39786.62871527778</v>
      </c>
      <c r="Q1243" s="1" t="s">
        <v>5933</v>
      </c>
      <c r="R1243" s="1" t="s">
        <v>5934</v>
      </c>
      <c r="S1243" s="13" t="s">
        <v>5935</v>
      </c>
      <c r="T1243" s="14"/>
      <c r="U1243" s="19" t="str">
        <f>HYPERLINK("https://pbs.twimg.com/profile_images/923574484195532802/kza3ZBIk.jpg","View")</f>
        <v>View</v>
      </c>
      <c r="V1243" s="14"/>
      <c r="W1243" s="14"/>
      <c r="X1243" s="14"/>
      <c r="Y1243" s="14"/>
      <c r="Z1243" s="14"/>
    </row>
    <row r="1244">
      <c r="A1244" s="11">
        <v>43845.99060185185</v>
      </c>
      <c r="B1244" s="12" t="str">
        <f>HYPERLINK("https://twitter.com/MeOth_12","@MeOth_12")</f>
        <v>@MeOth_12</v>
      </c>
      <c r="C1244" s="1" t="s">
        <v>5936</v>
      </c>
      <c r="D1244" s="1" t="s">
        <v>5937</v>
      </c>
      <c r="E1244" s="12" t="str">
        <f>HYPERLINK("https://twitter.com/MeOth_12/status/1217669423487684608","1217669423487684608")</f>
        <v>1217669423487684608</v>
      </c>
      <c r="F1244" s="14"/>
      <c r="G1244" s="14"/>
      <c r="H1244" s="14"/>
      <c r="I1244" s="15">
        <v>0.0</v>
      </c>
      <c r="J1244" s="15">
        <v>8.0</v>
      </c>
      <c r="K1244" s="12" t="str">
        <f>HYPERLINK("http://twitter.com/download/iphone","Twitter for iPhone")</f>
        <v>Twitter for iPhone</v>
      </c>
      <c r="L1244" s="16">
        <v>254.0</v>
      </c>
      <c r="M1244" s="16">
        <v>390.0</v>
      </c>
      <c r="N1244" s="16">
        <v>0.0</v>
      </c>
      <c r="O1244" s="17"/>
      <c r="P1244" s="18">
        <v>42057.11042824074</v>
      </c>
      <c r="Q1244" s="22" t="s">
        <v>5938</v>
      </c>
      <c r="R1244" s="1" t="s">
        <v>5939</v>
      </c>
      <c r="S1244" s="13" t="s">
        <v>5940</v>
      </c>
      <c r="T1244" s="14"/>
      <c r="U1244" s="19" t="str">
        <f>HYPERLINK("https://pbs.twimg.com/profile_images/1210566981629427717/N-wAxZYc.jpg","View")</f>
        <v>View</v>
      </c>
      <c r="V1244" s="14"/>
      <c r="W1244" s="14"/>
      <c r="X1244" s="14"/>
      <c r="Y1244" s="14"/>
      <c r="Z1244" s="14"/>
    </row>
    <row r="1245">
      <c r="A1245" s="11">
        <v>43845.98231481481</v>
      </c>
      <c r="B1245" s="12" t="str">
        <f>HYPERLINK("https://twitter.com/TeresaEwers","@TeresaEwers")</f>
        <v>@TeresaEwers</v>
      </c>
      <c r="C1245" s="1" t="s">
        <v>5941</v>
      </c>
      <c r="D1245" s="1" t="s">
        <v>5942</v>
      </c>
      <c r="E1245" s="12" t="str">
        <f>HYPERLINK("https://twitter.com/TeresaEwers/status/1217666422157070336","1217666422157070336")</f>
        <v>1217666422157070336</v>
      </c>
      <c r="F1245" s="13" t="s">
        <v>5943</v>
      </c>
      <c r="G1245" s="14"/>
      <c r="H1245" s="12" t="str">
        <f>HYPERLINK("https://ctrlq.org/maps/address/#35.11807818,-106.51704342","Map")</f>
        <v>Map</v>
      </c>
      <c r="I1245" s="15">
        <v>0.0</v>
      </c>
      <c r="J1245" s="15">
        <v>0.0</v>
      </c>
      <c r="K1245" s="12" t="str">
        <f>HYPERLINK("http://instagram.com","Instagram")</f>
        <v>Instagram</v>
      </c>
      <c r="L1245" s="16">
        <v>16.0</v>
      </c>
      <c r="M1245" s="16">
        <v>8.0</v>
      </c>
      <c r="N1245" s="16">
        <v>1.0</v>
      </c>
      <c r="O1245" s="17"/>
      <c r="P1245" s="18">
        <v>43253.89519675926</v>
      </c>
      <c r="Q1245" s="1" t="s">
        <v>5944</v>
      </c>
      <c r="R1245" s="1" t="s">
        <v>5945</v>
      </c>
      <c r="S1245" s="14"/>
      <c r="T1245" s="14"/>
      <c r="U1245" s="19" t="str">
        <f>HYPERLINK("https://pbs.twimg.com/profile_images/1003092100680843264/lGMK4PyL.jpg","View")</f>
        <v>View</v>
      </c>
      <c r="V1245" s="14"/>
      <c r="W1245" s="14"/>
      <c r="X1245" s="14"/>
      <c r="Y1245" s="14"/>
      <c r="Z1245" s="14"/>
    </row>
    <row r="1246">
      <c r="A1246" s="11">
        <v>43845.97927083333</v>
      </c>
      <c r="B1246" s="12" t="str">
        <f>HYPERLINK("https://twitter.com/niharikaverma95","@niharikaverma95")</f>
        <v>@niharikaverma95</v>
      </c>
      <c r="C1246" s="1" t="s">
        <v>888</v>
      </c>
      <c r="D1246" s="1" t="s">
        <v>5946</v>
      </c>
      <c r="E1246" s="12" t="str">
        <f>HYPERLINK("https://twitter.com/niharikaverma95/status/1217665317004070912","1217665317004070912")</f>
        <v>1217665317004070912</v>
      </c>
      <c r="F1246" s="13" t="s">
        <v>890</v>
      </c>
      <c r="G1246" s="14"/>
      <c r="H1246" s="14"/>
      <c r="I1246" s="15">
        <v>0.0</v>
      </c>
      <c r="J1246" s="15">
        <v>1.0</v>
      </c>
      <c r="K1246" s="12" t="str">
        <f>HYPERLINK("https://buffer.com","Buffer")</f>
        <v>Buffer</v>
      </c>
      <c r="L1246" s="16">
        <v>847.0</v>
      </c>
      <c r="M1246" s="16">
        <v>142.0</v>
      </c>
      <c r="N1246" s="16">
        <v>61.0</v>
      </c>
      <c r="O1246" s="17"/>
      <c r="P1246" s="18">
        <v>42542.06670138889</v>
      </c>
      <c r="Q1246" s="1" t="s">
        <v>891</v>
      </c>
      <c r="R1246" s="1" t="s">
        <v>892</v>
      </c>
      <c r="S1246" s="13" t="s">
        <v>893</v>
      </c>
      <c r="T1246" s="14"/>
      <c r="U1246" s="19" t="str">
        <f>HYPERLINK("https://pbs.twimg.com/profile_images/1218631112752160768/smL-X6Vx.jpg","View")</f>
        <v>View</v>
      </c>
      <c r="V1246" s="14"/>
      <c r="W1246" s="14"/>
      <c r="X1246" s="14"/>
      <c r="Y1246" s="14"/>
      <c r="Z1246" s="14"/>
    </row>
    <row r="1247">
      <c r="A1247" s="11">
        <v>43845.97912037037</v>
      </c>
      <c r="B1247" s="12" t="str">
        <f>HYPERLINK("https://twitter.com/isrgrajan","@isrgrajan")</f>
        <v>@isrgrajan</v>
      </c>
      <c r="C1247" s="1" t="s">
        <v>146</v>
      </c>
      <c r="D1247" s="1" t="s">
        <v>5947</v>
      </c>
      <c r="E1247" s="12" t="str">
        <f>HYPERLINK("https://twitter.com/isrgrajan/status/1217665264327675905","1217665264327675905")</f>
        <v>1217665264327675905</v>
      </c>
      <c r="F1247" s="13" t="s">
        <v>5948</v>
      </c>
      <c r="G1247" s="13" t="s">
        <v>5949</v>
      </c>
      <c r="H1247" s="14"/>
      <c r="I1247" s="15">
        <v>0.0</v>
      </c>
      <c r="J1247" s="15">
        <v>0.0</v>
      </c>
      <c r="K1247" s="12" t="str">
        <f>HYPERLINK("http://www.isrg.in/","Isrg")</f>
        <v>Isrg</v>
      </c>
      <c r="L1247" s="16">
        <v>3300.0</v>
      </c>
      <c r="M1247" s="16">
        <v>80.0</v>
      </c>
      <c r="N1247" s="16">
        <v>45.0</v>
      </c>
      <c r="O1247" s="17"/>
      <c r="P1247" s="18">
        <v>40108.413819444446</v>
      </c>
      <c r="Q1247" s="1" t="s">
        <v>150</v>
      </c>
      <c r="R1247" s="1" t="s">
        <v>151</v>
      </c>
      <c r="S1247" s="13" t="s">
        <v>152</v>
      </c>
      <c r="T1247" s="14"/>
      <c r="U1247" s="19" t="str">
        <f>HYPERLINK("https://pbs.twimg.com/profile_images/1190988064765743106/FJrzpCN1.jpg","View")</f>
        <v>View</v>
      </c>
      <c r="V1247" s="14"/>
      <c r="W1247" s="14"/>
      <c r="X1247" s="14"/>
      <c r="Y1247" s="14"/>
      <c r="Z1247" s="14"/>
    </row>
    <row r="1248">
      <c r="A1248" s="11">
        <v>43845.9703125</v>
      </c>
      <c r="B1248" s="12" t="str">
        <f>HYPERLINK("https://twitter.com/drchriscarreira","@drchriscarreira")</f>
        <v>@drchriscarreira</v>
      </c>
      <c r="C1248" s="1" t="s">
        <v>5950</v>
      </c>
      <c r="D1248" s="1" t="s">
        <v>5951</v>
      </c>
      <c r="E1248" s="12" t="str">
        <f>HYPERLINK("https://twitter.com/drchriscarreira/status/1217662071250280448","1217662071250280448")</f>
        <v>1217662071250280448</v>
      </c>
      <c r="F1248" s="13" t="s">
        <v>5952</v>
      </c>
      <c r="G1248" s="14"/>
      <c r="H1248" s="14"/>
      <c r="I1248" s="15">
        <v>0.0</v>
      </c>
      <c r="J1248" s="15">
        <v>0.0</v>
      </c>
      <c r="K1248" s="12" t="str">
        <f>HYPERLINK("https://ifttt.com","IFTTT")</f>
        <v>IFTTT</v>
      </c>
      <c r="L1248" s="16">
        <v>565.0</v>
      </c>
      <c r="M1248" s="16">
        <v>321.0</v>
      </c>
      <c r="N1248" s="16">
        <v>255.0</v>
      </c>
      <c r="O1248" s="17"/>
      <c r="P1248" s="18">
        <v>41258.84956018518</v>
      </c>
      <c r="Q1248" s="1" t="s">
        <v>5953</v>
      </c>
      <c r="R1248" s="1" t="s">
        <v>5954</v>
      </c>
      <c r="S1248" s="13" t="s">
        <v>5955</v>
      </c>
      <c r="T1248" s="14"/>
      <c r="U1248" s="19" t="str">
        <f>HYPERLINK("https://pbs.twimg.com/profile_images/534418124305866752/-138ZwsY.png","View")</f>
        <v>View</v>
      </c>
      <c r="V1248" s="14"/>
      <c r="W1248" s="14"/>
      <c r="X1248" s="14"/>
      <c r="Y1248" s="14"/>
      <c r="Z1248" s="14"/>
    </row>
    <row r="1249">
      <c r="A1249" s="11">
        <v>43845.96875</v>
      </c>
      <c r="B1249" s="12" t="str">
        <f>HYPERLINK("https://twitter.com/TrainingMindful","@TrainingMindful")</f>
        <v>@TrainingMindful</v>
      </c>
      <c r="C1249" s="1" t="s">
        <v>94</v>
      </c>
      <c r="D1249" s="1" t="s">
        <v>1314</v>
      </c>
      <c r="E1249" s="12" t="str">
        <f>HYPERLINK("https://twitter.com/TrainingMindful/status/1217661504096555009","1217661504096555009")</f>
        <v>1217661504096555009</v>
      </c>
      <c r="F1249" s="13" t="s">
        <v>1315</v>
      </c>
      <c r="G1249" s="14"/>
      <c r="H1249" s="14"/>
      <c r="I1249" s="15">
        <v>1.0</v>
      </c>
      <c r="J1249" s="15">
        <v>5.0</v>
      </c>
      <c r="K1249" s="12" t="str">
        <f>HYPERLINK("https://www.socialoomph.com","SocialOomph")</f>
        <v>SocialOomph</v>
      </c>
      <c r="L1249" s="16">
        <v>185303.0</v>
      </c>
      <c r="M1249" s="16">
        <v>43980.0</v>
      </c>
      <c r="N1249" s="16">
        <v>2800.0</v>
      </c>
      <c r="O1249" s="17"/>
      <c r="P1249" s="18">
        <v>41286.039305555554</v>
      </c>
      <c r="Q1249" s="1" t="s">
        <v>97</v>
      </c>
      <c r="R1249" s="1" t="s">
        <v>98</v>
      </c>
      <c r="S1249" s="13" t="s">
        <v>99</v>
      </c>
      <c r="T1249" s="14"/>
      <c r="U1249" s="19" t="str">
        <f>HYPERLINK("https://pbs.twimg.com/profile_images/566526924059459584/gdMxDA9x.jpeg","View")</f>
        <v>View</v>
      </c>
      <c r="V1249" s="14"/>
      <c r="W1249" s="14"/>
      <c r="X1249" s="14"/>
      <c r="Y1249" s="14"/>
      <c r="Z1249" s="14"/>
    </row>
    <row r="1250">
      <c r="A1250" s="11">
        <v>43845.96649305556</v>
      </c>
      <c r="B1250" s="12" t="str">
        <f>HYPERLINK("https://twitter.com/AnnaArmadillo","@AnnaArmadillo")</f>
        <v>@AnnaArmadillo</v>
      </c>
      <c r="C1250" s="1" t="s">
        <v>5956</v>
      </c>
      <c r="D1250" s="1" t="s">
        <v>5957</v>
      </c>
      <c r="E1250" s="12" t="str">
        <f>HYPERLINK("https://twitter.com/AnnaArmadillo/status/1217660685699756033","1217660685699756033")</f>
        <v>1217660685699756033</v>
      </c>
      <c r="F1250" s="13" t="s">
        <v>5958</v>
      </c>
      <c r="G1250" s="13" t="s">
        <v>5959</v>
      </c>
      <c r="H1250" s="14"/>
      <c r="I1250" s="15">
        <v>5.0</v>
      </c>
      <c r="J1250" s="15">
        <v>8.0</v>
      </c>
      <c r="K1250" s="12" t="str">
        <f>HYPERLINK("http://twitter.com/download/android","Twitter for Android")</f>
        <v>Twitter for Android</v>
      </c>
      <c r="L1250" s="16">
        <v>1834.0</v>
      </c>
      <c r="M1250" s="16">
        <v>4911.0</v>
      </c>
      <c r="N1250" s="16">
        <v>8.0</v>
      </c>
      <c r="O1250" s="17"/>
      <c r="P1250" s="18">
        <v>42927.15138888889</v>
      </c>
      <c r="Q1250" s="1" t="s">
        <v>5960</v>
      </c>
      <c r="R1250" s="1" t="s">
        <v>5961</v>
      </c>
      <c r="S1250" s="13" t="s">
        <v>5962</v>
      </c>
      <c r="T1250" s="14"/>
      <c r="U1250" s="19" t="str">
        <f>HYPERLINK("https://pbs.twimg.com/profile_images/1160590662028419081/_OeOK6NT.jpg","View")</f>
        <v>View</v>
      </c>
      <c r="V1250" s="14"/>
      <c r="W1250" s="14"/>
      <c r="X1250" s="14"/>
      <c r="Y1250" s="14"/>
      <c r="Z1250" s="14"/>
    </row>
    <row r="1251">
      <c r="A1251" s="11">
        <v>43845.96530092593</v>
      </c>
      <c r="B1251" s="12" t="str">
        <f>HYPERLINK("https://twitter.com/DailyLongevity","@DailyLongevity")</f>
        <v>@DailyLongevity</v>
      </c>
      <c r="C1251" s="1" t="s">
        <v>5963</v>
      </c>
      <c r="D1251" s="1" t="s">
        <v>5964</v>
      </c>
      <c r="E1251" s="12" t="str">
        <f>HYPERLINK("https://twitter.com/DailyLongevity/status/1217660254953115650","1217660254953115650")</f>
        <v>1217660254953115650</v>
      </c>
      <c r="F1251" s="13" t="s">
        <v>5965</v>
      </c>
      <c r="G1251" s="14"/>
      <c r="H1251" s="14"/>
      <c r="I1251" s="15">
        <v>0.0</v>
      </c>
      <c r="J1251" s="15">
        <v>1.0</v>
      </c>
      <c r="K1251" s="12" t="str">
        <f>HYPERLINK("https://www.hootsuite.com","Hootsuite Inc.")</f>
        <v>Hootsuite Inc.</v>
      </c>
      <c r="L1251" s="16">
        <v>189.0</v>
      </c>
      <c r="M1251" s="16">
        <v>157.0</v>
      </c>
      <c r="N1251" s="16">
        <v>1.0</v>
      </c>
      <c r="O1251" s="17"/>
      <c r="P1251" s="18">
        <v>43633.695023148146</v>
      </c>
      <c r="Q1251" s="14"/>
      <c r="R1251" s="1" t="s">
        <v>5966</v>
      </c>
      <c r="S1251" s="14"/>
      <c r="T1251" s="14"/>
      <c r="U1251" s="19" t="str">
        <f>HYPERLINK("https://pbs.twimg.com/profile_images/1140721491589390338/xKyzQJOe.png","View")</f>
        <v>View</v>
      </c>
      <c r="V1251" s="14"/>
      <c r="W1251" s="14"/>
      <c r="X1251" s="14"/>
      <c r="Y1251" s="14"/>
      <c r="Z1251" s="14"/>
    </row>
    <row r="1252">
      <c r="A1252" s="11">
        <v>43845.95872685185</v>
      </c>
      <c r="B1252" s="12" t="str">
        <f>HYPERLINK("https://twitter.com/CPRBrundin","@CPRBrundin")</f>
        <v>@CPRBrundin</v>
      </c>
      <c r="C1252" s="1" t="s">
        <v>4697</v>
      </c>
      <c r="D1252" s="1" t="s">
        <v>5967</v>
      </c>
      <c r="E1252" s="12" t="str">
        <f>HYPERLINK("https://twitter.com/CPRBrundin/status/1217657871795490816","1217657871795490816")</f>
        <v>1217657871795490816</v>
      </c>
      <c r="F1252" s="13" t="s">
        <v>5968</v>
      </c>
      <c r="G1252" s="14"/>
      <c r="H1252" s="14"/>
      <c r="I1252" s="15">
        <v>4.0</v>
      </c>
      <c r="J1252" s="15">
        <v>2.0</v>
      </c>
      <c r="K1252" s="12" t="str">
        <f>HYPERLINK("http://twitter.com","Twitter Web Client")</f>
        <v>Twitter Web Client</v>
      </c>
      <c r="L1252" s="16">
        <v>3439.0</v>
      </c>
      <c r="M1252" s="16">
        <v>358.0</v>
      </c>
      <c r="N1252" s="16">
        <v>153.0</v>
      </c>
      <c r="O1252" s="20" t="s">
        <v>38</v>
      </c>
      <c r="P1252" s="18">
        <v>41123.72924768519</v>
      </c>
      <c r="Q1252" s="14"/>
      <c r="R1252" s="1" t="s">
        <v>4700</v>
      </c>
      <c r="S1252" s="13" t="s">
        <v>4701</v>
      </c>
      <c r="T1252" s="14"/>
      <c r="U1252" s="19" t="str">
        <f>HYPERLINK("https://pbs.twimg.com/profile_images/2793780332/9f3d2419c72060697e333cc4018a7e72.jpeg","View")</f>
        <v>View</v>
      </c>
      <c r="V1252" s="14"/>
      <c r="W1252" s="14"/>
      <c r="X1252" s="14"/>
      <c r="Y1252" s="14"/>
      <c r="Z1252" s="14"/>
    </row>
    <row r="1253">
      <c r="A1253" s="11">
        <v>43845.9549537037</v>
      </c>
      <c r="B1253" s="12" t="str">
        <f>HYPERLINK("https://twitter.com/olgaisthebest","@olgaisthebest")</f>
        <v>@olgaisthebest</v>
      </c>
      <c r="C1253" s="1" t="s">
        <v>5969</v>
      </c>
      <c r="D1253" s="1" t="s">
        <v>5951</v>
      </c>
      <c r="E1253" s="12" t="str">
        <f>HYPERLINK("https://twitter.com/olgaisthebest/status/1217656505975103488","1217656505975103488")</f>
        <v>1217656505975103488</v>
      </c>
      <c r="F1253" s="13" t="s">
        <v>5952</v>
      </c>
      <c r="G1253" s="14"/>
      <c r="H1253" s="14"/>
      <c r="I1253" s="15">
        <v>0.0</v>
      </c>
      <c r="J1253" s="15">
        <v>0.0</v>
      </c>
      <c r="K1253" s="12" t="str">
        <f>HYPERLINK("https://plus.google.com/u/0/116747167284206603033/","ZolushkaOlga")</f>
        <v>ZolushkaOlga</v>
      </c>
      <c r="L1253" s="16">
        <v>8350.0</v>
      </c>
      <c r="M1253" s="16">
        <v>5668.0</v>
      </c>
      <c r="N1253" s="16">
        <v>472.0</v>
      </c>
      <c r="O1253" s="17"/>
      <c r="P1253" s="18">
        <v>41560.766238425924</v>
      </c>
      <c r="Q1253" s="1" t="s">
        <v>5970</v>
      </c>
      <c r="R1253" s="1" t="s">
        <v>5971</v>
      </c>
      <c r="S1253" s="13" t="s">
        <v>5972</v>
      </c>
      <c r="T1253" s="14"/>
      <c r="U1253" s="19" t="str">
        <f>HYPERLINK("https://pbs.twimg.com/profile_images/756252326214631424/PkKMeNT3.jpg","View")</f>
        <v>View</v>
      </c>
      <c r="V1253" s="14"/>
      <c r="W1253" s="14"/>
      <c r="X1253" s="14"/>
      <c r="Y1253" s="14"/>
      <c r="Z1253" s="14"/>
    </row>
    <row r="1254">
      <c r="A1254" s="11">
        <v>43845.94263888889</v>
      </c>
      <c r="B1254" s="12" t="str">
        <f>HYPERLINK("https://twitter.com/4UWell","@4UWell")</f>
        <v>@4UWell</v>
      </c>
      <c r="C1254" s="1" t="s">
        <v>5973</v>
      </c>
      <c r="D1254" s="1" t="s">
        <v>5974</v>
      </c>
      <c r="E1254" s="12" t="str">
        <f>HYPERLINK("https://twitter.com/4UWell/status/1217652042384191488","1217652042384191488")</f>
        <v>1217652042384191488</v>
      </c>
      <c r="F1254" s="14"/>
      <c r="G1254" s="13" t="s">
        <v>5975</v>
      </c>
      <c r="H1254" s="14"/>
      <c r="I1254" s="15">
        <v>58.0</v>
      </c>
      <c r="J1254" s="15">
        <v>103.0</v>
      </c>
      <c r="K1254" s="12" t="str">
        <f>HYPERLINK("https://buffer.com","Buffer")</f>
        <v>Buffer</v>
      </c>
      <c r="L1254" s="16">
        <v>74040.0</v>
      </c>
      <c r="M1254" s="16">
        <v>67982.0</v>
      </c>
      <c r="N1254" s="16">
        <v>462.0</v>
      </c>
      <c r="O1254" s="17"/>
      <c r="P1254" s="18">
        <v>43279.97793981481</v>
      </c>
      <c r="Q1254" s="1" t="s">
        <v>5976</v>
      </c>
      <c r="R1254" s="1" t="s">
        <v>5977</v>
      </c>
      <c r="S1254" s="14"/>
      <c r="T1254" s="14"/>
      <c r="U1254" s="19" t="str">
        <f>HYPERLINK("https://pbs.twimg.com/profile_images/1200176078091935745/Gnk94Jrn.jpg","View")</f>
        <v>View</v>
      </c>
      <c r="V1254" s="14"/>
      <c r="W1254" s="14"/>
      <c r="X1254" s="14"/>
      <c r="Y1254" s="14"/>
      <c r="Z1254" s="14"/>
    </row>
    <row r="1255">
      <c r="A1255" s="11">
        <v>43845.94189814814</v>
      </c>
      <c r="B1255" s="12" t="str">
        <f>HYPERLINK("https://twitter.com/SilkeLeFay","@SilkeLeFay")</f>
        <v>@SilkeLeFay</v>
      </c>
      <c r="C1255" s="1" t="s">
        <v>5978</v>
      </c>
      <c r="D1255" s="1" t="s">
        <v>5979</v>
      </c>
      <c r="E1255" s="12" t="str">
        <f>HYPERLINK("https://twitter.com/SilkeLeFay/status/1217651772916826113","1217651772916826113")</f>
        <v>1217651772916826113</v>
      </c>
      <c r="F1255" s="1" t="s">
        <v>5980</v>
      </c>
      <c r="G1255" s="13" t="s">
        <v>5981</v>
      </c>
      <c r="H1255" s="14"/>
      <c r="I1255" s="15">
        <v>0.0</v>
      </c>
      <c r="J1255" s="15">
        <v>0.0</v>
      </c>
      <c r="K1255" s="12" t="str">
        <f>HYPERLINK("https://mobile.twitter.com","Twitter Web App")</f>
        <v>Twitter Web App</v>
      </c>
      <c r="L1255" s="16">
        <v>4851.0</v>
      </c>
      <c r="M1255" s="16">
        <v>5364.0</v>
      </c>
      <c r="N1255" s="16">
        <v>52.0</v>
      </c>
      <c r="O1255" s="17"/>
      <c r="P1255" s="18">
        <v>41031.31071759259</v>
      </c>
      <c r="Q1255" s="1" t="s">
        <v>5982</v>
      </c>
      <c r="R1255" s="1" t="s">
        <v>5983</v>
      </c>
      <c r="S1255" s="14"/>
      <c r="T1255" s="14"/>
      <c r="U1255" s="19" t="str">
        <f>HYPERLINK("https://pbs.twimg.com/profile_images/2633121271/553983b499a61b08f40744d20ed8951e.jpeg","View")</f>
        <v>View</v>
      </c>
      <c r="V1255" s="14"/>
      <c r="W1255" s="14"/>
      <c r="X1255" s="14"/>
      <c r="Y1255" s="14"/>
      <c r="Z1255" s="14"/>
    </row>
    <row r="1256">
      <c r="A1256" s="11">
        <v>43845.94016203703</v>
      </c>
      <c r="B1256" s="12" t="str">
        <f>HYPERLINK("https://twitter.com/Myartsubmit","@Myartsubmit")</f>
        <v>@Myartsubmit</v>
      </c>
      <c r="C1256" s="13" t="s">
        <v>5984</v>
      </c>
      <c r="D1256" s="1" t="s">
        <v>5985</v>
      </c>
      <c r="E1256" s="12" t="str">
        <f>HYPERLINK("https://twitter.com/Myartsubmit/status/1217651143091707904","1217651143091707904")</f>
        <v>1217651143091707904</v>
      </c>
      <c r="F1256" s="14"/>
      <c r="G1256" s="14"/>
      <c r="H1256" s="14"/>
      <c r="I1256" s="15">
        <v>0.0</v>
      </c>
      <c r="J1256" s="15">
        <v>0.0</v>
      </c>
      <c r="K1256" s="12" t="str">
        <f>HYPERLINK("http://dir.myartsubmit.com","Myartsubmit")</f>
        <v>Myartsubmit</v>
      </c>
      <c r="L1256" s="16">
        <v>22650.0</v>
      </c>
      <c r="M1256" s="16">
        <v>26497.0</v>
      </c>
      <c r="N1256" s="16">
        <v>702.0</v>
      </c>
      <c r="O1256" s="17"/>
      <c r="P1256" s="18">
        <v>39906.65340277778</v>
      </c>
      <c r="Q1256" s="1" t="s">
        <v>1969</v>
      </c>
      <c r="R1256" s="1" t="s">
        <v>5986</v>
      </c>
      <c r="S1256" s="13" t="s">
        <v>5987</v>
      </c>
      <c r="T1256" s="14"/>
      <c r="U1256" s="19" t="str">
        <f>HYPERLINK("https://pbs.twimg.com/profile_images/687339732817186816/hwQEydW3.jpg","View")</f>
        <v>View</v>
      </c>
      <c r="V1256" s="14"/>
      <c r="W1256" s="14"/>
      <c r="X1256" s="14"/>
      <c r="Y1256" s="14"/>
      <c r="Z1256" s="14"/>
    </row>
    <row r="1257">
      <c r="A1257" s="11">
        <v>43845.93612268519</v>
      </c>
      <c r="B1257" s="12" t="str">
        <f>HYPERLINK("https://twitter.com/djdoug","@djdoug")</f>
        <v>@djdoug</v>
      </c>
      <c r="C1257" s="1" t="s">
        <v>5988</v>
      </c>
      <c r="D1257" s="1" t="s">
        <v>5989</v>
      </c>
      <c r="E1257" s="12" t="str">
        <f>HYPERLINK("https://twitter.com/djdoug/status/1217649682622697475","1217649682622697475")</f>
        <v>1217649682622697475</v>
      </c>
      <c r="F1257" s="13" t="s">
        <v>5990</v>
      </c>
      <c r="G1257" s="13" t="s">
        <v>5991</v>
      </c>
      <c r="H1257" s="14"/>
      <c r="I1257" s="15">
        <v>0.0</v>
      </c>
      <c r="J1257" s="15">
        <v>0.0</v>
      </c>
      <c r="K1257" s="12" t="str">
        <f>HYPERLINK("https://eclincher.com","eClincher")</f>
        <v>eClincher</v>
      </c>
      <c r="L1257" s="16">
        <v>35121.0</v>
      </c>
      <c r="M1257" s="16">
        <v>29759.0</v>
      </c>
      <c r="N1257" s="16">
        <v>1756.0</v>
      </c>
      <c r="O1257" s="17"/>
      <c r="P1257" s="18">
        <v>39736.666342592594</v>
      </c>
      <c r="Q1257" s="1" t="s">
        <v>5992</v>
      </c>
      <c r="R1257" s="1" t="s">
        <v>5993</v>
      </c>
      <c r="S1257" s="13" t="s">
        <v>5994</v>
      </c>
      <c r="T1257" s="14"/>
      <c r="U1257" s="19" t="str">
        <f>HYPERLINK("https://pbs.twimg.com/profile_images/970648221369491457/QfUdH2qR.jpg","View")</f>
        <v>View</v>
      </c>
      <c r="V1257" s="14"/>
      <c r="W1257" s="14"/>
      <c r="X1257" s="14"/>
      <c r="Y1257" s="14"/>
      <c r="Z1257" s="14"/>
    </row>
    <row r="1258">
      <c r="A1258" s="11">
        <v>43845.91961805556</v>
      </c>
      <c r="B1258" s="12" t="str">
        <f>HYPERLINK("https://twitter.com/manojpandey66","@manojpandey66")</f>
        <v>@manojpandey66</v>
      </c>
      <c r="C1258" s="1" t="s">
        <v>1163</v>
      </c>
      <c r="D1258" s="1" t="s">
        <v>5995</v>
      </c>
      <c r="E1258" s="12" t="str">
        <f>HYPERLINK("https://twitter.com/manojpandey66/status/1217643700148269056","1217643700148269056")</f>
        <v>1217643700148269056</v>
      </c>
      <c r="F1258" s="14"/>
      <c r="G1258" s="13" t="s">
        <v>5996</v>
      </c>
      <c r="H1258" s="14"/>
      <c r="I1258" s="15">
        <v>1.0</v>
      </c>
      <c r="J1258" s="15">
        <v>1.0</v>
      </c>
      <c r="K1258" s="12" t="str">
        <f>HYPERLINK("https://mobile.twitter.com","Twitter Web App")</f>
        <v>Twitter Web App</v>
      </c>
      <c r="L1258" s="16">
        <v>1372.0</v>
      </c>
      <c r="M1258" s="16">
        <v>555.0</v>
      </c>
      <c r="N1258" s="16">
        <v>7.0</v>
      </c>
      <c r="O1258" s="17"/>
      <c r="P1258" s="18">
        <v>40746.0390625</v>
      </c>
      <c r="Q1258" s="1" t="s">
        <v>1166</v>
      </c>
      <c r="R1258" s="1" t="s">
        <v>1167</v>
      </c>
      <c r="S1258" s="13" t="s">
        <v>1168</v>
      </c>
      <c r="T1258" s="14"/>
      <c r="U1258" s="19" t="str">
        <f>HYPERLINK("https://pbs.twimg.com/profile_images/1134750107302125569/VwLz3fkd.png","View")</f>
        <v>View</v>
      </c>
      <c r="V1258" s="14"/>
      <c r="W1258" s="14"/>
      <c r="X1258" s="14"/>
      <c r="Y1258" s="14"/>
      <c r="Z1258" s="14"/>
    </row>
    <row r="1259">
      <c r="A1259" s="11">
        <v>43845.91710648148</v>
      </c>
      <c r="B1259" s="12" t="str">
        <f>HYPERLINK("https://twitter.com/themoodcards","@themoodcards")</f>
        <v>@themoodcards</v>
      </c>
      <c r="C1259" s="1" t="s">
        <v>5997</v>
      </c>
      <c r="D1259" s="1" t="s">
        <v>5998</v>
      </c>
      <c r="E1259" s="12" t="str">
        <f>HYPERLINK("https://twitter.com/themoodcards/status/1217642790496210944","1217642790496210944")</f>
        <v>1217642790496210944</v>
      </c>
      <c r="F1259" s="13" t="s">
        <v>5999</v>
      </c>
      <c r="G1259" s="13" t="s">
        <v>6000</v>
      </c>
      <c r="H1259" s="14"/>
      <c r="I1259" s="15">
        <v>0.0</v>
      </c>
      <c r="J1259" s="15">
        <v>0.0</v>
      </c>
      <c r="K1259" s="12" t="str">
        <f>HYPERLINK("https://www.socialjukebox.com","The Social Jukebox")</f>
        <v>The Social Jukebox</v>
      </c>
      <c r="L1259" s="16">
        <v>20059.0</v>
      </c>
      <c r="M1259" s="16">
        <v>6081.0</v>
      </c>
      <c r="N1259" s="16">
        <v>816.0</v>
      </c>
      <c r="O1259" s="17"/>
      <c r="P1259" s="18">
        <v>39867.74195601852</v>
      </c>
      <c r="Q1259" s="1" t="s">
        <v>6001</v>
      </c>
      <c r="R1259" s="1" t="s">
        <v>6002</v>
      </c>
      <c r="S1259" s="13" t="s">
        <v>6003</v>
      </c>
      <c r="T1259" s="14"/>
      <c r="U1259" s="19" t="str">
        <f>HYPERLINK("https://pbs.twimg.com/profile_images/1090900502332743681/QR-roEM5.jpg","View")</f>
        <v>View</v>
      </c>
      <c r="V1259" s="14"/>
      <c r="W1259" s="14"/>
      <c r="X1259" s="14"/>
      <c r="Y1259" s="14"/>
      <c r="Z1259" s="14"/>
    </row>
    <row r="1260">
      <c r="A1260" s="11">
        <v>43845.90694444445</v>
      </c>
      <c r="B1260" s="12" t="str">
        <f>HYPERLINK("https://twitter.com/BrauerAus","@BrauerAus")</f>
        <v>@BrauerAus</v>
      </c>
      <c r="C1260" s="1" t="s">
        <v>6004</v>
      </c>
      <c r="D1260" s="1" t="s">
        <v>6005</v>
      </c>
      <c r="E1260" s="12" t="str">
        <f>HYPERLINK("https://twitter.com/BrauerAus/status/1217639108065079296","1217639108065079296")</f>
        <v>1217639108065079296</v>
      </c>
      <c r="F1260" s="13" t="s">
        <v>6006</v>
      </c>
      <c r="G1260" s="13" t="s">
        <v>6007</v>
      </c>
      <c r="H1260" s="14"/>
      <c r="I1260" s="15">
        <v>0.0</v>
      </c>
      <c r="J1260" s="15">
        <v>0.0</v>
      </c>
      <c r="K1260" s="12" t="str">
        <f>HYPERLINK("http://www.hubspot.com/","HubSpot")</f>
        <v>HubSpot</v>
      </c>
      <c r="L1260" s="16">
        <v>705.0</v>
      </c>
      <c r="M1260" s="16">
        <v>1001.0</v>
      </c>
      <c r="N1260" s="16">
        <v>126.0</v>
      </c>
      <c r="O1260" s="17"/>
      <c r="P1260" s="18">
        <v>40927.179444444446</v>
      </c>
      <c r="Q1260" s="1" t="s">
        <v>51</v>
      </c>
      <c r="R1260" s="1" t="s">
        <v>6008</v>
      </c>
      <c r="S1260" s="13" t="s">
        <v>6009</v>
      </c>
      <c r="T1260" s="14"/>
      <c r="U1260" s="19" t="str">
        <f>HYPERLINK("https://pbs.twimg.com/profile_images/1128462921661435904/YpJbR3vz.png","View")</f>
        <v>View</v>
      </c>
      <c r="V1260" s="14"/>
      <c r="W1260" s="14"/>
      <c r="X1260" s="14"/>
      <c r="Y1260" s="14"/>
      <c r="Z1260" s="14"/>
    </row>
    <row r="1261">
      <c r="A1261" s="11">
        <v>43845.90629629629</v>
      </c>
      <c r="B1261" s="12" t="str">
        <f>HYPERLINK("https://twitter.com/Hadr619","@Hadr619")</f>
        <v>@Hadr619</v>
      </c>
      <c r="C1261" s="1" t="s">
        <v>6010</v>
      </c>
      <c r="D1261" s="1" t="s">
        <v>4800</v>
      </c>
      <c r="E1261" s="12" t="str">
        <f>HYPERLINK("https://twitter.com/Hadr619/status/1217638871955050496","1217638871955050496")</f>
        <v>1217638871955050496</v>
      </c>
      <c r="F1261" s="13" t="s">
        <v>6011</v>
      </c>
      <c r="G1261" s="14"/>
      <c r="H1261" s="14"/>
      <c r="I1261" s="15">
        <v>0.0</v>
      </c>
      <c r="J1261" s="15">
        <v>0.0</v>
      </c>
      <c r="K1261" s="12" t="str">
        <f>HYPERLINK("https://secure.fmgsuite.com","FMG Social")</f>
        <v>FMG Social</v>
      </c>
      <c r="L1261" s="16">
        <v>17.0</v>
      </c>
      <c r="M1261" s="16">
        <v>105.0</v>
      </c>
      <c r="N1261" s="16">
        <v>0.0</v>
      </c>
      <c r="O1261" s="17"/>
      <c r="P1261" s="18">
        <v>40829.15809027778</v>
      </c>
      <c r="Q1261" s="14"/>
      <c r="R1261" s="1" t="s">
        <v>6012</v>
      </c>
      <c r="S1261" s="14"/>
      <c r="T1261" s="14"/>
      <c r="U1261" s="19" t="str">
        <f>HYPERLINK("https://pbs.twimg.com/profile_images/879746477156777985/xk1BwS9J.jpg","View")</f>
        <v>View</v>
      </c>
      <c r="V1261" s="14"/>
      <c r="W1261" s="14"/>
      <c r="X1261" s="14"/>
      <c r="Y1261" s="14"/>
      <c r="Z1261" s="14"/>
    </row>
    <row r="1262">
      <c r="A1262" s="11">
        <v>43845.899675925924</v>
      </c>
      <c r="B1262" s="12" t="str">
        <f>HYPERLINK("https://twitter.com/Johnsno55969892","@Johnsno55969892")</f>
        <v>@Johnsno55969892</v>
      </c>
      <c r="C1262" s="1" t="s">
        <v>6013</v>
      </c>
      <c r="D1262" s="1" t="s">
        <v>6014</v>
      </c>
      <c r="E1262" s="12" t="str">
        <f>HYPERLINK("https://twitter.com/Johnsno55969892/status/1217636472100020224","1217636472100020224")</f>
        <v>1217636472100020224</v>
      </c>
      <c r="F1262" s="14"/>
      <c r="G1262" s="13" t="s">
        <v>6015</v>
      </c>
      <c r="H1262" s="14"/>
      <c r="I1262" s="15">
        <v>0.0</v>
      </c>
      <c r="J1262" s="15">
        <v>0.0</v>
      </c>
      <c r="K1262" s="12" t="str">
        <f t="shared" ref="K1262:K1263" si="127">HYPERLINK("http://twitter.com/download/android","Twitter for Android")</f>
        <v>Twitter for Android</v>
      </c>
      <c r="L1262" s="16">
        <v>24.0</v>
      </c>
      <c r="M1262" s="16">
        <v>229.0</v>
      </c>
      <c r="N1262" s="16">
        <v>0.0</v>
      </c>
      <c r="O1262" s="17"/>
      <c r="P1262" s="18">
        <v>43602.47759259259</v>
      </c>
      <c r="Q1262" s="1" t="s">
        <v>6016</v>
      </c>
      <c r="R1262" s="1" t="s">
        <v>6017</v>
      </c>
      <c r="S1262" s="14"/>
      <c r="T1262" s="14"/>
      <c r="U1262" s="19" t="str">
        <f>HYPERLINK("https://pbs.twimg.com/profile_images/1129411994153472007/-F91XpOx.jpg","View")</f>
        <v>View</v>
      </c>
      <c r="V1262" s="14"/>
      <c r="W1262" s="14"/>
      <c r="X1262" s="14"/>
      <c r="Y1262" s="14"/>
      <c r="Z1262" s="14"/>
    </row>
    <row r="1263">
      <c r="A1263" s="11">
        <v>43845.899189814816</v>
      </c>
      <c r="B1263" s="12" t="str">
        <f>HYPERLINK("https://twitter.com/peter10130147","@peter10130147")</f>
        <v>@peter10130147</v>
      </c>
      <c r="C1263" s="1" t="s">
        <v>6018</v>
      </c>
      <c r="D1263" s="1" t="s">
        <v>6014</v>
      </c>
      <c r="E1263" s="12" t="str">
        <f>HYPERLINK("https://twitter.com/peter10130147/status/1217636298590052353","1217636298590052353")</f>
        <v>1217636298590052353</v>
      </c>
      <c r="F1263" s="14"/>
      <c r="G1263" s="13" t="s">
        <v>6019</v>
      </c>
      <c r="H1263" s="14"/>
      <c r="I1263" s="15">
        <v>1.0</v>
      </c>
      <c r="J1263" s="15">
        <v>2.0</v>
      </c>
      <c r="K1263" s="12" t="str">
        <f t="shared" si="127"/>
        <v>Twitter for Android</v>
      </c>
      <c r="L1263" s="16">
        <v>508.0</v>
      </c>
      <c r="M1263" s="16">
        <v>1406.0</v>
      </c>
      <c r="N1263" s="16">
        <v>0.0</v>
      </c>
      <c r="O1263" s="17"/>
      <c r="P1263" s="18">
        <v>43392.42712962963</v>
      </c>
      <c r="Q1263" s="1" t="s">
        <v>6020</v>
      </c>
      <c r="R1263" s="1" t="s">
        <v>6021</v>
      </c>
      <c r="S1263" s="14"/>
      <c r="T1263" s="14"/>
      <c r="U1263" s="19" t="str">
        <f>HYPERLINK("https://pbs.twimg.com/profile_images/1053307473459847168/44y2ePwL.jpg","View")</f>
        <v>View</v>
      </c>
      <c r="V1263" s="14"/>
      <c r="W1263" s="14"/>
      <c r="X1263" s="14"/>
      <c r="Y1263" s="14"/>
      <c r="Z1263" s="14"/>
    </row>
    <row r="1264">
      <c r="A1264" s="11">
        <v>43845.897627314815</v>
      </c>
      <c r="B1264" s="12" t="str">
        <f>HYPERLINK("https://twitter.com/pelicanfreak","@pelicanfreak")</f>
        <v>@pelicanfreak</v>
      </c>
      <c r="C1264" s="1" t="s">
        <v>6022</v>
      </c>
      <c r="D1264" s="1" t="s">
        <v>193</v>
      </c>
      <c r="E1264" s="12" t="str">
        <f>HYPERLINK("https://twitter.com/pelicanfreak/status/1217635729599168512","1217635729599168512")</f>
        <v>1217635729599168512</v>
      </c>
      <c r="F1264" s="13" t="s">
        <v>6023</v>
      </c>
      <c r="G1264" s="14"/>
      <c r="H1264" s="14"/>
      <c r="I1264" s="15">
        <v>0.0</v>
      </c>
      <c r="J1264" s="15">
        <v>0.0</v>
      </c>
      <c r="K1264" s="12" t="str">
        <f>HYPERLINK("http://twitter.com","Twitter Web Client")</f>
        <v>Twitter Web Client</v>
      </c>
      <c r="L1264" s="16">
        <v>1436.0</v>
      </c>
      <c r="M1264" s="16">
        <v>581.0</v>
      </c>
      <c r="N1264" s="16">
        <v>96.0</v>
      </c>
      <c r="O1264" s="17"/>
      <c r="P1264" s="18">
        <v>41788.440150462964</v>
      </c>
      <c r="Q1264" s="1" t="s">
        <v>6024</v>
      </c>
      <c r="R1264" s="1" t="s">
        <v>6025</v>
      </c>
      <c r="S1264" s="14"/>
      <c r="T1264" s="14"/>
      <c r="U1264" s="19" t="str">
        <f>HYPERLINK("https://pbs.twimg.com/profile_images/1074131180193116160/PQHQAH00.jpg","View")</f>
        <v>View</v>
      </c>
      <c r="V1264" s="14"/>
      <c r="W1264" s="14"/>
      <c r="X1264" s="14"/>
      <c r="Y1264" s="14"/>
      <c r="Z1264" s="14"/>
    </row>
    <row r="1265">
      <c r="A1265" s="11">
        <v>43845.89251157407</v>
      </c>
      <c r="B1265" s="12" t="str">
        <f>HYPERLINK("https://twitter.com/LoveKAMS","@LoveKAMS")</f>
        <v>@LoveKAMS</v>
      </c>
      <c r="C1265" s="1" t="s">
        <v>6026</v>
      </c>
      <c r="D1265" s="1" t="s">
        <v>6027</v>
      </c>
      <c r="E1265" s="12" t="str">
        <f>HYPERLINK("https://twitter.com/LoveKAMS/status/1217633876325126144","1217633876325126144")</f>
        <v>1217633876325126144</v>
      </c>
      <c r="F1265" s="14"/>
      <c r="G1265" s="14"/>
      <c r="H1265" s="14"/>
      <c r="I1265" s="15">
        <v>0.0</v>
      </c>
      <c r="J1265" s="15">
        <v>1.0</v>
      </c>
      <c r="K1265" s="12" t="str">
        <f>HYPERLINK("http://twitter.com/download/iphone","Twitter for iPhone")</f>
        <v>Twitter for iPhone</v>
      </c>
      <c r="L1265" s="16">
        <v>50.0</v>
      </c>
      <c r="M1265" s="16">
        <v>246.0</v>
      </c>
      <c r="N1265" s="16">
        <v>0.0</v>
      </c>
      <c r="O1265" s="17"/>
      <c r="P1265" s="18">
        <v>43809.86063657407</v>
      </c>
      <c r="Q1265" s="1" t="s">
        <v>6028</v>
      </c>
      <c r="R1265" s="1" t="s">
        <v>6029</v>
      </c>
      <c r="S1265" s="14"/>
      <c r="T1265" s="14"/>
      <c r="U1265" s="19" t="str">
        <f>HYPERLINK("https://pbs.twimg.com/profile_images/1204576590786641921/Ry4z3tOn.jpg","View")</f>
        <v>View</v>
      </c>
      <c r="V1265" s="14"/>
      <c r="W1265" s="14"/>
      <c r="X1265" s="14"/>
      <c r="Y1265" s="14"/>
      <c r="Z1265" s="14"/>
    </row>
    <row r="1266">
      <c r="A1266" s="11">
        <v>43845.88976851852</v>
      </c>
      <c r="B1266" s="12" t="str">
        <f>HYPERLINK("https://twitter.com/fletchersgrove","@fletchersgrove")</f>
        <v>@fletchersgrove</v>
      </c>
      <c r="C1266" s="1" t="s">
        <v>6030</v>
      </c>
      <c r="D1266" s="1" t="s">
        <v>6031</v>
      </c>
      <c r="E1266" s="12" t="str">
        <f>HYPERLINK("https://twitter.com/fletchersgrove/status/1217632881046097920","1217632881046097920")</f>
        <v>1217632881046097920</v>
      </c>
      <c r="F1266" s="14"/>
      <c r="G1266" s="13" t="s">
        <v>6032</v>
      </c>
      <c r="H1266" s="14"/>
      <c r="I1266" s="15">
        <v>1.0</v>
      </c>
      <c r="J1266" s="15">
        <v>4.0</v>
      </c>
      <c r="K1266" s="12" t="str">
        <f>HYPERLINK("http://twitter.com/download/android","Twitter for Android")</f>
        <v>Twitter for Android</v>
      </c>
      <c r="L1266" s="16">
        <v>620.0</v>
      </c>
      <c r="M1266" s="16">
        <v>1056.0</v>
      </c>
      <c r="N1266" s="16">
        <v>11.0</v>
      </c>
      <c r="O1266" s="17"/>
      <c r="P1266" s="18">
        <v>40098.025</v>
      </c>
      <c r="Q1266" s="1" t="s">
        <v>6033</v>
      </c>
      <c r="R1266" s="1" t="s">
        <v>6034</v>
      </c>
      <c r="S1266" s="13" t="s">
        <v>6035</v>
      </c>
      <c r="T1266" s="14"/>
      <c r="U1266" s="19" t="str">
        <f>HYPERLINK("https://pbs.twimg.com/profile_images/1182018114780839936/mGJIo3A9.jpg","View")</f>
        <v>View</v>
      </c>
      <c r="V1266" s="14"/>
      <c r="W1266" s="14"/>
      <c r="X1266" s="14"/>
      <c r="Y1266" s="14"/>
      <c r="Z1266" s="14"/>
    </row>
    <row r="1267">
      <c r="A1267" s="11">
        <v>43845.88563657408</v>
      </c>
      <c r="B1267" s="12" t="str">
        <f>HYPERLINK("https://twitter.com/yogahealer","@yogahealer")</f>
        <v>@yogahealer</v>
      </c>
      <c r="C1267" s="1" t="s">
        <v>6036</v>
      </c>
      <c r="D1267" s="1" t="s">
        <v>6037</v>
      </c>
      <c r="E1267" s="12" t="str">
        <f>HYPERLINK("https://twitter.com/yogahealer/status/1217631384954642433","1217631384954642433")</f>
        <v>1217631384954642433</v>
      </c>
      <c r="F1267" s="13" t="s">
        <v>6038</v>
      </c>
      <c r="G1267" s="14"/>
      <c r="H1267" s="14"/>
      <c r="I1267" s="15">
        <v>0.0</v>
      </c>
      <c r="J1267" s="15">
        <v>0.0</v>
      </c>
      <c r="K1267" s="12" t="str">
        <f>HYPERLINK("https://smarterqueue.com","SmarterQueue")</f>
        <v>SmarterQueue</v>
      </c>
      <c r="L1267" s="16">
        <v>55.0</v>
      </c>
      <c r="M1267" s="16">
        <v>1.0</v>
      </c>
      <c r="N1267" s="16">
        <v>2.0</v>
      </c>
      <c r="O1267" s="17"/>
      <c r="P1267" s="18">
        <v>40821.39065972222</v>
      </c>
      <c r="Q1267" s="14"/>
      <c r="R1267" s="14"/>
      <c r="S1267" s="14"/>
      <c r="T1267" s="14"/>
      <c r="U1267" s="19" t="str">
        <f>HYPERLINK("https://pbs.twimg.com/profile_images/1573822062/yogahealer.JPG","View")</f>
        <v>View</v>
      </c>
      <c r="V1267" s="14"/>
      <c r="W1267" s="14"/>
      <c r="X1267" s="14"/>
      <c r="Y1267" s="14"/>
      <c r="Z1267" s="14"/>
    </row>
    <row r="1268">
      <c r="A1268" s="11">
        <v>43845.88333333333</v>
      </c>
      <c r="B1268" s="12" t="str">
        <f>HYPERLINK("https://twitter.com/rethinkstigma","@rethinkstigma")</f>
        <v>@rethinkstigma</v>
      </c>
      <c r="C1268" s="1" t="s">
        <v>6039</v>
      </c>
      <c r="D1268" s="1" t="s">
        <v>6040</v>
      </c>
      <c r="E1268" s="12" t="str">
        <f>HYPERLINK("https://twitter.com/rethinkstigma/status/1217630551680659456","1217630551680659456")</f>
        <v>1217630551680659456</v>
      </c>
      <c r="F1268" s="13" t="s">
        <v>6041</v>
      </c>
      <c r="G1268" s="14"/>
      <c r="H1268" s="14"/>
      <c r="I1268" s="15">
        <v>0.0</v>
      </c>
      <c r="J1268" s="15">
        <v>0.0</v>
      </c>
      <c r="K1268" s="12" t="str">
        <f>HYPERLINK("https://buffer.com","Buffer")</f>
        <v>Buffer</v>
      </c>
      <c r="L1268" s="16">
        <v>495.0</v>
      </c>
      <c r="M1268" s="16">
        <v>1737.0</v>
      </c>
      <c r="N1268" s="16">
        <v>0.0</v>
      </c>
      <c r="O1268" s="17"/>
      <c r="P1268" s="18">
        <v>43347.91210648148</v>
      </c>
      <c r="Q1268" s="14"/>
      <c r="R1268" s="1" t="s">
        <v>6042</v>
      </c>
      <c r="S1268" s="13" t="s">
        <v>6043</v>
      </c>
      <c r="T1268" s="14"/>
      <c r="U1268" s="19" t="str">
        <f>HYPERLINK("https://pbs.twimg.com/profile_images/1037157727976312832/050gGJ-X.jpg","View")</f>
        <v>View</v>
      </c>
      <c r="V1268" s="14"/>
      <c r="W1268" s="14"/>
      <c r="X1268" s="14"/>
      <c r="Y1268" s="14"/>
      <c r="Z1268" s="14"/>
    </row>
    <row r="1269">
      <c r="A1269" s="11">
        <v>43845.87873842593</v>
      </c>
      <c r="B1269" s="12" t="str">
        <f>HYPERLINK("https://twitter.com/MarcelaPuig12","@MarcelaPuig12")</f>
        <v>@MarcelaPuig12</v>
      </c>
      <c r="C1269" s="1" t="s">
        <v>6044</v>
      </c>
      <c r="D1269" s="1" t="s">
        <v>6045</v>
      </c>
      <c r="E1269" s="12" t="str">
        <f>HYPERLINK("https://twitter.com/MarcelaPuig12/status/1217628886164496384","1217628886164496384")</f>
        <v>1217628886164496384</v>
      </c>
      <c r="F1269" s="13" t="s">
        <v>6046</v>
      </c>
      <c r="G1269" s="13" t="s">
        <v>6047</v>
      </c>
      <c r="H1269" s="14"/>
      <c r="I1269" s="15">
        <v>1.0</v>
      </c>
      <c r="J1269" s="15">
        <v>2.0</v>
      </c>
      <c r="K1269" s="12" t="str">
        <f>HYPERLINK("http://twitter.com/download/android","Twitter for Android")</f>
        <v>Twitter for Android</v>
      </c>
      <c r="L1269" s="16">
        <v>219.0</v>
      </c>
      <c r="M1269" s="16">
        <v>840.0</v>
      </c>
      <c r="N1269" s="16">
        <v>0.0</v>
      </c>
      <c r="O1269" s="17"/>
      <c r="P1269" s="18">
        <v>43753.540717592594</v>
      </c>
      <c r="Q1269" s="14"/>
      <c r="R1269" s="1" t="s">
        <v>6048</v>
      </c>
      <c r="S1269" s="14"/>
      <c r="T1269" s="14"/>
      <c r="U1269" s="19" t="str">
        <f>HYPERLINK("https://pbs.twimg.com/profile_images/1186176562363797505/dBd_JwtD.jpg","View")</f>
        <v>View</v>
      </c>
      <c r="V1269" s="14"/>
      <c r="W1269" s="14"/>
      <c r="X1269" s="14"/>
      <c r="Y1269" s="14"/>
      <c r="Z1269" s="14"/>
    </row>
    <row r="1270">
      <c r="A1270" s="11">
        <v>43845.878530092596</v>
      </c>
      <c r="B1270" s="12" t="str">
        <f>HYPERLINK("https://twitter.com/ayman_mukerji","@ayman_mukerji")</f>
        <v>@ayman_mukerji</v>
      </c>
      <c r="C1270" s="1" t="s">
        <v>6049</v>
      </c>
      <c r="D1270" s="1" t="s">
        <v>6050</v>
      </c>
      <c r="E1270" s="12" t="str">
        <f>HYPERLINK("https://twitter.com/ayman_mukerji/status/1217628810973274115","1217628810973274115")</f>
        <v>1217628810973274115</v>
      </c>
      <c r="F1270" s="13" t="s">
        <v>6051</v>
      </c>
      <c r="G1270" s="14"/>
      <c r="H1270" s="14"/>
      <c r="I1270" s="15">
        <v>0.0</v>
      </c>
      <c r="J1270" s="15">
        <v>1.0</v>
      </c>
      <c r="K1270" s="12" t="str">
        <f t="shared" ref="K1270:K1271" si="128">HYPERLINK("https://mobile.twitter.com","Twitter Web App")</f>
        <v>Twitter Web App</v>
      </c>
      <c r="L1270" s="16">
        <v>266.0</v>
      </c>
      <c r="M1270" s="16">
        <v>1355.0</v>
      </c>
      <c r="N1270" s="16">
        <v>0.0</v>
      </c>
      <c r="O1270" s="17"/>
      <c r="P1270" s="18">
        <v>42565.684340277774</v>
      </c>
      <c r="Q1270" s="1" t="s">
        <v>809</v>
      </c>
      <c r="R1270" s="1" t="s">
        <v>6052</v>
      </c>
      <c r="S1270" s="13" t="s">
        <v>6053</v>
      </c>
      <c r="T1270" s="14"/>
      <c r="U1270" s="19" t="str">
        <f>HYPERLINK("https://pbs.twimg.com/profile_images/991396725876146176/ZJwzmiF9.jpg","View")</f>
        <v>View</v>
      </c>
      <c r="V1270" s="14"/>
      <c r="W1270" s="14"/>
      <c r="X1270" s="14"/>
      <c r="Y1270" s="14"/>
      <c r="Z1270" s="14"/>
    </row>
    <row r="1271">
      <c r="A1271" s="11">
        <v>43845.8768287037</v>
      </c>
      <c r="B1271" s="12" t="str">
        <f>HYPERLINK("https://twitter.com/skipr45870770","@skipr45870770")</f>
        <v>@skipr45870770</v>
      </c>
      <c r="C1271" s="1" t="s">
        <v>6054</v>
      </c>
      <c r="D1271" s="1" t="s">
        <v>6055</v>
      </c>
      <c r="E1271" s="12" t="str">
        <f>HYPERLINK("https://twitter.com/skipr45870770/status/1217628192430673921","1217628192430673921")</f>
        <v>1217628192430673921</v>
      </c>
      <c r="F1271" s="13" t="s">
        <v>6056</v>
      </c>
      <c r="G1271" s="13" t="s">
        <v>6057</v>
      </c>
      <c r="H1271" s="14"/>
      <c r="I1271" s="15">
        <v>0.0</v>
      </c>
      <c r="J1271" s="15">
        <v>0.0</v>
      </c>
      <c r="K1271" s="12" t="str">
        <f t="shared" si="128"/>
        <v>Twitter Web App</v>
      </c>
      <c r="L1271" s="16">
        <v>2.0</v>
      </c>
      <c r="M1271" s="16">
        <v>4.0</v>
      </c>
      <c r="N1271" s="16">
        <v>0.0</v>
      </c>
      <c r="O1271" s="17"/>
      <c r="P1271" s="18">
        <v>43809.85221064815</v>
      </c>
      <c r="Q1271" s="14"/>
      <c r="R1271" s="1" t="s">
        <v>6058</v>
      </c>
      <c r="S1271" s="13" t="s">
        <v>6056</v>
      </c>
      <c r="T1271" s="14"/>
      <c r="U1271" s="19" t="str">
        <f>HYPERLINK("https://pbs.twimg.com/profile_images/1204573453153472513/Frm5bRXS.jpg","View")</f>
        <v>View</v>
      </c>
      <c r="V1271" s="14"/>
      <c r="W1271" s="14"/>
      <c r="X1271" s="14"/>
      <c r="Y1271" s="14"/>
      <c r="Z1271" s="14"/>
    </row>
    <row r="1272">
      <c r="A1272" s="11">
        <v>43845.87542824074</v>
      </c>
      <c r="B1272" s="12" t="str">
        <f>HYPERLINK("https://twitter.com/MindingtheBrain","@MindingtheBrain")</f>
        <v>@MindingtheBrain</v>
      </c>
      <c r="C1272" s="1" t="s">
        <v>6059</v>
      </c>
      <c r="D1272" s="1" t="s">
        <v>6060</v>
      </c>
      <c r="E1272" s="12" t="str">
        <f>HYPERLINK("https://twitter.com/MindingtheBrain/status/1217627684903309312","1217627684903309312")</f>
        <v>1217627684903309312</v>
      </c>
      <c r="F1272" s="14"/>
      <c r="G1272" s="13" t="s">
        <v>6061</v>
      </c>
      <c r="H1272" s="14"/>
      <c r="I1272" s="15">
        <v>5.0</v>
      </c>
      <c r="J1272" s="15">
        <v>34.0</v>
      </c>
      <c r="K1272" s="12" t="str">
        <f>HYPERLINK("http://twitter.com/download/iphone","Twitter for iPhone")</f>
        <v>Twitter for iPhone</v>
      </c>
      <c r="L1272" s="16">
        <v>1642.0</v>
      </c>
      <c r="M1272" s="16">
        <v>1688.0</v>
      </c>
      <c r="N1272" s="16">
        <v>5.0</v>
      </c>
      <c r="O1272" s="17"/>
      <c r="P1272" s="18">
        <v>43201.61347222222</v>
      </c>
      <c r="Q1272" s="1" t="s">
        <v>6062</v>
      </c>
      <c r="R1272" s="1" t="s">
        <v>6063</v>
      </c>
      <c r="S1272" s="13" t="s">
        <v>6064</v>
      </c>
      <c r="T1272" s="14"/>
      <c r="U1272" s="19" t="str">
        <f>HYPERLINK("https://pbs.twimg.com/profile_images/997604815822782464/LQcKp9D4.jpg","View")</f>
        <v>View</v>
      </c>
      <c r="V1272" s="14"/>
      <c r="W1272" s="14"/>
      <c r="X1272" s="14"/>
      <c r="Y1272" s="14"/>
      <c r="Z1272" s="14"/>
    </row>
    <row r="1273">
      <c r="A1273" s="11">
        <v>43845.87520833334</v>
      </c>
      <c r="B1273" s="12" t="str">
        <f>HYPERLINK("https://twitter.com/boomer12k","@boomer12k")</f>
        <v>@boomer12k</v>
      </c>
      <c r="C1273" s="1" t="s">
        <v>450</v>
      </c>
      <c r="D1273" s="1" t="s">
        <v>6065</v>
      </c>
      <c r="E1273" s="12" t="str">
        <f>HYPERLINK("https://twitter.com/boomer12k/status/1217627607086166016","1217627607086166016")</f>
        <v>1217627607086166016</v>
      </c>
      <c r="F1273" s="13" t="s">
        <v>6066</v>
      </c>
      <c r="G1273" s="13" t="s">
        <v>6067</v>
      </c>
      <c r="H1273" s="14"/>
      <c r="I1273" s="15">
        <v>0.0</v>
      </c>
      <c r="J1273" s="15">
        <v>2.0</v>
      </c>
      <c r="K1273" s="12" t="str">
        <f>HYPERLINK("https://mobile.twitter.com","Twitter Web App")</f>
        <v>Twitter Web App</v>
      </c>
      <c r="L1273" s="16">
        <v>2297.0</v>
      </c>
      <c r="M1273" s="16">
        <v>1478.0</v>
      </c>
      <c r="N1273" s="16">
        <v>5.0</v>
      </c>
      <c r="O1273" s="17"/>
      <c r="P1273" s="18">
        <v>42661.68740740741</v>
      </c>
      <c r="Q1273" s="1" t="s">
        <v>454</v>
      </c>
      <c r="R1273" s="1" t="s">
        <v>455</v>
      </c>
      <c r="S1273" s="13" t="s">
        <v>456</v>
      </c>
      <c r="T1273" s="14"/>
      <c r="U1273" s="19" t="str">
        <f>HYPERLINK("https://pbs.twimg.com/profile_images/789641845110247425/IZRgk2Gj.jpg","View")</f>
        <v>View</v>
      </c>
      <c r="V1273" s="14"/>
      <c r="W1273" s="14"/>
      <c r="X1273" s="14"/>
      <c r="Y1273" s="14"/>
      <c r="Z1273" s="14"/>
    </row>
    <row r="1274">
      <c r="A1274" s="11">
        <v>43845.87503472222</v>
      </c>
      <c r="B1274" s="12" t="str">
        <f>HYPERLINK("https://twitter.com/CherylJanecky","@CherylJanecky")</f>
        <v>@CherylJanecky</v>
      </c>
      <c r="C1274" s="1" t="s">
        <v>1773</v>
      </c>
      <c r="D1274" s="1" t="s">
        <v>6068</v>
      </c>
      <c r="E1274" s="12" t="str">
        <f>HYPERLINK("https://twitter.com/CherylJanecky/status/1217627545262227457","1217627545262227457")</f>
        <v>1217627545262227457</v>
      </c>
      <c r="F1274" s="13" t="s">
        <v>6069</v>
      </c>
      <c r="G1274" s="14"/>
      <c r="H1274" s="14"/>
      <c r="I1274" s="15">
        <v>0.0</v>
      </c>
      <c r="J1274" s="15">
        <v>0.0</v>
      </c>
      <c r="K1274" s="12" t="str">
        <f>HYPERLINK("https://www.socialoomph.com","SocialOomph")</f>
        <v>SocialOomph</v>
      </c>
      <c r="L1274" s="16">
        <v>26291.0</v>
      </c>
      <c r="M1274" s="16">
        <v>30413.0</v>
      </c>
      <c r="N1274" s="16">
        <v>670.0</v>
      </c>
      <c r="O1274" s="17"/>
      <c r="P1274" s="18">
        <v>40232.579247685186</v>
      </c>
      <c r="Q1274" s="1" t="s">
        <v>1776</v>
      </c>
      <c r="R1274" s="1" t="s">
        <v>1777</v>
      </c>
      <c r="S1274" s="13" t="s">
        <v>1778</v>
      </c>
      <c r="T1274" s="14"/>
      <c r="U1274" s="19" t="str">
        <f>HYPERLINK("https://pbs.twimg.com/profile_images/714174290/janecky-80-80.jpg","View")</f>
        <v>View</v>
      </c>
      <c r="V1274" s="14"/>
      <c r="W1274" s="14"/>
      <c r="X1274" s="14"/>
      <c r="Y1274" s="14"/>
      <c r="Z1274" s="14"/>
    </row>
    <row r="1275">
      <c r="A1275" s="11">
        <v>43845.86827546296</v>
      </c>
      <c r="B1275" s="12" t="str">
        <f>HYPERLINK("https://twitter.com/itsthesmallstuf","@itsthesmallstuf")</f>
        <v>@itsthesmallstuf</v>
      </c>
      <c r="C1275" s="1" t="s">
        <v>6070</v>
      </c>
      <c r="D1275" s="1" t="s">
        <v>6071</v>
      </c>
      <c r="E1275" s="12" t="str">
        <f>HYPERLINK("https://twitter.com/itsthesmallstuf/status/1217625094727651328","1217625094727651328")</f>
        <v>1217625094727651328</v>
      </c>
      <c r="F1275" s="13" t="s">
        <v>6072</v>
      </c>
      <c r="G1275" s="13" t="s">
        <v>6073</v>
      </c>
      <c r="H1275" s="14"/>
      <c r="I1275" s="15">
        <v>0.0</v>
      </c>
      <c r="J1275" s="15">
        <v>1.0</v>
      </c>
      <c r="K1275" s="12" t="str">
        <f>HYPERLINK("https://ifttt.com","IFTTT")</f>
        <v>IFTTT</v>
      </c>
      <c r="L1275" s="16">
        <v>160.0</v>
      </c>
      <c r="M1275" s="16">
        <v>171.0</v>
      </c>
      <c r="N1275" s="16">
        <v>7.0</v>
      </c>
      <c r="O1275" s="17"/>
      <c r="P1275" s="18">
        <v>42923.356203703705</v>
      </c>
      <c r="Q1275" s="1" t="s">
        <v>6074</v>
      </c>
      <c r="R1275" s="1" t="s">
        <v>6075</v>
      </c>
      <c r="S1275" s="13" t="s">
        <v>6076</v>
      </c>
      <c r="T1275" s="14"/>
      <c r="U1275" s="19" t="str">
        <f>HYPERLINK("https://pbs.twimg.com/profile_images/944595505228554242/N5ofYBWO.jpg","View")</f>
        <v>View</v>
      </c>
      <c r="V1275" s="14"/>
      <c r="W1275" s="14"/>
      <c r="X1275" s="14"/>
      <c r="Y1275" s="14"/>
      <c r="Z1275" s="14"/>
    </row>
    <row r="1276">
      <c r="A1276" s="11">
        <v>43845.8618287037</v>
      </c>
      <c r="B1276" s="12" t="str">
        <f>HYPERLINK("https://twitter.com/submit_site","@submit_site")</f>
        <v>@submit_site</v>
      </c>
      <c r="C1276" s="1" t="s">
        <v>6077</v>
      </c>
      <c r="D1276" s="1" t="s">
        <v>6078</v>
      </c>
      <c r="E1276" s="12" t="str">
        <f>HYPERLINK("https://twitter.com/submit_site/status/1217622757002960896","1217622757002960896")</f>
        <v>1217622757002960896</v>
      </c>
      <c r="F1276" s="13" t="s">
        <v>6079</v>
      </c>
      <c r="G1276" s="13" t="s">
        <v>6080</v>
      </c>
      <c r="H1276" s="14"/>
      <c r="I1276" s="15">
        <v>0.0</v>
      </c>
      <c r="J1276" s="15">
        <v>0.0</v>
      </c>
      <c r="K1276" s="12" t="str">
        <f>HYPERLINK("https://buffer.com","Buffer")</f>
        <v>Buffer</v>
      </c>
      <c r="L1276" s="16">
        <v>116806.0</v>
      </c>
      <c r="M1276" s="16">
        <v>126554.0</v>
      </c>
      <c r="N1276" s="16">
        <v>1082.0</v>
      </c>
      <c r="O1276" s="17"/>
      <c r="P1276" s="18">
        <v>39977.858761574076</v>
      </c>
      <c r="Q1276" s="14"/>
      <c r="R1276" s="1" t="s">
        <v>6081</v>
      </c>
      <c r="S1276" s="13" t="s">
        <v>6082</v>
      </c>
      <c r="T1276" s="14"/>
      <c r="U1276" s="19" t="str">
        <f>HYPERLINK("https://pbs.twimg.com/profile_images/858566823280816128/ON8Pdf-O.jpg","View")</f>
        <v>View</v>
      </c>
      <c r="V1276" s="14"/>
      <c r="W1276" s="14"/>
      <c r="X1276" s="14"/>
      <c r="Y1276" s="14"/>
      <c r="Z1276" s="14"/>
    </row>
    <row r="1277">
      <c r="A1277" s="11">
        <v>43845.85423611111</v>
      </c>
      <c r="B1277" s="12" t="str">
        <f>HYPERLINK("https://twitter.com/TCWealth","@TCWealth")</f>
        <v>@TCWealth</v>
      </c>
      <c r="C1277" s="1" t="s">
        <v>6083</v>
      </c>
      <c r="D1277" s="1" t="s">
        <v>6084</v>
      </c>
      <c r="E1277" s="12" t="str">
        <f>HYPERLINK("https://twitter.com/TCWealth/status/1217620005250109440","1217620005250109440")</f>
        <v>1217620005250109440</v>
      </c>
      <c r="F1277" s="13" t="s">
        <v>6085</v>
      </c>
      <c r="G1277" s="14"/>
      <c r="H1277" s="14"/>
      <c r="I1277" s="15">
        <v>0.0</v>
      </c>
      <c r="J1277" s="15">
        <v>0.0</v>
      </c>
      <c r="K1277" s="12" t="str">
        <f>HYPERLINK("https://www.hootsuite.com","Hootsuite Inc.")</f>
        <v>Hootsuite Inc.</v>
      </c>
      <c r="L1277" s="16">
        <v>1417.0</v>
      </c>
      <c r="M1277" s="16">
        <v>3506.0</v>
      </c>
      <c r="N1277" s="16">
        <v>79.0</v>
      </c>
      <c r="O1277" s="17"/>
      <c r="P1277" s="18">
        <v>41637.70722222222</v>
      </c>
      <c r="Q1277" s="1" t="s">
        <v>6086</v>
      </c>
      <c r="R1277" s="1" t="s">
        <v>6087</v>
      </c>
      <c r="S1277" s="13" t="s">
        <v>6088</v>
      </c>
      <c r="T1277" s="14"/>
      <c r="U1277" s="19" t="str">
        <f>HYPERLINK("https://pbs.twimg.com/profile_images/833023682477903873/R-9jnzOq.jpg","View")</f>
        <v>View</v>
      </c>
      <c r="V1277" s="14"/>
      <c r="W1277" s="14"/>
      <c r="X1277" s="14"/>
      <c r="Y1277" s="14"/>
      <c r="Z1277" s="14"/>
    </row>
    <row r="1278">
      <c r="A1278" s="11">
        <v>43845.85383101852</v>
      </c>
      <c r="B1278" s="12" t="str">
        <f>HYPERLINK("https://twitter.com/AUBRYDJAFI","@AUBRYDJAFI")</f>
        <v>@AUBRYDJAFI</v>
      </c>
      <c r="C1278" s="1" t="s">
        <v>6089</v>
      </c>
      <c r="D1278" s="1" t="s">
        <v>6090</v>
      </c>
      <c r="E1278" s="12" t="str">
        <f>HYPERLINK("https://twitter.com/AUBRYDJAFI/status/1217619861766979584","1217619861766979584")</f>
        <v>1217619861766979584</v>
      </c>
      <c r="F1278" s="13" t="s">
        <v>6091</v>
      </c>
      <c r="G1278" s="14"/>
      <c r="H1278" s="14"/>
      <c r="I1278" s="15">
        <v>0.0</v>
      </c>
      <c r="J1278" s="15">
        <v>1.0</v>
      </c>
      <c r="K1278" s="12" t="str">
        <f>HYPERLINK("http://instagram.com","Instagram")</f>
        <v>Instagram</v>
      </c>
      <c r="L1278" s="16">
        <v>2933.0</v>
      </c>
      <c r="M1278" s="16">
        <v>1034.0</v>
      </c>
      <c r="N1278" s="16">
        <v>66.0</v>
      </c>
      <c r="O1278" s="17"/>
      <c r="P1278" s="18">
        <v>39884.93715277778</v>
      </c>
      <c r="Q1278" s="1" t="s">
        <v>6092</v>
      </c>
      <c r="R1278" s="1" t="s">
        <v>6093</v>
      </c>
      <c r="S1278" s="13" t="s">
        <v>6094</v>
      </c>
      <c r="T1278" s="14"/>
      <c r="U1278" s="19" t="str">
        <f>HYPERLINK("https://pbs.twimg.com/profile_images/720198157766828032/xMlVgeUO.jpg","View")</f>
        <v>View</v>
      </c>
      <c r="V1278" s="14"/>
      <c r="W1278" s="14"/>
      <c r="X1278" s="14"/>
      <c r="Y1278" s="14"/>
      <c r="Z1278" s="14"/>
    </row>
    <row r="1279">
      <c r="A1279" s="11">
        <v>43845.851388888885</v>
      </c>
      <c r="B1279" s="12" t="str">
        <f>HYPERLINK("https://twitter.com/michelle_munt","@michelle_munt")</f>
        <v>@michelle_munt</v>
      </c>
      <c r="C1279" s="1" t="s">
        <v>6095</v>
      </c>
      <c r="D1279" s="1" t="s">
        <v>6096</v>
      </c>
      <c r="E1279" s="12" t="str">
        <f>HYPERLINK("https://twitter.com/michelle_munt/status/1217618973576925184","1217618973576925184")</f>
        <v>1217618973576925184</v>
      </c>
      <c r="F1279" s="13" t="s">
        <v>6097</v>
      </c>
      <c r="G1279" s="14"/>
      <c r="H1279" s="14"/>
      <c r="I1279" s="15">
        <v>4.0</v>
      </c>
      <c r="J1279" s="15">
        <v>6.0</v>
      </c>
      <c r="K1279" s="12" t="str">
        <f>HYPERLINK("https://about.twitter.com/products/tweetdeck","TweetDeck")</f>
        <v>TweetDeck</v>
      </c>
      <c r="L1279" s="16">
        <v>4227.0</v>
      </c>
      <c r="M1279" s="16">
        <v>2136.0</v>
      </c>
      <c r="N1279" s="16">
        <v>152.0</v>
      </c>
      <c r="O1279" s="17"/>
      <c r="P1279" s="18">
        <v>42605.44054398148</v>
      </c>
      <c r="Q1279" s="1" t="s">
        <v>6098</v>
      </c>
      <c r="R1279" s="1" t="s">
        <v>6099</v>
      </c>
      <c r="S1279" s="13" t="s">
        <v>6100</v>
      </c>
      <c r="T1279" s="14"/>
      <c r="U1279" s="19" t="str">
        <f>HYPERLINK("https://pbs.twimg.com/profile_images/768099637282693121/gur_KJoL.jpg","View")</f>
        <v>View</v>
      </c>
      <c r="V1279" s="14"/>
      <c r="W1279" s="14"/>
      <c r="X1279" s="14"/>
      <c r="Y1279" s="14"/>
      <c r="Z1279" s="14"/>
    </row>
    <row r="1280">
      <c r="A1280" s="11">
        <v>43845.8491087963</v>
      </c>
      <c r="B1280" s="12" t="str">
        <f>HYPERLINK("https://twitter.com/jtpoche","@jtpoche")</f>
        <v>@jtpoche</v>
      </c>
      <c r="C1280" s="1" t="s">
        <v>6101</v>
      </c>
      <c r="D1280" s="1" t="s">
        <v>276</v>
      </c>
      <c r="E1280" s="12" t="str">
        <f>HYPERLINK("https://twitter.com/jtpoche/status/1217618148997902337","1217618148997902337")</f>
        <v>1217618148997902337</v>
      </c>
      <c r="F1280" s="13" t="s">
        <v>6102</v>
      </c>
      <c r="G1280" s="13" t="s">
        <v>6103</v>
      </c>
      <c r="H1280" s="14"/>
      <c r="I1280" s="15">
        <v>0.0</v>
      </c>
      <c r="J1280" s="15">
        <v>0.0</v>
      </c>
      <c r="K1280" s="12" t="str">
        <f>HYPERLINK("http://www.edgetheory.com","EdgeTheory")</f>
        <v>EdgeTheory</v>
      </c>
      <c r="L1280" s="16">
        <v>37.0</v>
      </c>
      <c r="M1280" s="16">
        <v>38.0</v>
      </c>
      <c r="N1280" s="16">
        <v>12.0</v>
      </c>
      <c r="O1280" s="17"/>
      <c r="P1280" s="18">
        <v>42121.896365740744</v>
      </c>
      <c r="Q1280" s="1" t="s">
        <v>6104</v>
      </c>
      <c r="R1280" s="14"/>
      <c r="S1280" s="13" t="s">
        <v>6105</v>
      </c>
      <c r="T1280" s="14"/>
      <c r="U1280" s="19" t="str">
        <f>HYPERLINK("https://pbs.twimg.com/profile_images/641096009712553984/AQocqTwi.jpg","View")</f>
        <v>View</v>
      </c>
      <c r="V1280" s="14"/>
      <c r="W1280" s="14"/>
      <c r="X1280" s="14"/>
      <c r="Y1280" s="14"/>
      <c r="Z1280" s="14"/>
    </row>
    <row r="1281">
      <c r="A1281" s="11">
        <v>43845.84375</v>
      </c>
      <c r="B1281" s="12" t="str">
        <f>HYPERLINK("https://twitter.com/TrainingMindful","@TrainingMindful")</f>
        <v>@TrainingMindful</v>
      </c>
      <c r="C1281" s="1" t="s">
        <v>94</v>
      </c>
      <c r="D1281" s="1" t="s">
        <v>1475</v>
      </c>
      <c r="E1281" s="12" t="str">
        <f>HYPERLINK("https://twitter.com/TrainingMindful/status/1217616206963843073","1217616206963843073")</f>
        <v>1217616206963843073</v>
      </c>
      <c r="F1281" s="13" t="s">
        <v>1476</v>
      </c>
      <c r="G1281" s="14"/>
      <c r="H1281" s="14"/>
      <c r="I1281" s="15">
        <v>2.0</v>
      </c>
      <c r="J1281" s="15">
        <v>5.0</v>
      </c>
      <c r="K1281" s="12" t="str">
        <f>HYPERLINK("https://www.socialoomph.com","SocialOomph")</f>
        <v>SocialOomph</v>
      </c>
      <c r="L1281" s="16">
        <v>185303.0</v>
      </c>
      <c r="M1281" s="16">
        <v>43980.0</v>
      </c>
      <c r="N1281" s="16">
        <v>2800.0</v>
      </c>
      <c r="O1281" s="17"/>
      <c r="P1281" s="18">
        <v>41286.039305555554</v>
      </c>
      <c r="Q1281" s="1" t="s">
        <v>97</v>
      </c>
      <c r="R1281" s="1" t="s">
        <v>98</v>
      </c>
      <c r="S1281" s="13" t="s">
        <v>99</v>
      </c>
      <c r="T1281" s="14"/>
      <c r="U1281" s="19" t="str">
        <f>HYPERLINK("https://pbs.twimg.com/profile_images/566526924059459584/gdMxDA9x.jpeg","View")</f>
        <v>View</v>
      </c>
      <c r="V1281" s="14"/>
      <c r="W1281" s="14"/>
      <c r="X1281" s="14"/>
      <c r="Y1281" s="14"/>
      <c r="Z1281" s="14"/>
    </row>
    <row r="1282">
      <c r="A1282" s="11">
        <v>43845.84363425926</v>
      </c>
      <c r="B1282" s="12" t="str">
        <f>HYPERLINK("https://twitter.com/TweetedByJeanne","@TweetedByJeanne")</f>
        <v>@TweetedByJeanne</v>
      </c>
      <c r="C1282" s="1" t="s">
        <v>135</v>
      </c>
      <c r="D1282" s="1" t="s">
        <v>6106</v>
      </c>
      <c r="E1282" s="12" t="str">
        <f>HYPERLINK("https://twitter.com/TweetedByJeanne/status/1217616164517548032","1217616164517548032")</f>
        <v>1217616164517548032</v>
      </c>
      <c r="F1282" s="13" t="s">
        <v>6107</v>
      </c>
      <c r="G1282" s="13" t="s">
        <v>6108</v>
      </c>
      <c r="H1282" s="14"/>
      <c r="I1282" s="15">
        <v>0.0</v>
      </c>
      <c r="J1282" s="15">
        <v>1.0</v>
      </c>
      <c r="K1282" s="12" t="str">
        <f>HYPERLINK("https://missinglettr.com","Missinglettr")</f>
        <v>Missinglettr</v>
      </c>
      <c r="L1282" s="16">
        <v>759.0</v>
      </c>
      <c r="M1282" s="16">
        <v>585.0</v>
      </c>
      <c r="N1282" s="16">
        <v>14.0</v>
      </c>
      <c r="O1282" s="17"/>
      <c r="P1282" s="18">
        <v>39376.24958333334</v>
      </c>
      <c r="Q1282" s="14"/>
      <c r="R1282" s="1" t="s">
        <v>139</v>
      </c>
      <c r="S1282" s="13" t="s">
        <v>140</v>
      </c>
      <c r="T1282" s="14"/>
      <c r="U1282" s="19" t="str">
        <f>HYPERLINK("https://pbs.twimg.com/profile_images/1212485249222885376/GU9N66dR.jpg","View")</f>
        <v>View</v>
      </c>
      <c r="V1282" s="14"/>
      <c r="W1282" s="14"/>
      <c r="X1282" s="14"/>
      <c r="Y1282" s="14"/>
      <c r="Z1282" s="14"/>
    </row>
    <row r="1283">
      <c r="A1283" s="11">
        <v>43845.83824074074</v>
      </c>
      <c r="B1283" s="12" t="str">
        <f>HYPERLINK("https://twitter.com/Dishle","@Dishle")</f>
        <v>@Dishle</v>
      </c>
      <c r="C1283" s="1" t="s">
        <v>6109</v>
      </c>
      <c r="D1283" s="1" t="s">
        <v>6110</v>
      </c>
      <c r="E1283" s="12" t="str">
        <f>HYPERLINK("https://twitter.com/Dishle/status/1217614211301478400","1217614211301478400")</f>
        <v>1217614211301478400</v>
      </c>
      <c r="F1283" s="14"/>
      <c r="G1283" s="14"/>
      <c r="H1283" s="14"/>
      <c r="I1283" s="15">
        <v>0.0</v>
      </c>
      <c r="J1283" s="15">
        <v>1.0</v>
      </c>
      <c r="K1283" s="12" t="str">
        <f>HYPERLINK("http://twitter.com/download/iphone","Twitter for iPhone")</f>
        <v>Twitter for iPhone</v>
      </c>
      <c r="L1283" s="16">
        <v>93.0</v>
      </c>
      <c r="M1283" s="16">
        <v>121.0</v>
      </c>
      <c r="N1283" s="16">
        <v>16.0</v>
      </c>
      <c r="O1283" s="17"/>
      <c r="P1283" s="18">
        <v>40221.65329861111</v>
      </c>
      <c r="Q1283" s="1" t="s">
        <v>1493</v>
      </c>
      <c r="R1283" s="1" t="s">
        <v>6111</v>
      </c>
      <c r="S1283" s="13" t="s">
        <v>6112</v>
      </c>
      <c r="T1283" s="14"/>
      <c r="U1283" s="19" t="str">
        <f>HYPERLINK("https://pbs.twimg.com/profile_images/565184354477809664/BScnz_vs.jpeg","View")</f>
        <v>View</v>
      </c>
      <c r="V1283" s="14"/>
      <c r="W1283" s="14"/>
      <c r="X1283" s="14"/>
      <c r="Y1283" s="14"/>
      <c r="Z1283" s="14"/>
    </row>
    <row r="1284">
      <c r="A1284" s="11">
        <v>43845.836863425924</v>
      </c>
      <c r="B1284" s="12" t="str">
        <f>HYPERLINK("https://twitter.com/Insperity","@Insperity")</f>
        <v>@Insperity</v>
      </c>
      <c r="C1284" s="1" t="s">
        <v>6113</v>
      </c>
      <c r="D1284" s="1" t="s">
        <v>6114</v>
      </c>
      <c r="E1284" s="12" t="str">
        <f>HYPERLINK("https://twitter.com/Insperity/status/1217613712737153024","1217613712737153024")</f>
        <v>1217613712737153024</v>
      </c>
      <c r="F1284" s="13" t="s">
        <v>6115</v>
      </c>
      <c r="G1284" s="14"/>
      <c r="H1284" s="14"/>
      <c r="I1284" s="15">
        <v>0.0</v>
      </c>
      <c r="J1284" s="15">
        <v>0.0</v>
      </c>
      <c r="K1284" s="12" t="str">
        <f t="shared" ref="K1284:K1285" si="129">HYPERLINK("https://www.hootsuite.com","Hootsuite Inc.")</f>
        <v>Hootsuite Inc.</v>
      </c>
      <c r="L1284" s="16">
        <v>89157.0</v>
      </c>
      <c r="M1284" s="16">
        <v>42709.0</v>
      </c>
      <c r="N1284" s="16">
        <v>1249.0</v>
      </c>
      <c r="O1284" s="17"/>
      <c r="P1284" s="18">
        <v>40326.51322916667</v>
      </c>
      <c r="Q1284" s="1" t="s">
        <v>2271</v>
      </c>
      <c r="R1284" s="1" t="s">
        <v>6116</v>
      </c>
      <c r="S1284" s="13" t="s">
        <v>6117</v>
      </c>
      <c r="T1284" s="14"/>
      <c r="U1284" s="19" t="str">
        <f>HYPERLINK("https://pbs.twimg.com/profile_images/1088117616474939393/xoiT07XY.jpg","View")</f>
        <v>View</v>
      </c>
      <c r="V1284" s="14"/>
      <c r="W1284" s="14"/>
      <c r="X1284" s="14"/>
      <c r="Y1284" s="14"/>
      <c r="Z1284" s="14"/>
    </row>
    <row r="1285">
      <c r="A1285" s="11">
        <v>43845.83385416667</v>
      </c>
      <c r="B1285" s="12" t="str">
        <f>HYPERLINK("https://twitter.com/docweighsin","@docweighsin")</f>
        <v>@docweighsin</v>
      </c>
      <c r="C1285" s="1" t="s">
        <v>4941</v>
      </c>
      <c r="D1285" s="1" t="s">
        <v>6118</v>
      </c>
      <c r="E1285" s="12" t="str">
        <f>HYPERLINK("https://twitter.com/docweighsin/status/1217612619881816065","1217612619881816065")</f>
        <v>1217612619881816065</v>
      </c>
      <c r="F1285" s="13" t="s">
        <v>6119</v>
      </c>
      <c r="G1285" s="13" t="s">
        <v>6120</v>
      </c>
      <c r="H1285" s="14"/>
      <c r="I1285" s="15">
        <v>0.0</v>
      </c>
      <c r="J1285" s="15">
        <v>3.0</v>
      </c>
      <c r="K1285" s="12" t="str">
        <f t="shared" si="129"/>
        <v>Hootsuite Inc.</v>
      </c>
      <c r="L1285" s="16">
        <v>29339.0</v>
      </c>
      <c r="M1285" s="16">
        <v>12043.0</v>
      </c>
      <c r="N1285" s="16">
        <v>1154.0</v>
      </c>
      <c r="O1285" s="17"/>
      <c r="P1285" s="18">
        <v>40370.9605787037</v>
      </c>
      <c r="Q1285" s="1" t="s">
        <v>1782</v>
      </c>
      <c r="R1285" s="1" t="s">
        <v>4945</v>
      </c>
      <c r="S1285" s="13" t="s">
        <v>4946</v>
      </c>
      <c r="T1285" s="14"/>
      <c r="U1285" s="19" t="str">
        <f>HYPERLINK("https://pbs.twimg.com/profile_images/738469375083053056/OpR72fYy.jpg","View")</f>
        <v>View</v>
      </c>
      <c r="V1285" s="14"/>
      <c r="W1285" s="14"/>
      <c r="X1285" s="14"/>
      <c r="Y1285" s="14"/>
      <c r="Z1285" s="14"/>
    </row>
    <row r="1286">
      <c r="A1286" s="11">
        <v>43845.83357638889</v>
      </c>
      <c r="B1286" s="12" t="str">
        <f>HYPERLINK("https://twitter.com/ZoilitaGrant","@ZoilitaGrant")</f>
        <v>@ZoilitaGrant</v>
      </c>
      <c r="C1286" s="1" t="s">
        <v>6121</v>
      </c>
      <c r="D1286" s="1" t="s">
        <v>6122</v>
      </c>
      <c r="E1286" s="12" t="str">
        <f>HYPERLINK("https://twitter.com/ZoilitaGrant/status/1217612518287216640","1217612518287216640")</f>
        <v>1217612518287216640</v>
      </c>
      <c r="F1286" s="13" t="s">
        <v>6123</v>
      </c>
      <c r="G1286" s="14"/>
      <c r="H1286" s="14"/>
      <c r="I1286" s="15">
        <v>0.0</v>
      </c>
      <c r="J1286" s="15">
        <v>0.0</v>
      </c>
      <c r="K1286" s="12" t="str">
        <f>HYPERLINK("http://meetedgar.com","MeetEdgar")</f>
        <v>MeetEdgar</v>
      </c>
      <c r="L1286" s="16">
        <v>821.0</v>
      </c>
      <c r="M1286" s="16">
        <v>876.0</v>
      </c>
      <c r="N1286" s="16">
        <v>10.0</v>
      </c>
      <c r="O1286" s="17"/>
      <c r="P1286" s="18">
        <v>41620.75969907407</v>
      </c>
      <c r="Q1286" s="14"/>
      <c r="R1286" s="1" t="s">
        <v>6124</v>
      </c>
      <c r="S1286" s="14"/>
      <c r="T1286" s="14"/>
      <c r="U1286" s="19" t="str">
        <f>HYPERLINK("https://pbs.twimg.com/profile_images/1068494743720480768/oKyqibgh.jpg","View")</f>
        <v>View</v>
      </c>
      <c r="V1286" s="14"/>
      <c r="W1286" s="14"/>
      <c r="X1286" s="14"/>
      <c r="Y1286" s="14"/>
      <c r="Z1286" s="14"/>
    </row>
    <row r="1287">
      <c r="A1287" s="11">
        <v>43845.83211805555</v>
      </c>
      <c r="B1287" s="12" t="str">
        <f>HYPERLINK("https://twitter.com/LivingWellFami1","@LivingWellFami1")</f>
        <v>@LivingWellFami1</v>
      </c>
      <c r="C1287" s="1" t="s">
        <v>6125</v>
      </c>
      <c r="D1287" s="1" t="s">
        <v>6126</v>
      </c>
      <c r="E1287" s="12" t="str">
        <f>HYPERLINK("https://twitter.com/LivingWellFami1/status/1217611990111326208","1217611990111326208")</f>
        <v>1217611990111326208</v>
      </c>
      <c r="F1287" s="13" t="s">
        <v>6127</v>
      </c>
      <c r="G1287" s="13" t="s">
        <v>6128</v>
      </c>
      <c r="H1287" s="14"/>
      <c r="I1287" s="15">
        <v>0.0</v>
      </c>
      <c r="J1287" s="15">
        <v>0.0</v>
      </c>
      <c r="K1287" s="12" t="str">
        <f>HYPERLINK("https://promorepublic.com","PromoRepublic")</f>
        <v>PromoRepublic</v>
      </c>
      <c r="L1287" s="16">
        <v>0.0</v>
      </c>
      <c r="M1287" s="16">
        <v>1.0</v>
      </c>
      <c r="N1287" s="16">
        <v>0.0</v>
      </c>
      <c r="O1287" s="17"/>
      <c r="P1287" s="18">
        <v>43839.75940972222</v>
      </c>
      <c r="Q1287" s="1" t="s">
        <v>6129</v>
      </c>
      <c r="R1287" s="1" t="s">
        <v>6130</v>
      </c>
      <c r="S1287" s="13" t="s">
        <v>6131</v>
      </c>
      <c r="T1287" s="14"/>
      <c r="U1287" s="19" t="str">
        <f>HYPERLINK("https://pbs.twimg.com/profile_images/1215414402553221120/CEZCZ8A7.jpg","View")</f>
        <v>View</v>
      </c>
      <c r="V1287" s="14"/>
      <c r="W1287" s="14"/>
      <c r="X1287" s="14"/>
      <c r="Y1287" s="14"/>
      <c r="Z1287" s="14"/>
    </row>
    <row r="1288">
      <c r="A1288" s="11">
        <v>43845.82777777778</v>
      </c>
      <c r="B1288" s="12" t="str">
        <f>HYPERLINK("https://twitter.com/DrPaulChristo","@DrPaulChristo")</f>
        <v>@DrPaulChristo</v>
      </c>
      <c r="C1288" s="1" t="s">
        <v>6132</v>
      </c>
      <c r="D1288" s="1" t="s">
        <v>6133</v>
      </c>
      <c r="E1288" s="12" t="str">
        <f>HYPERLINK("https://twitter.com/DrPaulChristo/status/1217610417268318208","1217610417268318208")</f>
        <v>1217610417268318208</v>
      </c>
      <c r="F1288" s="13" t="s">
        <v>6134</v>
      </c>
      <c r="G1288" s="14"/>
      <c r="H1288" s="14"/>
      <c r="I1288" s="15">
        <v>0.0</v>
      </c>
      <c r="J1288" s="15">
        <v>0.0</v>
      </c>
      <c r="K1288" s="12" t="str">
        <f>HYPERLINK("https://about.twitter.com/products/tweetdeck","TweetDeck")</f>
        <v>TweetDeck</v>
      </c>
      <c r="L1288" s="16">
        <v>7219.0</v>
      </c>
      <c r="M1288" s="16">
        <v>3052.0</v>
      </c>
      <c r="N1288" s="16">
        <v>220.0</v>
      </c>
      <c r="O1288" s="17"/>
      <c r="P1288" s="18">
        <v>40723.73957175926</v>
      </c>
      <c r="Q1288" s="1" t="s">
        <v>6135</v>
      </c>
      <c r="R1288" s="1" t="s">
        <v>6136</v>
      </c>
      <c r="S1288" s="13" t="s">
        <v>6137</v>
      </c>
      <c r="T1288" s="14"/>
      <c r="U1288" s="19" t="str">
        <f>HYPERLINK("https://pbs.twimg.com/profile_images/892427758676168704/dYrnsMc-.jpg","View")</f>
        <v>View</v>
      </c>
      <c r="V1288" s="14"/>
      <c r="W1288" s="14"/>
      <c r="X1288" s="14"/>
      <c r="Y1288" s="14"/>
      <c r="Z1288" s="14"/>
    </row>
    <row r="1289">
      <c r="A1289" s="11">
        <v>43845.82032407407</v>
      </c>
      <c r="B1289" s="12" t="str">
        <f>HYPERLINK("https://twitter.com/hannahmhsw","@hannahmhsw")</f>
        <v>@hannahmhsw</v>
      </c>
      <c r="C1289" s="1" t="s">
        <v>6138</v>
      </c>
      <c r="D1289" s="1" t="s">
        <v>6139</v>
      </c>
      <c r="E1289" s="12" t="str">
        <f>HYPERLINK("https://twitter.com/hannahmhsw/status/1217607716543324166","1217607716543324166")</f>
        <v>1217607716543324166</v>
      </c>
      <c r="F1289" s="14"/>
      <c r="G1289" s="13" t="s">
        <v>6140</v>
      </c>
      <c r="H1289" s="14"/>
      <c r="I1289" s="15">
        <v>0.0</v>
      </c>
      <c r="J1289" s="15">
        <v>2.0</v>
      </c>
      <c r="K1289" s="12" t="str">
        <f t="shared" ref="K1289:K1290" si="130">HYPERLINK("http://twitter.com/download/iphone","Twitter for iPhone")</f>
        <v>Twitter for iPhone</v>
      </c>
      <c r="L1289" s="16">
        <v>64.0</v>
      </c>
      <c r="M1289" s="16">
        <v>166.0</v>
      </c>
      <c r="N1289" s="16">
        <v>0.0</v>
      </c>
      <c r="O1289" s="17"/>
      <c r="P1289" s="18">
        <v>43378.783321759256</v>
      </c>
      <c r="Q1289" s="1" t="s">
        <v>6141</v>
      </c>
      <c r="R1289" s="1" t="s">
        <v>6142</v>
      </c>
      <c r="S1289" s="14"/>
      <c r="T1289" s="14"/>
      <c r="U1289" s="19" t="str">
        <f>HYPERLINK("https://pbs.twimg.com/profile_images/1199453599396442115/91m4XscO.jpg","View")</f>
        <v>View</v>
      </c>
      <c r="V1289" s="14"/>
      <c r="W1289" s="14"/>
      <c r="X1289" s="14"/>
      <c r="Y1289" s="14"/>
      <c r="Z1289" s="14"/>
    </row>
    <row r="1290">
      <c r="A1290" s="11">
        <v>43845.816296296296</v>
      </c>
      <c r="B1290" s="12" t="str">
        <f>HYPERLINK("https://twitter.com/30seconds","@30seconds")</f>
        <v>@30seconds</v>
      </c>
      <c r="C1290" s="1" t="s">
        <v>6143</v>
      </c>
      <c r="D1290" s="1" t="s">
        <v>6144</v>
      </c>
      <c r="E1290" s="12" t="str">
        <f>HYPERLINK("https://twitter.com/30seconds/status/1217606257508519938","1217606257508519938")</f>
        <v>1217606257508519938</v>
      </c>
      <c r="F1290" s="13" t="s">
        <v>6145</v>
      </c>
      <c r="G1290" s="14"/>
      <c r="H1290" s="14"/>
      <c r="I1290" s="15">
        <v>0.0</v>
      </c>
      <c r="J1290" s="15">
        <v>0.0</v>
      </c>
      <c r="K1290" s="12" t="str">
        <f t="shared" si="130"/>
        <v>Twitter for iPhone</v>
      </c>
      <c r="L1290" s="16">
        <v>30169.0</v>
      </c>
      <c r="M1290" s="16">
        <v>6355.0</v>
      </c>
      <c r="N1290" s="16">
        <v>1320.0</v>
      </c>
      <c r="O1290" s="17"/>
      <c r="P1290" s="18">
        <v>40473.68349537037</v>
      </c>
      <c r="Q1290" s="1" t="s">
        <v>6146</v>
      </c>
      <c r="R1290" s="1" t="s">
        <v>6147</v>
      </c>
      <c r="S1290" s="13" t="s">
        <v>6148</v>
      </c>
      <c r="T1290" s="14"/>
      <c r="U1290" s="19" t="str">
        <f>HYPERLINK("https://pbs.twimg.com/profile_images/809079596394102784/QkUVx_1v.jpg","View")</f>
        <v>View</v>
      </c>
      <c r="V1290" s="14"/>
      <c r="W1290" s="14"/>
      <c r="X1290" s="14"/>
      <c r="Y1290" s="14"/>
      <c r="Z1290" s="14"/>
    </row>
    <row r="1291">
      <c r="A1291" s="11">
        <v>43845.8127662037</v>
      </c>
      <c r="B1291" s="12" t="str">
        <f>HYPERLINK("https://twitter.com/MasteryQuadrant","@MasteryQuadrant")</f>
        <v>@MasteryQuadrant</v>
      </c>
      <c r="C1291" s="1" t="s">
        <v>6149</v>
      </c>
      <c r="D1291" s="1" t="s">
        <v>6150</v>
      </c>
      <c r="E1291" s="12" t="str">
        <f>HYPERLINK("https://twitter.com/MasteryQuadrant/status/1217604979898318848","1217604979898318848")</f>
        <v>1217604979898318848</v>
      </c>
      <c r="F1291" s="13" t="s">
        <v>6151</v>
      </c>
      <c r="G1291" s="14"/>
      <c r="H1291" s="14"/>
      <c r="I1291" s="15">
        <v>0.0</v>
      </c>
      <c r="J1291" s="15">
        <v>3.0</v>
      </c>
      <c r="K1291" s="12" t="str">
        <f>HYPERLINK("https://www.hootsuite.com","Hootsuite Inc.")</f>
        <v>Hootsuite Inc.</v>
      </c>
      <c r="L1291" s="16">
        <v>1354.0</v>
      </c>
      <c r="M1291" s="16">
        <v>1403.0</v>
      </c>
      <c r="N1291" s="16">
        <v>0.0</v>
      </c>
      <c r="O1291" s="17"/>
      <c r="P1291" s="18">
        <v>43529.173842592594</v>
      </c>
      <c r="Q1291" s="14"/>
      <c r="R1291" s="1" t="s">
        <v>6152</v>
      </c>
      <c r="S1291" s="13" t="s">
        <v>6153</v>
      </c>
      <c r="T1291" s="14"/>
      <c r="U1291" s="19" t="str">
        <f>HYPERLINK("https://pbs.twimg.com/profile_images/1105416866829238273/HkQe-1e7.png","View")</f>
        <v>View</v>
      </c>
      <c r="V1291" s="14"/>
      <c r="W1291" s="14"/>
      <c r="X1291" s="14"/>
      <c r="Y1291" s="14"/>
      <c r="Z1291" s="14"/>
    </row>
    <row r="1292">
      <c r="A1292" s="11">
        <v>43845.80528935185</v>
      </c>
      <c r="B1292" s="12" t="str">
        <f>HYPERLINK("https://twitter.com/Ohioman2010","@Ohioman2010")</f>
        <v>@Ohioman2010</v>
      </c>
      <c r="C1292" s="1" t="s">
        <v>192</v>
      </c>
      <c r="D1292" s="1" t="s">
        <v>193</v>
      </c>
      <c r="E1292" s="12" t="str">
        <f>HYPERLINK("https://twitter.com/Ohioman2010/status/1217602266951118849","1217602266951118849")</f>
        <v>1217602266951118849</v>
      </c>
      <c r="F1292" s="13" t="s">
        <v>194</v>
      </c>
      <c r="G1292" s="14"/>
      <c r="H1292" s="14"/>
      <c r="I1292" s="15">
        <v>0.0</v>
      </c>
      <c r="J1292" s="15">
        <v>1.0</v>
      </c>
      <c r="K1292" s="12" t="str">
        <f>HYPERLINK("http://twitter.com","Twitter Web Client")</f>
        <v>Twitter Web Client</v>
      </c>
      <c r="L1292" s="16">
        <v>2367.0</v>
      </c>
      <c r="M1292" s="16">
        <v>1482.0</v>
      </c>
      <c r="N1292" s="16">
        <v>231.0</v>
      </c>
      <c r="O1292" s="17"/>
      <c r="P1292" s="18">
        <v>40435.43912037037</v>
      </c>
      <c r="Q1292" s="1" t="s">
        <v>195</v>
      </c>
      <c r="R1292" s="1" t="s">
        <v>196</v>
      </c>
      <c r="S1292" s="13" t="s">
        <v>197</v>
      </c>
      <c r="T1292" s="14"/>
      <c r="U1292" s="19" t="str">
        <f>HYPERLINK("https://pbs.twimg.com/profile_images/1095129599170748416/GfYj0DEO.jpg","View")</f>
        <v>View</v>
      </c>
      <c r="V1292" s="14"/>
      <c r="W1292" s="14"/>
      <c r="X1292" s="14"/>
      <c r="Y1292" s="14"/>
      <c r="Z1292" s="14"/>
    </row>
    <row r="1293">
      <c r="A1293" s="11">
        <v>43845.80417824074</v>
      </c>
      <c r="B1293" s="12" t="str">
        <f>HYPERLINK("https://twitter.com/AndrewK_1980","@AndrewK_1980")</f>
        <v>@AndrewK_1980</v>
      </c>
      <c r="C1293" s="1" t="s">
        <v>6154</v>
      </c>
      <c r="D1293" s="1" t="s">
        <v>6155</v>
      </c>
      <c r="E1293" s="12" t="str">
        <f>HYPERLINK("https://twitter.com/AndrewK_1980/status/1217601867531935744","1217601867531935744")</f>
        <v>1217601867531935744</v>
      </c>
      <c r="F1293" s="13" t="s">
        <v>6156</v>
      </c>
      <c r="G1293" s="14"/>
      <c r="H1293" s="14"/>
      <c r="I1293" s="15">
        <v>1.0</v>
      </c>
      <c r="J1293" s="15">
        <v>4.0</v>
      </c>
      <c r="K1293" s="12" t="str">
        <f>HYPERLINK("http://twitter.com/#!/download/ipad","Twitter for iPad")</f>
        <v>Twitter for iPad</v>
      </c>
      <c r="L1293" s="16">
        <v>4541.0</v>
      </c>
      <c r="M1293" s="16">
        <v>3134.0</v>
      </c>
      <c r="N1293" s="16">
        <v>80.0</v>
      </c>
      <c r="O1293" s="17"/>
      <c r="P1293" s="18">
        <v>42249.71726851852</v>
      </c>
      <c r="Q1293" s="1" t="s">
        <v>6157</v>
      </c>
      <c r="R1293" s="1" t="s">
        <v>6158</v>
      </c>
      <c r="S1293" s="14"/>
      <c r="T1293" s="14"/>
      <c r="U1293" s="19" t="str">
        <f>HYPERLINK("https://pbs.twimg.com/profile_images/639602284087898112/PFq6o3MS.jpg","View")</f>
        <v>View</v>
      </c>
      <c r="V1293" s="14"/>
      <c r="W1293" s="14"/>
      <c r="X1293" s="14"/>
      <c r="Y1293" s="14"/>
      <c r="Z1293" s="14"/>
    </row>
    <row r="1294">
      <c r="A1294" s="11">
        <v>43845.80417824074</v>
      </c>
      <c r="B1294" s="12" t="str">
        <f>HYPERLINK("https://twitter.com/ComColdSecrets","@ComColdSecrets")</f>
        <v>@ComColdSecrets</v>
      </c>
      <c r="C1294" s="1" t="s">
        <v>6159</v>
      </c>
      <c r="D1294" s="1" t="s">
        <v>5329</v>
      </c>
      <c r="E1294" s="12" t="str">
        <f>HYPERLINK("https://twitter.com/ComColdSecrets/status/1217601867129204736","1217601867129204736")</f>
        <v>1217601867129204736</v>
      </c>
      <c r="F1294" s="13" t="s">
        <v>5330</v>
      </c>
      <c r="G1294" s="13" t="s">
        <v>6160</v>
      </c>
      <c r="H1294" s="14"/>
      <c r="I1294" s="15">
        <v>0.0</v>
      </c>
      <c r="J1294" s="15">
        <v>1.0</v>
      </c>
      <c r="K1294" s="12" t="str">
        <f>HYPERLINK("https://buffer.com","Buffer")</f>
        <v>Buffer</v>
      </c>
      <c r="L1294" s="16">
        <v>3.0</v>
      </c>
      <c r="M1294" s="16">
        <v>0.0</v>
      </c>
      <c r="N1294" s="16">
        <v>0.0</v>
      </c>
      <c r="O1294" s="17"/>
      <c r="P1294" s="18">
        <v>43572.64701388888</v>
      </c>
      <c r="Q1294" s="14"/>
      <c r="R1294" s="14"/>
      <c r="S1294" s="14"/>
      <c r="T1294" s="14"/>
      <c r="U1294" s="19" t="str">
        <f>HYPERLINK("https://pbs.twimg.com/profile_images/1118598433026105344/HwPeE3Pm.jpg","View")</f>
        <v>View</v>
      </c>
      <c r="V1294" s="14"/>
      <c r="W1294" s="14"/>
      <c r="X1294" s="14"/>
      <c r="Y1294" s="14"/>
      <c r="Z1294" s="14"/>
    </row>
    <row r="1295">
      <c r="A1295" s="11">
        <v>43845.79807870371</v>
      </c>
      <c r="B1295" s="12" t="str">
        <f>HYPERLINK("https://twitter.com/yographic39","@yographic39")</f>
        <v>@yographic39</v>
      </c>
      <c r="C1295" s="1" t="s">
        <v>5063</v>
      </c>
      <c r="D1295" s="1" t="s">
        <v>6161</v>
      </c>
      <c r="E1295" s="12" t="str">
        <f>HYPERLINK("https://twitter.com/yographic39/status/1217599654256369665","1217599654256369665")</f>
        <v>1217599654256369665</v>
      </c>
      <c r="F1295" s="13" t="s">
        <v>6162</v>
      </c>
      <c r="G1295" s="14"/>
      <c r="H1295" s="14"/>
      <c r="I1295" s="15">
        <v>2.0</v>
      </c>
      <c r="J1295" s="15">
        <v>3.0</v>
      </c>
      <c r="K1295" s="12" t="str">
        <f>HYPERLINK("http://twitter.com","Twitter Web Client")</f>
        <v>Twitter Web Client</v>
      </c>
      <c r="L1295" s="16">
        <v>825.0</v>
      </c>
      <c r="M1295" s="16">
        <v>728.0</v>
      </c>
      <c r="N1295" s="16">
        <v>7.0</v>
      </c>
      <c r="O1295" s="17"/>
      <c r="P1295" s="18">
        <v>42641.78980324074</v>
      </c>
      <c r="Q1295" s="14"/>
      <c r="R1295" s="1" t="s">
        <v>5066</v>
      </c>
      <c r="S1295" s="14"/>
      <c r="T1295" s="14"/>
      <c r="U1295" s="19" t="str">
        <f>HYPERLINK("https://pbs.twimg.com/profile_images/1094042832027840512/dWX72nhZ.jpg","View")</f>
        <v>View</v>
      </c>
      <c r="V1295" s="14"/>
      <c r="W1295" s="14"/>
      <c r="X1295" s="14"/>
      <c r="Y1295" s="14"/>
      <c r="Z1295" s="14"/>
    </row>
    <row r="1296">
      <c r="A1296" s="11">
        <v>43845.79614583333</v>
      </c>
      <c r="B1296" s="12" t="str">
        <f>HYPERLINK("https://twitter.com/K4yleighx","@K4yleighx")</f>
        <v>@K4yleighx</v>
      </c>
      <c r="C1296" s="1" t="s">
        <v>6163</v>
      </c>
      <c r="D1296" s="1" t="s">
        <v>6164</v>
      </c>
      <c r="E1296" s="12" t="str">
        <f>HYPERLINK("https://twitter.com/K4yleighx/status/1217598954046619650","1217598954046619650")</f>
        <v>1217598954046619650</v>
      </c>
      <c r="F1296" s="14"/>
      <c r="G1296" s="14"/>
      <c r="H1296" s="14"/>
      <c r="I1296" s="15">
        <v>0.0</v>
      </c>
      <c r="J1296" s="15">
        <v>1.0</v>
      </c>
      <c r="K1296" s="12" t="str">
        <f>HYPERLINK("http://twitter.com/download/iphone","Twitter for iPhone")</f>
        <v>Twitter for iPhone</v>
      </c>
      <c r="L1296" s="16">
        <v>44.0</v>
      </c>
      <c r="M1296" s="16">
        <v>730.0</v>
      </c>
      <c r="N1296" s="16">
        <v>0.0</v>
      </c>
      <c r="O1296" s="17"/>
      <c r="P1296" s="18">
        <v>40912.598125000004</v>
      </c>
      <c r="Q1296" s="1" t="s">
        <v>6165</v>
      </c>
      <c r="R1296" s="1" t="s">
        <v>6166</v>
      </c>
      <c r="S1296" s="13" t="s">
        <v>6167</v>
      </c>
      <c r="T1296" s="14"/>
      <c r="U1296" s="19" t="str">
        <f>HYPERLINK("https://pbs.twimg.com/profile_images/1212312568691343360/5VZxjyvK.jpg","View")</f>
        <v>View</v>
      </c>
      <c r="V1296" s="14"/>
      <c r="W1296" s="14"/>
      <c r="X1296" s="14"/>
      <c r="Y1296" s="14"/>
      <c r="Z1296" s="14"/>
    </row>
    <row r="1297">
      <c r="A1297" s="11">
        <v>43845.7952662037</v>
      </c>
      <c r="B1297" s="12" t="str">
        <f>HYPERLINK("https://twitter.com/renascencemusic","@renascencemusic")</f>
        <v>@renascencemusic</v>
      </c>
      <c r="C1297" s="1" t="s">
        <v>247</v>
      </c>
      <c r="D1297" s="1" t="s">
        <v>1555</v>
      </c>
      <c r="E1297" s="12" t="str">
        <f>HYPERLINK("https://twitter.com/renascencemusic/status/1217598636286205960","1217598636286205960")</f>
        <v>1217598636286205960</v>
      </c>
      <c r="F1297" s="13" t="s">
        <v>1556</v>
      </c>
      <c r="G1297" s="13" t="s">
        <v>6168</v>
      </c>
      <c r="H1297" s="14"/>
      <c r="I1297" s="15">
        <v>0.0</v>
      </c>
      <c r="J1297" s="15">
        <v>0.0</v>
      </c>
      <c r="K1297" s="12" t="str">
        <f>HYPERLINK("https://www.socialoomph.com","SocialOomph")</f>
        <v>SocialOomph</v>
      </c>
      <c r="L1297" s="16">
        <v>13031.0</v>
      </c>
      <c r="M1297" s="16">
        <v>11650.0</v>
      </c>
      <c r="N1297" s="16">
        <v>219.0</v>
      </c>
      <c r="O1297" s="17"/>
      <c r="P1297" s="18">
        <v>42470.67052083333</v>
      </c>
      <c r="Q1297" s="1" t="s">
        <v>251</v>
      </c>
      <c r="R1297" s="1" t="s">
        <v>252</v>
      </c>
      <c r="S1297" s="13" t="s">
        <v>253</v>
      </c>
      <c r="T1297" s="14"/>
      <c r="U1297" s="19" t="str">
        <f>HYPERLINK("https://pbs.twimg.com/profile_images/1123407512743612416/g721ra2J.png","View")</f>
        <v>View</v>
      </c>
      <c r="V1297" s="14"/>
      <c r="W1297" s="14"/>
      <c r="X1297" s="14"/>
      <c r="Y1297" s="14"/>
      <c r="Z1297" s="14"/>
    </row>
    <row r="1298">
      <c r="A1298" s="11">
        <v>43845.79518518518</v>
      </c>
      <c r="B1298" s="12" t="str">
        <f>HYPERLINK("https://twitter.com/happyhandstoys","@happyhandstoys")</f>
        <v>@happyhandstoys</v>
      </c>
      <c r="C1298" s="1" t="s">
        <v>1795</v>
      </c>
      <c r="D1298" s="1" t="s">
        <v>6169</v>
      </c>
      <c r="E1298" s="12" t="str">
        <f>HYPERLINK("https://twitter.com/happyhandstoys/status/1217598605114138624","1217598605114138624")</f>
        <v>1217598605114138624</v>
      </c>
      <c r="F1298" s="1" t="s">
        <v>6170</v>
      </c>
      <c r="G1298" s="14"/>
      <c r="H1298" s="14"/>
      <c r="I1298" s="15">
        <v>0.0</v>
      </c>
      <c r="J1298" s="15">
        <v>1.0</v>
      </c>
      <c r="K1298" s="12" t="str">
        <f>HYPERLINK("https://www.hootsuite.com","Hootsuite Inc.")</f>
        <v>Hootsuite Inc.</v>
      </c>
      <c r="L1298" s="16">
        <v>2541.0</v>
      </c>
      <c r="M1298" s="16">
        <v>4752.0</v>
      </c>
      <c r="N1298" s="16">
        <v>34.0</v>
      </c>
      <c r="O1298" s="17"/>
      <c r="P1298" s="18">
        <v>42817.57172453703</v>
      </c>
      <c r="Q1298" s="1" t="s">
        <v>1798</v>
      </c>
      <c r="R1298" s="1" t="s">
        <v>1799</v>
      </c>
      <c r="S1298" s="13" t="s">
        <v>1800</v>
      </c>
      <c r="T1298" s="14"/>
      <c r="U1298" s="19" t="str">
        <f>HYPERLINK("https://pbs.twimg.com/profile_images/845839282770100224/2YEak1EB.jpg","View")</f>
        <v>View</v>
      </c>
      <c r="V1298" s="14"/>
      <c r="W1298" s="14"/>
      <c r="X1298" s="14"/>
      <c r="Y1298" s="14"/>
      <c r="Z1298" s="14"/>
    </row>
    <row r="1299">
      <c r="A1299" s="11">
        <v>43845.793912037036</v>
      </c>
      <c r="B1299" s="12" t="str">
        <f>HYPERLINK("https://twitter.com/FSonnenberg","@FSonnenberg")</f>
        <v>@FSonnenberg</v>
      </c>
      <c r="C1299" s="1" t="s">
        <v>659</v>
      </c>
      <c r="D1299" s="1" t="s">
        <v>6171</v>
      </c>
      <c r="E1299" s="12" t="str">
        <f>HYPERLINK("https://twitter.com/FSonnenberg/status/1217598147255513088","1217598147255513088")</f>
        <v>1217598147255513088</v>
      </c>
      <c r="F1299" s="13" t="s">
        <v>6172</v>
      </c>
      <c r="G1299" s="13" t="s">
        <v>6173</v>
      </c>
      <c r="H1299" s="14"/>
      <c r="I1299" s="15">
        <v>0.0</v>
      </c>
      <c r="J1299" s="15">
        <v>5.0</v>
      </c>
      <c r="K1299" s="12" t="str">
        <f>HYPERLINK("https://www.socialjukebox.com","The Social Jukebox")</f>
        <v>The Social Jukebox</v>
      </c>
      <c r="L1299" s="16">
        <v>93854.0</v>
      </c>
      <c r="M1299" s="16">
        <v>61540.0</v>
      </c>
      <c r="N1299" s="16">
        <v>2658.0</v>
      </c>
      <c r="O1299" s="17"/>
      <c r="P1299" s="18">
        <v>40419.65079861111</v>
      </c>
      <c r="Q1299" s="1" t="s">
        <v>662</v>
      </c>
      <c r="R1299" s="1" t="s">
        <v>663</v>
      </c>
      <c r="S1299" s="13" t="s">
        <v>664</v>
      </c>
      <c r="T1299" s="14"/>
      <c r="U1299" s="19" t="str">
        <f>HYPERLINK("https://pbs.twimg.com/profile_images/841693592733155328/Hk0DSFtA.jpg","View")</f>
        <v>View</v>
      </c>
      <c r="V1299" s="14"/>
      <c r="W1299" s="14"/>
      <c r="X1299" s="14"/>
      <c r="Y1299" s="14"/>
      <c r="Z1299" s="14"/>
    </row>
    <row r="1300">
      <c r="A1300" s="11">
        <v>43845.792499999996</v>
      </c>
      <c r="B1300" s="12" t="str">
        <f>HYPERLINK("https://twitter.com/leisuresurrend1","@leisuresurrend1")</f>
        <v>@leisuresurrend1</v>
      </c>
      <c r="C1300" s="1" t="s">
        <v>6174</v>
      </c>
      <c r="D1300" s="1" t="s">
        <v>6175</v>
      </c>
      <c r="E1300" s="12" t="str">
        <f>HYPERLINK("https://twitter.com/leisuresurrend1/status/1217597633772052480","1217597633772052480")</f>
        <v>1217597633772052480</v>
      </c>
      <c r="F1300" s="13" t="s">
        <v>6176</v>
      </c>
      <c r="G1300" s="13" t="s">
        <v>6177</v>
      </c>
      <c r="H1300" s="14"/>
      <c r="I1300" s="15">
        <v>0.0</v>
      </c>
      <c r="J1300" s="15">
        <v>0.0</v>
      </c>
      <c r="K1300" s="12" t="str">
        <f t="shared" ref="K1300:K1303" si="131">HYPERLINK("https://www.hootsuite.com","Hootsuite Inc.")</f>
        <v>Hootsuite Inc.</v>
      </c>
      <c r="L1300" s="16">
        <v>0.0</v>
      </c>
      <c r="M1300" s="16">
        <v>0.0</v>
      </c>
      <c r="N1300" s="16">
        <v>0.0</v>
      </c>
      <c r="O1300" s="17"/>
      <c r="P1300" s="18">
        <v>43681.58434027778</v>
      </c>
      <c r="Q1300" s="14"/>
      <c r="R1300" s="1" t="s">
        <v>6178</v>
      </c>
      <c r="S1300" s="13" t="s">
        <v>6179</v>
      </c>
      <c r="T1300" s="14"/>
      <c r="U1300" s="19" t="str">
        <f>HYPERLINK("https://pbs.twimg.com/profile_images/1174828671778951168/vI4gokT5.png","View")</f>
        <v>View</v>
      </c>
      <c r="V1300" s="14"/>
      <c r="W1300" s="14"/>
      <c r="X1300" s="14"/>
      <c r="Y1300" s="14"/>
      <c r="Z1300" s="14"/>
    </row>
    <row r="1301">
      <c r="A1301" s="11">
        <v>43845.788993055554</v>
      </c>
      <c r="B1301" s="12" t="str">
        <f>HYPERLINK("https://twitter.com/LB_Meditation","@LB_Meditation")</f>
        <v>@LB_Meditation</v>
      </c>
      <c r="C1301" s="1" t="s">
        <v>6180</v>
      </c>
      <c r="D1301" s="1" t="s">
        <v>6181</v>
      </c>
      <c r="E1301" s="12" t="str">
        <f>HYPERLINK("https://twitter.com/LB_Meditation/status/1217596363019558914","1217596363019558914")</f>
        <v>1217596363019558914</v>
      </c>
      <c r="F1301" s="14"/>
      <c r="G1301" s="13" t="s">
        <v>6182</v>
      </c>
      <c r="H1301" s="14"/>
      <c r="I1301" s="15">
        <v>0.0</v>
      </c>
      <c r="J1301" s="15">
        <v>0.0</v>
      </c>
      <c r="K1301" s="12" t="str">
        <f t="shared" si="131"/>
        <v>Hootsuite Inc.</v>
      </c>
      <c r="L1301" s="16">
        <v>432.0</v>
      </c>
      <c r="M1301" s="16">
        <v>545.0</v>
      </c>
      <c r="N1301" s="16">
        <v>21.0</v>
      </c>
      <c r="O1301" s="17"/>
      <c r="P1301" s="18">
        <v>41284.75677083334</v>
      </c>
      <c r="Q1301" s="1" t="s">
        <v>6183</v>
      </c>
      <c r="R1301" s="1" t="s">
        <v>6184</v>
      </c>
      <c r="S1301" s="13" t="s">
        <v>6185</v>
      </c>
      <c r="T1301" s="14"/>
      <c r="U1301" s="19" t="str">
        <f>HYPERLINK("https://pbs.twimg.com/profile_images/1101933323914403840/eGs6B1yl.png","View")</f>
        <v>View</v>
      </c>
      <c r="V1301" s="14"/>
      <c r="W1301" s="14"/>
      <c r="X1301" s="14"/>
      <c r="Y1301" s="14"/>
      <c r="Z1301" s="14"/>
    </row>
    <row r="1302">
      <c r="A1302" s="11">
        <v>43845.787314814814</v>
      </c>
      <c r="B1302" s="12" t="str">
        <f>HYPERLINK("https://twitter.com/Trinaty","@Trinaty")</f>
        <v>@Trinaty</v>
      </c>
      <c r="C1302" s="1" t="s">
        <v>6186</v>
      </c>
      <c r="D1302" s="1" t="s">
        <v>6187</v>
      </c>
      <c r="E1302" s="12" t="str">
        <f>HYPERLINK("https://twitter.com/Trinaty/status/1217595755533414403","1217595755533414403")</f>
        <v>1217595755533414403</v>
      </c>
      <c r="F1302" s="13" t="s">
        <v>6188</v>
      </c>
      <c r="G1302" s="14"/>
      <c r="H1302" s="14"/>
      <c r="I1302" s="15">
        <v>0.0</v>
      </c>
      <c r="J1302" s="15">
        <v>0.0</v>
      </c>
      <c r="K1302" s="12" t="str">
        <f t="shared" si="131"/>
        <v>Hootsuite Inc.</v>
      </c>
      <c r="L1302" s="16">
        <v>1233.0</v>
      </c>
      <c r="M1302" s="16">
        <v>1933.0</v>
      </c>
      <c r="N1302" s="16">
        <v>67.0</v>
      </c>
      <c r="O1302" s="17"/>
      <c r="P1302" s="18">
        <v>39880.33519675926</v>
      </c>
      <c r="Q1302" s="1" t="s">
        <v>1172</v>
      </c>
      <c r="R1302" s="1" t="s">
        <v>6189</v>
      </c>
      <c r="S1302" s="13" t="s">
        <v>6190</v>
      </c>
      <c r="T1302" s="14"/>
      <c r="U1302" s="19" t="str">
        <f>HYPERLINK("https://pbs.twimg.com/profile_images/1076183592219365376/sU_Cpt8a.jpg","View")</f>
        <v>View</v>
      </c>
      <c r="V1302" s="14"/>
      <c r="W1302" s="14"/>
      <c r="X1302" s="14"/>
      <c r="Y1302" s="14"/>
      <c r="Z1302" s="14"/>
    </row>
    <row r="1303">
      <c r="A1303" s="11">
        <v>43845.78597222222</v>
      </c>
      <c r="B1303" s="12" t="str">
        <f>HYPERLINK("https://twitter.com/BSCAANational","@BSCAANational")</f>
        <v>@BSCAANational</v>
      </c>
      <c r="C1303" s="1" t="s">
        <v>6191</v>
      </c>
      <c r="D1303" s="1" t="s">
        <v>6192</v>
      </c>
      <c r="E1303" s="12" t="str">
        <f>HYPERLINK("https://twitter.com/BSCAANational/status/1217595270181113864","1217595270181113864")</f>
        <v>1217595270181113864</v>
      </c>
      <c r="F1303" s="13" t="s">
        <v>6193</v>
      </c>
      <c r="G1303" s="14"/>
      <c r="H1303" s="14"/>
      <c r="I1303" s="15">
        <v>1.0</v>
      </c>
      <c r="J1303" s="15">
        <v>1.0</v>
      </c>
      <c r="K1303" s="12" t="str">
        <f t="shared" si="131"/>
        <v>Hootsuite Inc.</v>
      </c>
      <c r="L1303" s="16">
        <v>66.0</v>
      </c>
      <c r="M1303" s="16">
        <v>49.0</v>
      </c>
      <c r="N1303" s="16">
        <v>1.0</v>
      </c>
      <c r="O1303" s="17"/>
      <c r="P1303" s="18">
        <v>42303.24724537037</v>
      </c>
      <c r="Q1303" s="1" t="s">
        <v>51</v>
      </c>
      <c r="R1303" s="1" t="s">
        <v>6194</v>
      </c>
      <c r="S1303" s="13" t="s">
        <v>6195</v>
      </c>
      <c r="T1303" s="14"/>
      <c r="U1303" s="19" t="str">
        <f>HYPERLINK("https://pbs.twimg.com/profile_images/658586074566889472/WNR-Ql-d.jpg","View")</f>
        <v>View</v>
      </c>
      <c r="V1303" s="14"/>
      <c r="W1303" s="14"/>
      <c r="X1303" s="14"/>
      <c r="Y1303" s="14"/>
      <c r="Z1303" s="14"/>
    </row>
    <row r="1304">
      <c r="A1304" s="11">
        <v>43845.783368055556</v>
      </c>
      <c r="B1304" s="12" t="str">
        <f>HYPERLINK("https://twitter.com/SoIsFibroReal","@SoIsFibroReal")</f>
        <v>@SoIsFibroReal</v>
      </c>
      <c r="C1304" s="1" t="s">
        <v>1543</v>
      </c>
      <c r="D1304" s="1" t="s">
        <v>6196</v>
      </c>
      <c r="E1304" s="12" t="str">
        <f>HYPERLINK("https://twitter.com/SoIsFibroReal/status/1217594324818546689","1217594324818546689")</f>
        <v>1217594324818546689</v>
      </c>
      <c r="F1304" s="13" t="s">
        <v>1545</v>
      </c>
      <c r="G1304" s="14"/>
      <c r="H1304" s="14"/>
      <c r="I1304" s="15">
        <v>1.0</v>
      </c>
      <c r="J1304" s="15">
        <v>4.0</v>
      </c>
      <c r="K1304" s="12" t="str">
        <f>HYPERLINK("https://mobile.twitter.com","Twitter Web App")</f>
        <v>Twitter Web App</v>
      </c>
      <c r="L1304" s="16">
        <v>4890.0</v>
      </c>
      <c r="M1304" s="16">
        <v>5373.0</v>
      </c>
      <c r="N1304" s="16">
        <v>38.0</v>
      </c>
      <c r="O1304" s="17"/>
      <c r="P1304" s="18">
        <v>42783.583125000005</v>
      </c>
      <c r="Q1304" s="1" t="s">
        <v>143</v>
      </c>
      <c r="R1304" s="1" t="s">
        <v>1546</v>
      </c>
      <c r="S1304" s="13" t="s">
        <v>1547</v>
      </c>
      <c r="T1304" s="14"/>
      <c r="U1304" s="19" t="str">
        <f>HYPERLINK("https://pbs.twimg.com/profile_images/833390340778422278/g2ya39PE.jpg","View")</f>
        <v>View</v>
      </c>
      <c r="V1304" s="14"/>
      <c r="W1304" s="14"/>
      <c r="X1304" s="14"/>
      <c r="Y1304" s="14"/>
      <c r="Z1304" s="14"/>
    </row>
    <row r="1305">
      <c r="A1305" s="11">
        <v>43845.78318287037</v>
      </c>
      <c r="B1305" s="12" t="str">
        <f>HYPERLINK("https://twitter.com/flannelrainbows","@flannelrainbows")</f>
        <v>@flannelrainbows</v>
      </c>
      <c r="C1305" s="1" t="s">
        <v>978</v>
      </c>
      <c r="D1305" s="1" t="s">
        <v>6197</v>
      </c>
      <c r="E1305" s="12" t="str">
        <f>HYPERLINK("https://twitter.com/flannelrainbows/status/1217594257877368835","1217594257877368835")</f>
        <v>1217594257877368835</v>
      </c>
      <c r="F1305" s="14"/>
      <c r="G1305" s="14"/>
      <c r="H1305" s="14"/>
      <c r="I1305" s="15">
        <v>15.0</v>
      </c>
      <c r="J1305" s="15">
        <v>46.0</v>
      </c>
      <c r="K1305" s="12" t="str">
        <f>HYPERLINK("http://twitter.com/download/android","Twitter for Android")</f>
        <v>Twitter for Android</v>
      </c>
      <c r="L1305" s="16">
        <v>7558.0</v>
      </c>
      <c r="M1305" s="16">
        <v>6892.0</v>
      </c>
      <c r="N1305" s="16">
        <v>7.0</v>
      </c>
      <c r="O1305" s="17"/>
      <c r="P1305" s="18">
        <v>43485.49912037037</v>
      </c>
      <c r="Q1305" s="1" t="s">
        <v>982</v>
      </c>
      <c r="R1305" s="1" t="s">
        <v>983</v>
      </c>
      <c r="S1305" s="14"/>
      <c r="T1305" s="14"/>
      <c r="U1305" s="19" t="str">
        <f>HYPERLINK("https://pbs.twimg.com/profile_images/1216161835071574017/JD66ww9Y.jpg","View")</f>
        <v>View</v>
      </c>
      <c r="V1305" s="14"/>
      <c r="W1305" s="14"/>
      <c r="X1305" s="14"/>
      <c r="Y1305" s="14"/>
      <c r="Z1305" s="14"/>
    </row>
    <row r="1306">
      <c r="A1306" s="11">
        <v>43845.78125</v>
      </c>
      <c r="B1306" s="12" t="str">
        <f>HYPERLINK("https://twitter.com/TrainingMindful","@TrainingMindful")</f>
        <v>@TrainingMindful</v>
      </c>
      <c r="C1306" s="1" t="s">
        <v>94</v>
      </c>
      <c r="D1306" s="1" t="s">
        <v>6198</v>
      </c>
      <c r="E1306" s="12" t="str">
        <f>HYPERLINK("https://twitter.com/TrainingMindful/status/1217593556652740614","1217593556652740614")</f>
        <v>1217593556652740614</v>
      </c>
      <c r="F1306" s="13" t="s">
        <v>1549</v>
      </c>
      <c r="G1306" s="14"/>
      <c r="H1306" s="14"/>
      <c r="I1306" s="15">
        <v>0.0</v>
      </c>
      <c r="J1306" s="15">
        <v>2.0</v>
      </c>
      <c r="K1306" s="12" t="str">
        <f>HYPERLINK("https://www.socialoomph.com","SocialOomph")</f>
        <v>SocialOomph</v>
      </c>
      <c r="L1306" s="16">
        <v>185303.0</v>
      </c>
      <c r="M1306" s="16">
        <v>43980.0</v>
      </c>
      <c r="N1306" s="16">
        <v>2800.0</v>
      </c>
      <c r="O1306" s="17"/>
      <c r="P1306" s="18">
        <v>41286.039305555554</v>
      </c>
      <c r="Q1306" s="1" t="s">
        <v>97</v>
      </c>
      <c r="R1306" s="1" t="s">
        <v>98</v>
      </c>
      <c r="S1306" s="13" t="s">
        <v>99</v>
      </c>
      <c r="T1306" s="14"/>
      <c r="U1306" s="19" t="str">
        <f>HYPERLINK("https://pbs.twimg.com/profile_images/566526924059459584/gdMxDA9x.jpeg","View")</f>
        <v>View</v>
      </c>
      <c r="V1306" s="14"/>
      <c r="W1306" s="14"/>
      <c r="X1306" s="14"/>
      <c r="Y1306" s="14"/>
      <c r="Z1306" s="14"/>
    </row>
    <row r="1307">
      <c r="A1307" s="11">
        <v>43845.7771875</v>
      </c>
      <c r="B1307" s="12" t="str">
        <f>HYPERLINK("https://twitter.com/miss_marina95","@miss_marina95")</f>
        <v>@miss_marina95</v>
      </c>
      <c r="C1307" s="1" t="s">
        <v>6199</v>
      </c>
      <c r="D1307" s="1" t="s">
        <v>6200</v>
      </c>
      <c r="E1307" s="12" t="str">
        <f>HYPERLINK("https://twitter.com/miss_marina95/status/1217592084535762944","1217592084535762944")</f>
        <v>1217592084535762944</v>
      </c>
      <c r="F1307" s="14"/>
      <c r="G1307" s="14"/>
      <c r="H1307" s="14"/>
      <c r="I1307" s="15">
        <v>0.0</v>
      </c>
      <c r="J1307" s="15">
        <v>0.0</v>
      </c>
      <c r="K1307" s="12" t="str">
        <f>HYPERLINK("http://www.echofon.com/","Echofon")</f>
        <v>Echofon</v>
      </c>
      <c r="L1307" s="16">
        <v>162.0</v>
      </c>
      <c r="M1307" s="16">
        <v>219.0</v>
      </c>
      <c r="N1307" s="16">
        <v>6.0</v>
      </c>
      <c r="O1307" s="17"/>
      <c r="P1307" s="18">
        <v>40796.020625</v>
      </c>
      <c r="Q1307" s="1" t="s">
        <v>364</v>
      </c>
      <c r="R1307" s="1" t="s">
        <v>6201</v>
      </c>
      <c r="S1307" s="14"/>
      <c r="T1307" s="14"/>
      <c r="U1307" s="19" t="str">
        <f>HYPERLINK("https://pbs.twimg.com/profile_images/901561129767362560/A-wIJH12.jpg","View")</f>
        <v>View</v>
      </c>
      <c r="V1307" s="14"/>
      <c r="W1307" s="14"/>
      <c r="X1307" s="14"/>
      <c r="Y1307" s="14"/>
      <c r="Z1307" s="14"/>
    </row>
    <row r="1308">
      <c r="A1308" s="11">
        <v>43845.77642361111</v>
      </c>
      <c r="B1308" s="12" t="str">
        <f>HYPERLINK("https://twitter.com/aboutmybrain","@aboutmybrain")</f>
        <v>@aboutmybrain</v>
      </c>
      <c r="C1308" s="1" t="s">
        <v>3949</v>
      </c>
      <c r="D1308" s="1" t="s">
        <v>6202</v>
      </c>
      <c r="E1308" s="12" t="str">
        <f>HYPERLINK("https://twitter.com/aboutmybrain/status/1217591809196556291","1217591809196556291")</f>
        <v>1217591809196556291</v>
      </c>
      <c r="F1308" s="13" t="s">
        <v>6203</v>
      </c>
      <c r="G1308" s="14"/>
      <c r="H1308" s="14"/>
      <c r="I1308" s="15">
        <v>0.0</v>
      </c>
      <c r="J1308" s="15">
        <v>2.0</v>
      </c>
      <c r="K1308" s="12" t="str">
        <f>HYPERLINK("https://coschedule.com","CoSchedule")</f>
        <v>CoSchedule</v>
      </c>
      <c r="L1308" s="16">
        <v>5965.0</v>
      </c>
      <c r="M1308" s="16">
        <v>1473.0</v>
      </c>
      <c r="N1308" s="16">
        <v>132.0</v>
      </c>
      <c r="O1308" s="17"/>
      <c r="P1308" s="18">
        <v>40090.03475694444</v>
      </c>
      <c r="Q1308" s="1" t="s">
        <v>51</v>
      </c>
      <c r="R1308" s="1" t="s">
        <v>3952</v>
      </c>
      <c r="S1308" s="13" t="s">
        <v>3953</v>
      </c>
      <c r="T1308" s="14"/>
      <c r="U1308" s="19" t="str">
        <f>HYPERLINK("https://pbs.twimg.com/profile_images/470549925399232512/torCKHbz.jpeg","View")</f>
        <v>View</v>
      </c>
      <c r="V1308" s="14"/>
      <c r="W1308" s="14"/>
      <c r="X1308" s="14"/>
      <c r="Y1308" s="14"/>
      <c r="Z1308" s="14"/>
    </row>
    <row r="1309">
      <c r="A1309" s="11">
        <v>43845.77501157408</v>
      </c>
      <c r="B1309" s="12" t="str">
        <f>HYPERLINK("https://twitter.com/ihealthtube","@ihealthtube")</f>
        <v>@ihealthtube</v>
      </c>
      <c r="C1309" s="13" t="s">
        <v>6204</v>
      </c>
      <c r="D1309" s="1" t="s">
        <v>6205</v>
      </c>
      <c r="E1309" s="12" t="str">
        <f>HYPERLINK("https://twitter.com/ihealthtube/status/1217591296690466820","1217591296690466820")</f>
        <v>1217591296690466820</v>
      </c>
      <c r="F1309" s="1" t="s">
        <v>6206</v>
      </c>
      <c r="G1309" s="13" t="s">
        <v>6207</v>
      </c>
      <c r="H1309" s="14"/>
      <c r="I1309" s="15">
        <v>0.0</v>
      </c>
      <c r="J1309" s="15">
        <v>0.0</v>
      </c>
      <c r="K1309" s="12" t="str">
        <f>HYPERLINK("https://buffer.com","Buffer")</f>
        <v>Buffer</v>
      </c>
      <c r="L1309" s="16">
        <v>10338.0</v>
      </c>
      <c r="M1309" s="16">
        <v>6897.0</v>
      </c>
      <c r="N1309" s="16">
        <v>278.0</v>
      </c>
      <c r="O1309" s="17"/>
      <c r="P1309" s="18">
        <v>39734.66738425926</v>
      </c>
      <c r="Q1309" s="1" t="s">
        <v>56</v>
      </c>
      <c r="R1309" s="1" t="s">
        <v>6208</v>
      </c>
      <c r="S1309" s="13" t="s">
        <v>6209</v>
      </c>
      <c r="T1309" s="14"/>
      <c r="U1309" s="19" t="str">
        <f>HYPERLINK("https://pbs.twimg.com/profile_images/67860916/Picture_4_11-05-36.png","View")</f>
        <v>View</v>
      </c>
      <c r="V1309" s="14"/>
      <c r="W1309" s="14"/>
      <c r="X1309" s="14"/>
      <c r="Y1309" s="14"/>
      <c r="Z1309" s="14"/>
    </row>
    <row r="1310">
      <c r="A1310" s="11">
        <v>43845.77383101852</v>
      </c>
      <c r="B1310" s="12" t="str">
        <f>HYPERLINK("https://twitter.com/TheMomKind","@TheMomKind")</f>
        <v>@TheMomKind</v>
      </c>
      <c r="C1310" s="1" t="s">
        <v>6210</v>
      </c>
      <c r="D1310" s="1" t="s">
        <v>6211</v>
      </c>
      <c r="E1310" s="12" t="str">
        <f>HYPERLINK("https://twitter.com/TheMomKind/status/1217590866749075456","1217590866749075456")</f>
        <v>1217590866749075456</v>
      </c>
      <c r="F1310" s="13" t="s">
        <v>6212</v>
      </c>
      <c r="G1310" s="14"/>
      <c r="H1310" s="14"/>
      <c r="I1310" s="15">
        <v>0.0</v>
      </c>
      <c r="J1310" s="15">
        <v>0.0</v>
      </c>
      <c r="K1310" s="12" t="str">
        <f>HYPERLINK("http://twitter.com","Twitter Web Client")</f>
        <v>Twitter Web Client</v>
      </c>
      <c r="L1310" s="16">
        <v>10610.0</v>
      </c>
      <c r="M1310" s="16">
        <v>9249.0</v>
      </c>
      <c r="N1310" s="16">
        <v>108.0</v>
      </c>
      <c r="O1310" s="17"/>
      <c r="P1310" s="18">
        <v>42551.72630787037</v>
      </c>
      <c r="Q1310" s="1" t="s">
        <v>5202</v>
      </c>
      <c r="R1310" s="1" t="s">
        <v>6213</v>
      </c>
      <c r="S1310" s="13" t="s">
        <v>6214</v>
      </c>
      <c r="T1310" s="14"/>
      <c r="U1310" s="19" t="str">
        <f>HYPERLINK("https://pbs.twimg.com/profile_images/1217533132775350272/EndkivtU.jpg","View")</f>
        <v>View</v>
      </c>
      <c r="V1310" s="14"/>
      <c r="W1310" s="14"/>
      <c r="X1310" s="14"/>
      <c r="Y1310" s="14"/>
      <c r="Z1310" s="14"/>
    </row>
    <row r="1311">
      <c r="A1311" s="11">
        <v>43845.77174768518</v>
      </c>
      <c r="B1311" s="12" t="str">
        <f>HYPERLINK("https://twitter.com/ReikibyE","@ReikibyE")</f>
        <v>@ReikibyE</v>
      </c>
      <c r="C1311" s="1" t="s">
        <v>6215</v>
      </c>
      <c r="D1311" s="1" t="s">
        <v>6216</v>
      </c>
      <c r="E1311" s="12" t="str">
        <f>HYPERLINK("https://twitter.com/ReikibyE/status/1217590114873798656","1217590114873798656")</f>
        <v>1217590114873798656</v>
      </c>
      <c r="F1311" s="14"/>
      <c r="G1311" s="13" t="s">
        <v>6217</v>
      </c>
      <c r="H1311" s="14"/>
      <c r="I1311" s="15">
        <v>0.0</v>
      </c>
      <c r="J1311" s="15">
        <v>1.0</v>
      </c>
      <c r="K1311" s="12" t="str">
        <f>HYPERLINK("http://twitter.com/download/android","Twitter for Android")</f>
        <v>Twitter for Android</v>
      </c>
      <c r="L1311" s="16">
        <v>20.0</v>
      </c>
      <c r="M1311" s="16">
        <v>66.0</v>
      </c>
      <c r="N1311" s="16">
        <v>0.0</v>
      </c>
      <c r="O1311" s="17"/>
      <c r="P1311" s="18">
        <v>43836.53973379629</v>
      </c>
      <c r="Q1311" s="1" t="s">
        <v>5944</v>
      </c>
      <c r="R1311" s="1" t="s">
        <v>6218</v>
      </c>
      <c r="S1311" s="13" t="s">
        <v>6219</v>
      </c>
      <c r="T1311" s="14"/>
      <c r="U1311" s="19" t="str">
        <f>HYPERLINK("https://pbs.twimg.com/profile_images/1214250025531801600/QJDxJx9X.jpg","View")</f>
        <v>View</v>
      </c>
      <c r="V1311" s="14"/>
      <c r="W1311" s="14"/>
      <c r="X1311" s="14"/>
      <c r="Y1311" s="14"/>
      <c r="Z1311" s="14"/>
    </row>
    <row r="1312">
      <c r="A1312" s="11">
        <v>43845.770891203705</v>
      </c>
      <c r="B1312" s="12" t="str">
        <f>HYPERLINK("https://twitter.com/HerbalGardenFL","@HerbalGardenFL")</f>
        <v>@HerbalGardenFL</v>
      </c>
      <c r="C1312" s="1" t="s">
        <v>1803</v>
      </c>
      <c r="D1312" s="1" t="s">
        <v>6220</v>
      </c>
      <c r="E1312" s="12" t="str">
        <f>HYPERLINK("https://twitter.com/HerbalGardenFL/status/1217589801639202818","1217589801639202818")</f>
        <v>1217589801639202818</v>
      </c>
      <c r="F1312" s="1" t="s">
        <v>6221</v>
      </c>
      <c r="G1312" s="14"/>
      <c r="H1312" s="14"/>
      <c r="I1312" s="15">
        <v>0.0</v>
      </c>
      <c r="J1312" s="15">
        <v>1.0</v>
      </c>
      <c r="K1312" s="12" t="str">
        <f>HYPERLINK("https://kuku.io","Link account with KUKU.io")</f>
        <v>Link account with KUKU.io</v>
      </c>
      <c r="L1312" s="16">
        <v>129.0</v>
      </c>
      <c r="M1312" s="16">
        <v>90.0</v>
      </c>
      <c r="N1312" s="16">
        <v>3.0</v>
      </c>
      <c r="O1312" s="17"/>
      <c r="P1312" s="18">
        <v>41130.93263888889</v>
      </c>
      <c r="Q1312" s="1" t="s">
        <v>1806</v>
      </c>
      <c r="R1312" s="1" t="s">
        <v>1807</v>
      </c>
      <c r="S1312" s="13" t="s">
        <v>1808</v>
      </c>
      <c r="T1312" s="14"/>
      <c r="U1312" s="19" t="str">
        <f>HYPERLINK("https://pbs.twimg.com/profile_images/713345260160679936/WZnIHWw4.jpg","View")</f>
        <v>View</v>
      </c>
      <c r="V1312" s="14"/>
      <c r="W1312" s="14"/>
      <c r="X1312" s="14"/>
      <c r="Y1312" s="14"/>
      <c r="Z1312" s="14"/>
    </row>
    <row r="1313">
      <c r="A1313" s="11">
        <v>43845.77013888889</v>
      </c>
      <c r="B1313" s="12" t="str">
        <f>HYPERLINK("https://twitter.com/InovaHealth","@InovaHealth")</f>
        <v>@InovaHealth</v>
      </c>
      <c r="C1313" s="1" t="s">
        <v>1236</v>
      </c>
      <c r="D1313" s="1" t="s">
        <v>1237</v>
      </c>
      <c r="E1313" s="12" t="str">
        <f>HYPERLINK("https://twitter.com/InovaHealth/status/1217589529629999104","1217589529629999104")</f>
        <v>1217589529629999104</v>
      </c>
      <c r="F1313" s="13" t="s">
        <v>1238</v>
      </c>
      <c r="G1313" s="14"/>
      <c r="H1313" s="14"/>
      <c r="I1313" s="15">
        <v>0.0</v>
      </c>
      <c r="J1313" s="15">
        <v>0.0</v>
      </c>
      <c r="K1313" s="12" t="str">
        <f>HYPERLINK("https://about.twitter.com/products/tweetdeck","TweetDeck")</f>
        <v>TweetDeck</v>
      </c>
      <c r="L1313" s="16">
        <v>9923.0</v>
      </c>
      <c r="M1313" s="16">
        <v>578.0</v>
      </c>
      <c r="N1313" s="16">
        <v>409.0</v>
      </c>
      <c r="O1313" s="20" t="s">
        <v>38</v>
      </c>
      <c r="P1313" s="18">
        <v>39826.72420138889</v>
      </c>
      <c r="Q1313" s="1" t="s">
        <v>1239</v>
      </c>
      <c r="R1313" s="1" t="s">
        <v>1240</v>
      </c>
      <c r="S1313" s="13" t="s">
        <v>1241</v>
      </c>
      <c r="T1313" s="14"/>
      <c r="U1313" s="19" t="str">
        <f>HYPERLINK("https://pbs.twimg.com/profile_images/1110925361729208321/6tmIW6Km.png","View")</f>
        <v>View</v>
      </c>
      <c r="V1313" s="14"/>
      <c r="W1313" s="14"/>
      <c r="X1313" s="14"/>
      <c r="Y1313" s="14"/>
      <c r="Z1313" s="14"/>
    </row>
    <row r="1314">
      <c r="A1314" s="11">
        <v>43845.766921296294</v>
      </c>
      <c r="B1314" s="12" t="str">
        <f>HYPERLINK("https://twitter.com/TheGroomNStyle","@TheGroomNStyle")</f>
        <v>@TheGroomNStyle</v>
      </c>
      <c r="C1314" s="1" t="s">
        <v>2254</v>
      </c>
      <c r="D1314" s="1" t="s">
        <v>6222</v>
      </c>
      <c r="E1314" s="12" t="str">
        <f>HYPERLINK("https://twitter.com/TheGroomNStyle/status/1217588364691591174","1217588364691591174")</f>
        <v>1217588364691591174</v>
      </c>
      <c r="F1314" s="13" t="s">
        <v>6223</v>
      </c>
      <c r="G1314" s="13" t="s">
        <v>6224</v>
      </c>
      <c r="H1314" s="14"/>
      <c r="I1314" s="15">
        <v>0.0</v>
      </c>
      <c r="J1314" s="15">
        <v>0.0</v>
      </c>
      <c r="K1314" s="12" t="str">
        <f t="shared" ref="K1314:K1315" si="132">HYPERLINK("http://twitter.com/download/iphone","Twitter for iPhone")</f>
        <v>Twitter for iPhone</v>
      </c>
      <c r="L1314" s="16">
        <v>4298.0</v>
      </c>
      <c r="M1314" s="16">
        <v>5092.0</v>
      </c>
      <c r="N1314" s="16">
        <v>39.0</v>
      </c>
      <c r="O1314" s="17"/>
      <c r="P1314" s="18">
        <v>41796.454618055555</v>
      </c>
      <c r="Q1314" s="14"/>
      <c r="R1314" s="1" t="s">
        <v>2258</v>
      </c>
      <c r="S1314" s="13" t="s">
        <v>2259</v>
      </c>
      <c r="T1314" s="14"/>
      <c r="U1314" s="19" t="str">
        <f>HYPERLINK("https://pbs.twimg.com/profile_images/827479439705591808/op4u5gzp.jpg","View")</f>
        <v>View</v>
      </c>
      <c r="V1314" s="14"/>
      <c r="W1314" s="14"/>
      <c r="X1314" s="14"/>
      <c r="Y1314" s="14"/>
      <c r="Z1314" s="14"/>
    </row>
    <row r="1315">
      <c r="A1315" s="11">
        <v>43845.766643518524</v>
      </c>
      <c r="B1315" s="12" t="str">
        <f>HYPERLINK("https://twitter.com/jleejenkinsmd","@jleejenkinsmd")</f>
        <v>@jleejenkinsmd</v>
      </c>
      <c r="C1315" s="1" t="s">
        <v>6225</v>
      </c>
      <c r="D1315" s="1" t="s">
        <v>6226</v>
      </c>
      <c r="E1315" s="12" t="str">
        <f>HYPERLINK("https://twitter.com/jleejenkinsmd/status/1217588264187527168","1217588264187527168")</f>
        <v>1217588264187527168</v>
      </c>
      <c r="F1315" s="13" t="s">
        <v>6227</v>
      </c>
      <c r="G1315" s="14"/>
      <c r="H1315" s="14"/>
      <c r="I1315" s="15">
        <v>1.0</v>
      </c>
      <c r="J1315" s="15">
        <v>4.0</v>
      </c>
      <c r="K1315" s="12" t="str">
        <f t="shared" si="132"/>
        <v>Twitter for iPhone</v>
      </c>
      <c r="L1315" s="16">
        <v>478.0</v>
      </c>
      <c r="M1315" s="16">
        <v>594.0</v>
      </c>
      <c r="N1315" s="16">
        <v>15.0</v>
      </c>
      <c r="O1315" s="17"/>
      <c r="P1315" s="18">
        <v>41158.88912037037</v>
      </c>
      <c r="Q1315" s="1" t="s">
        <v>2663</v>
      </c>
      <c r="R1315" s="1" t="s">
        <v>6228</v>
      </c>
      <c r="S1315" s="13" t="s">
        <v>6229</v>
      </c>
      <c r="T1315" s="14"/>
      <c r="U1315" s="19" t="str">
        <f>HYPERLINK("https://pbs.twimg.com/profile_images/1021349399065169920/3bg9mUYR.jpg","View")</f>
        <v>View</v>
      </c>
      <c r="V1315" s="14"/>
      <c r="W1315" s="14"/>
      <c r="X1315" s="14"/>
      <c r="Y1315" s="14"/>
      <c r="Z1315" s="14"/>
    </row>
    <row r="1316">
      <c r="A1316" s="11">
        <v>43845.76336805556</v>
      </c>
      <c r="B1316" s="12" t="str">
        <f>HYPERLINK("https://twitter.com/Susanjmccann","@Susanjmccann")</f>
        <v>@Susanjmccann</v>
      </c>
      <c r="C1316" s="1" t="s">
        <v>6230</v>
      </c>
      <c r="D1316" s="1" t="s">
        <v>6231</v>
      </c>
      <c r="E1316" s="12" t="str">
        <f>HYPERLINK("https://twitter.com/Susanjmccann/status/1217587075781996551","1217587075781996551")</f>
        <v>1217587075781996551</v>
      </c>
      <c r="F1316" s="13" t="s">
        <v>6232</v>
      </c>
      <c r="G1316" s="14"/>
      <c r="H1316" s="14"/>
      <c r="I1316" s="15">
        <v>1.0</v>
      </c>
      <c r="J1316" s="15">
        <v>4.0</v>
      </c>
      <c r="K1316" s="12" t="str">
        <f>HYPERLINK("https://www.socialjukebox.com","The Social Jukebox")</f>
        <v>The Social Jukebox</v>
      </c>
      <c r="L1316" s="16">
        <v>83167.0</v>
      </c>
      <c r="M1316" s="16">
        <v>62136.0</v>
      </c>
      <c r="N1316" s="16">
        <v>1100.0</v>
      </c>
      <c r="O1316" s="17"/>
      <c r="P1316" s="18">
        <v>40702.206770833334</v>
      </c>
      <c r="Q1316" s="1" t="s">
        <v>4294</v>
      </c>
      <c r="R1316" s="1" t="s">
        <v>6233</v>
      </c>
      <c r="S1316" s="13" t="s">
        <v>6234</v>
      </c>
      <c r="T1316" s="14"/>
      <c r="U1316" s="19" t="str">
        <f>HYPERLINK("https://pbs.twimg.com/profile_images/992429352687202304/SzXDSOOz.jpg","View")</f>
        <v>View</v>
      </c>
      <c r="V1316" s="14"/>
      <c r="W1316" s="14"/>
      <c r="X1316" s="14"/>
      <c r="Y1316" s="14"/>
      <c r="Z1316" s="14"/>
    </row>
    <row r="1317">
      <c r="A1317" s="11">
        <v>43845.76332175926</v>
      </c>
      <c r="B1317" s="12" t="str">
        <f>HYPERLINK("https://twitter.com/TheHealingSalon","@TheHealingSalon")</f>
        <v>@TheHealingSalon</v>
      </c>
      <c r="C1317" s="1" t="s">
        <v>6235</v>
      </c>
      <c r="D1317" s="1" t="s">
        <v>6236</v>
      </c>
      <c r="E1317" s="12" t="str">
        <f>HYPERLINK("https://twitter.com/TheHealingSalon/status/1217587060715868161","1217587060715868161")</f>
        <v>1217587060715868161</v>
      </c>
      <c r="F1317" s="13" t="s">
        <v>6237</v>
      </c>
      <c r="G1317" s="13" t="s">
        <v>6238</v>
      </c>
      <c r="H1317" s="14"/>
      <c r="I1317" s="15">
        <v>0.0</v>
      </c>
      <c r="J1317" s="15">
        <v>0.0</v>
      </c>
      <c r="K1317" s="12" t="str">
        <f>HYPERLINK("https://mobile.twitter.com","Twitter Web App")</f>
        <v>Twitter Web App</v>
      </c>
      <c r="L1317" s="16">
        <v>15.0</v>
      </c>
      <c r="M1317" s="16">
        <v>33.0</v>
      </c>
      <c r="N1317" s="16">
        <v>0.0</v>
      </c>
      <c r="O1317" s="17"/>
      <c r="P1317" s="18">
        <v>43809.89417824074</v>
      </c>
      <c r="Q1317" s="1" t="s">
        <v>521</v>
      </c>
      <c r="R1317" s="1" t="s">
        <v>6239</v>
      </c>
      <c r="S1317" s="13" t="s">
        <v>6240</v>
      </c>
      <c r="T1317" s="14"/>
      <c r="U1317" s="19" t="str">
        <f>HYPERLINK("https://pbs.twimg.com/profile_images/1209042945061425153/W3cmcdIU.jpg","View")</f>
        <v>View</v>
      </c>
      <c r="V1317" s="14"/>
      <c r="W1317" s="14"/>
      <c r="X1317" s="14"/>
      <c r="Y1317" s="14"/>
      <c r="Z1317" s="14"/>
    </row>
    <row r="1318">
      <c r="A1318" s="11">
        <v>43845.761875</v>
      </c>
      <c r="B1318" s="12" t="str">
        <f>HYPERLINK("https://twitter.com/RedBarnBlankets","@RedBarnBlankets")</f>
        <v>@RedBarnBlankets</v>
      </c>
      <c r="C1318" s="1" t="s">
        <v>6241</v>
      </c>
      <c r="D1318" s="1" t="s">
        <v>6242</v>
      </c>
      <c r="E1318" s="12" t="str">
        <f>HYPERLINK("https://twitter.com/RedBarnBlankets/status/1217586537761845250","1217586537761845250")</f>
        <v>1217586537761845250</v>
      </c>
      <c r="F1318" s="13" t="s">
        <v>6243</v>
      </c>
      <c r="G1318" s="13" t="s">
        <v>6244</v>
      </c>
      <c r="H1318" s="14"/>
      <c r="I1318" s="15">
        <v>0.0</v>
      </c>
      <c r="J1318" s="15">
        <v>0.0</v>
      </c>
      <c r="K1318" s="12" t="str">
        <f>HYPERLINK("https://about.twitter.com/products/tweetdeck","TweetDeck")</f>
        <v>TweetDeck</v>
      </c>
      <c r="L1318" s="16">
        <v>941.0</v>
      </c>
      <c r="M1318" s="16">
        <v>459.0</v>
      </c>
      <c r="N1318" s="16">
        <v>0.0</v>
      </c>
      <c r="O1318" s="17"/>
      <c r="P1318" s="18">
        <v>42227.584375</v>
      </c>
      <c r="Q1318" s="1" t="s">
        <v>6245</v>
      </c>
      <c r="R1318" s="1" t="s">
        <v>6246</v>
      </c>
      <c r="S1318" s="13" t="s">
        <v>6247</v>
      </c>
      <c r="T1318" s="14"/>
      <c r="U1318" s="19" t="str">
        <f>HYPERLINK("https://pbs.twimg.com/profile_images/1201913428450959364/sLxO0dyX.jpg","View")</f>
        <v>View</v>
      </c>
      <c r="V1318" s="14"/>
      <c r="W1318" s="14"/>
      <c r="X1318" s="14"/>
      <c r="Y1318" s="14"/>
      <c r="Z1318" s="14"/>
    </row>
    <row r="1319">
      <c r="A1319" s="11">
        <v>43845.75782407407</v>
      </c>
      <c r="B1319" s="12" t="str">
        <f>HYPERLINK("https://twitter.com/Tboy_TylerKlein","@Tboy_TylerKlein")</f>
        <v>@Tboy_TylerKlein</v>
      </c>
      <c r="C1319" s="1" t="s">
        <v>6248</v>
      </c>
      <c r="D1319" s="1" t="s">
        <v>6249</v>
      </c>
      <c r="E1319" s="12" t="str">
        <f>HYPERLINK("https://twitter.com/Tboy_TylerKlein/status/1217585066454519809","1217585066454519809")</f>
        <v>1217585066454519809</v>
      </c>
      <c r="F1319" s="14"/>
      <c r="G1319" s="13" t="s">
        <v>6250</v>
      </c>
      <c r="H1319" s="14"/>
      <c r="I1319" s="15">
        <v>1.0</v>
      </c>
      <c r="J1319" s="15">
        <v>16.0</v>
      </c>
      <c r="K1319" s="12" t="str">
        <f t="shared" ref="K1319:K1320" si="133">HYPERLINK("http://twitter.com/download/iphone","Twitter for iPhone")</f>
        <v>Twitter for iPhone</v>
      </c>
      <c r="L1319" s="16">
        <v>8671.0</v>
      </c>
      <c r="M1319" s="16">
        <v>2174.0</v>
      </c>
      <c r="N1319" s="16">
        <v>44.0</v>
      </c>
      <c r="O1319" s="17"/>
      <c r="P1319" s="18">
        <v>41896.82133101852</v>
      </c>
      <c r="Q1319" s="1" t="s">
        <v>6251</v>
      </c>
      <c r="R1319" s="1" t="s">
        <v>6252</v>
      </c>
      <c r="S1319" s="14"/>
      <c r="T1319" s="14"/>
      <c r="U1319" s="19" t="str">
        <f>HYPERLINK("https://pbs.twimg.com/profile_images/1216541979271737344/WHpcuHa8.jpg","View")</f>
        <v>View</v>
      </c>
      <c r="V1319" s="14"/>
      <c r="W1319" s="14"/>
      <c r="X1319" s="14"/>
      <c r="Y1319" s="14"/>
      <c r="Z1319" s="14"/>
    </row>
    <row r="1320">
      <c r="A1320" s="11">
        <v>43845.75491898148</v>
      </c>
      <c r="B1320" s="12" t="str">
        <f>HYPERLINK("https://twitter.com/GurneetKDhami","@GurneetKDhami")</f>
        <v>@GurneetKDhami</v>
      </c>
      <c r="C1320" s="1" t="s">
        <v>6253</v>
      </c>
      <c r="D1320" s="1" t="s">
        <v>6254</v>
      </c>
      <c r="E1320" s="12" t="str">
        <f>HYPERLINK("https://twitter.com/GurneetKDhami/status/1217584016385245185","1217584016385245185")</f>
        <v>1217584016385245185</v>
      </c>
      <c r="F1320" s="14"/>
      <c r="G1320" s="14"/>
      <c r="H1320" s="14"/>
      <c r="I1320" s="15">
        <v>0.0</v>
      </c>
      <c r="J1320" s="15">
        <v>3.0</v>
      </c>
      <c r="K1320" s="12" t="str">
        <f t="shared" si="133"/>
        <v>Twitter for iPhone</v>
      </c>
      <c r="L1320" s="16">
        <v>316.0</v>
      </c>
      <c r="M1320" s="16">
        <v>1347.0</v>
      </c>
      <c r="N1320" s="16">
        <v>0.0</v>
      </c>
      <c r="O1320" s="17"/>
      <c r="P1320" s="18">
        <v>43543.38638888889</v>
      </c>
      <c r="Q1320" s="1" t="s">
        <v>6255</v>
      </c>
      <c r="R1320" s="1" t="s">
        <v>6256</v>
      </c>
      <c r="S1320" s="13" t="s">
        <v>6257</v>
      </c>
      <c r="T1320" s="14"/>
      <c r="U1320" s="19" t="str">
        <f>HYPERLINK("https://pbs.twimg.com/profile_images/1107995138297614336/KXCaipLF.png","View")</f>
        <v>View</v>
      </c>
      <c r="V1320" s="14"/>
      <c r="W1320" s="14"/>
      <c r="X1320" s="14"/>
      <c r="Y1320" s="14"/>
      <c r="Z1320" s="14"/>
    </row>
    <row r="1321">
      <c r="A1321" s="11">
        <v>43845.750752314816</v>
      </c>
      <c r="B1321" s="12" t="str">
        <f>HYPERLINK("https://twitter.com/LSPChildcare","@LSPChildcare")</f>
        <v>@LSPChildcare</v>
      </c>
      <c r="C1321" s="1" t="s">
        <v>6258</v>
      </c>
      <c r="D1321" s="1" t="s">
        <v>6259</v>
      </c>
      <c r="E1321" s="12" t="str">
        <f>HYPERLINK("https://twitter.com/LSPChildcare/status/1217582503281729542","1217582503281729542")</f>
        <v>1217582503281729542</v>
      </c>
      <c r="F1321" s="13" t="s">
        <v>6260</v>
      </c>
      <c r="G1321" s="14"/>
      <c r="H1321" s="14"/>
      <c r="I1321" s="15">
        <v>0.0</v>
      </c>
      <c r="J1321" s="15">
        <v>0.0</v>
      </c>
      <c r="K1321" s="12" t="str">
        <f>HYPERLINK("https://panel.socialpilot.co/","SocialPilot.co")</f>
        <v>SocialPilot.co</v>
      </c>
      <c r="L1321" s="16">
        <v>315.0</v>
      </c>
      <c r="M1321" s="16">
        <v>490.0</v>
      </c>
      <c r="N1321" s="16">
        <v>6.0</v>
      </c>
      <c r="O1321" s="17"/>
      <c r="P1321" s="18">
        <v>40651.704421296294</v>
      </c>
      <c r="Q1321" s="1" t="s">
        <v>6261</v>
      </c>
      <c r="R1321" s="1" t="s">
        <v>6262</v>
      </c>
      <c r="S1321" s="13" t="s">
        <v>6263</v>
      </c>
      <c r="T1321" s="14"/>
      <c r="U1321" s="19" t="str">
        <f>HYPERLINK("https://pbs.twimg.com/profile_images/1186696423108239361/15Rzxorl.jpg","View")</f>
        <v>View</v>
      </c>
      <c r="V1321" s="14"/>
      <c r="W1321" s="14"/>
      <c r="X1321" s="14"/>
      <c r="Y1321" s="14"/>
      <c r="Z1321" s="14"/>
    </row>
    <row r="1322">
      <c r="A1322" s="11">
        <v>43845.75001157407</v>
      </c>
      <c r="B1322" s="12" t="str">
        <f>HYPERLINK("https://twitter.com/joey_starnes","@joey_starnes")</f>
        <v>@joey_starnes</v>
      </c>
      <c r="C1322" s="1" t="s">
        <v>6264</v>
      </c>
      <c r="D1322" s="1" t="s">
        <v>6265</v>
      </c>
      <c r="E1322" s="12" t="str">
        <f>HYPERLINK("https://twitter.com/joey_starnes/status/1217582236737986560","1217582236737986560")</f>
        <v>1217582236737986560</v>
      </c>
      <c r="F1322" s="13" t="s">
        <v>6266</v>
      </c>
      <c r="G1322" s="14"/>
      <c r="H1322" s="14"/>
      <c r="I1322" s="15">
        <v>0.0</v>
      </c>
      <c r="J1322" s="15">
        <v>1.0</v>
      </c>
      <c r="K1322" s="12" t="str">
        <f>HYPERLINK("http://www.linkedin.com/","LinkedIn")</f>
        <v>LinkedIn</v>
      </c>
      <c r="L1322" s="16">
        <v>51.0</v>
      </c>
      <c r="M1322" s="16">
        <v>120.0</v>
      </c>
      <c r="N1322" s="16">
        <v>0.0</v>
      </c>
      <c r="O1322" s="17"/>
      <c r="P1322" s="18">
        <v>43776.48260416667</v>
      </c>
      <c r="Q1322" s="14"/>
      <c r="R1322" s="1" t="s">
        <v>6267</v>
      </c>
      <c r="S1322" s="14"/>
      <c r="T1322" s="14"/>
      <c r="U1322" s="19" t="str">
        <f>HYPERLINK("https://pbs.twimg.com/profile_images/1192480634276634625/ebywrz1D.jpg","View")</f>
        <v>View</v>
      </c>
      <c r="V1322" s="14"/>
      <c r="W1322" s="14"/>
      <c r="X1322" s="14"/>
      <c r="Y1322" s="14"/>
      <c r="Z1322" s="14"/>
    </row>
    <row r="1323">
      <c r="A1323" s="11">
        <v>43845.74309027778</v>
      </c>
      <c r="B1323" s="12" t="str">
        <f>HYPERLINK("https://twitter.com/ReachMD","@ReachMD")</f>
        <v>@ReachMD</v>
      </c>
      <c r="C1323" s="1" t="s">
        <v>6268</v>
      </c>
      <c r="D1323" s="1" t="s">
        <v>6269</v>
      </c>
      <c r="E1323" s="12" t="str">
        <f>HYPERLINK("https://twitter.com/ReachMD/status/1217579730368712706","1217579730368712706")</f>
        <v>1217579730368712706</v>
      </c>
      <c r="F1323" s="13" t="s">
        <v>6270</v>
      </c>
      <c r="G1323" s="13" t="s">
        <v>6271</v>
      </c>
      <c r="H1323" s="14"/>
      <c r="I1323" s="15">
        <v>0.0</v>
      </c>
      <c r="J1323" s="15">
        <v>0.0</v>
      </c>
      <c r="K1323" s="12" t="str">
        <f t="shared" ref="K1323:K1326" si="134">HYPERLINK("https://www.hootsuite.com","Hootsuite Inc.")</f>
        <v>Hootsuite Inc.</v>
      </c>
      <c r="L1323" s="16">
        <v>2185.0</v>
      </c>
      <c r="M1323" s="16">
        <v>524.0</v>
      </c>
      <c r="N1323" s="16">
        <v>154.0</v>
      </c>
      <c r="O1323" s="17"/>
      <c r="P1323" s="18">
        <v>39715.70475694444</v>
      </c>
      <c r="Q1323" s="1" t="s">
        <v>6272</v>
      </c>
      <c r="R1323" s="1" t="s">
        <v>6273</v>
      </c>
      <c r="S1323" s="13" t="s">
        <v>6274</v>
      </c>
      <c r="T1323" s="14"/>
      <c r="U1323" s="19" t="str">
        <f>HYPERLINK("https://pbs.twimg.com/profile_images/866664156312862720/5fXB99pq.jpg","View")</f>
        <v>View</v>
      </c>
      <c r="V1323" s="14"/>
      <c r="W1323" s="14"/>
      <c r="X1323" s="14"/>
      <c r="Y1323" s="14"/>
      <c r="Z1323" s="14"/>
    </row>
    <row r="1324">
      <c r="A1324" s="11">
        <v>43845.73961805555</v>
      </c>
      <c r="B1324" s="12" t="str">
        <f>HYPERLINK("https://twitter.com/buildingshow","@buildingshow")</f>
        <v>@buildingshow</v>
      </c>
      <c r="C1324" s="1" t="s">
        <v>6275</v>
      </c>
      <c r="D1324" s="1" t="s">
        <v>6276</v>
      </c>
      <c r="E1324" s="12" t="str">
        <f>HYPERLINK("https://twitter.com/buildingshow/status/1217578472228388869","1217578472228388869")</f>
        <v>1217578472228388869</v>
      </c>
      <c r="F1324" s="13" t="s">
        <v>6277</v>
      </c>
      <c r="G1324" s="14"/>
      <c r="H1324" s="14"/>
      <c r="I1324" s="15">
        <v>0.0</v>
      </c>
      <c r="J1324" s="15">
        <v>0.0</v>
      </c>
      <c r="K1324" s="12" t="str">
        <f t="shared" si="134"/>
        <v>Hootsuite Inc.</v>
      </c>
      <c r="L1324" s="16">
        <v>46630.0</v>
      </c>
      <c r="M1324" s="16">
        <v>44149.0</v>
      </c>
      <c r="N1324" s="16">
        <v>472.0</v>
      </c>
      <c r="O1324" s="17"/>
      <c r="P1324" s="18">
        <v>42132.916608796295</v>
      </c>
      <c r="Q1324" s="1" t="s">
        <v>6278</v>
      </c>
      <c r="R1324" s="1" t="s">
        <v>6279</v>
      </c>
      <c r="S1324" s="13" t="s">
        <v>6280</v>
      </c>
      <c r="T1324" s="14"/>
      <c r="U1324" s="19" t="str">
        <f>HYPERLINK("https://pbs.twimg.com/profile_images/819296058421301248/hKYafURc.jpg","View")</f>
        <v>View</v>
      </c>
      <c r="V1324" s="14"/>
      <c r="W1324" s="14"/>
      <c r="X1324" s="14"/>
      <c r="Y1324" s="14"/>
      <c r="Z1324" s="14"/>
    </row>
    <row r="1325">
      <c r="A1325" s="11">
        <v>43845.73961805555</v>
      </c>
      <c r="B1325" s="12" t="str">
        <f>HYPERLINK("https://twitter.com/kevinhorek","@kevinhorek")</f>
        <v>@kevinhorek</v>
      </c>
      <c r="C1325" s="1" t="s">
        <v>6281</v>
      </c>
      <c r="D1325" s="1" t="s">
        <v>6276</v>
      </c>
      <c r="E1325" s="12" t="str">
        <f>HYPERLINK("https://twitter.com/kevinhorek/status/1217578471884455936","1217578471884455936")</f>
        <v>1217578471884455936</v>
      </c>
      <c r="F1325" s="13" t="s">
        <v>6277</v>
      </c>
      <c r="G1325" s="14"/>
      <c r="H1325" s="14"/>
      <c r="I1325" s="15">
        <v>0.0</v>
      </c>
      <c r="J1325" s="15">
        <v>0.0</v>
      </c>
      <c r="K1325" s="12" t="str">
        <f t="shared" si="134"/>
        <v>Hootsuite Inc.</v>
      </c>
      <c r="L1325" s="16">
        <v>50847.0</v>
      </c>
      <c r="M1325" s="16">
        <v>48135.0</v>
      </c>
      <c r="N1325" s="16">
        <v>627.0</v>
      </c>
      <c r="O1325" s="17"/>
      <c r="P1325" s="18">
        <v>39478.537199074075</v>
      </c>
      <c r="Q1325" s="1" t="s">
        <v>6282</v>
      </c>
      <c r="R1325" s="1" t="s">
        <v>6283</v>
      </c>
      <c r="S1325" s="13" t="s">
        <v>6284</v>
      </c>
      <c r="T1325" s="14"/>
      <c r="U1325" s="19" t="str">
        <f>HYPERLINK("https://pbs.twimg.com/profile_images/961278430766538753/aWUfHCb0.jpg","View")</f>
        <v>View</v>
      </c>
      <c r="V1325" s="14"/>
      <c r="W1325" s="14"/>
      <c r="X1325" s="14"/>
      <c r="Y1325" s="14"/>
      <c r="Z1325" s="14"/>
    </row>
    <row r="1326">
      <c r="A1326" s="11">
        <v>43845.73709490741</v>
      </c>
      <c r="B1326" s="12" t="str">
        <f>HYPERLINK("https://twitter.com/LiveHealthySB","@LiveHealthySB")</f>
        <v>@LiveHealthySB</v>
      </c>
      <c r="C1326" s="1" t="s">
        <v>6285</v>
      </c>
      <c r="D1326" s="1" t="s">
        <v>6286</v>
      </c>
      <c r="E1326" s="12" t="str">
        <f>HYPERLINK("https://twitter.com/LiveHealthySB/status/1217577555764613122","1217577555764613122")</f>
        <v>1217577555764613122</v>
      </c>
      <c r="F1326" s="13" t="s">
        <v>6287</v>
      </c>
      <c r="G1326" s="14"/>
      <c r="H1326" s="14"/>
      <c r="I1326" s="15">
        <v>0.0</v>
      </c>
      <c r="J1326" s="15">
        <v>0.0</v>
      </c>
      <c r="K1326" s="12" t="str">
        <f t="shared" si="134"/>
        <v>Hootsuite Inc.</v>
      </c>
      <c r="L1326" s="16">
        <v>1083.0</v>
      </c>
      <c r="M1326" s="16">
        <v>701.0</v>
      </c>
      <c r="N1326" s="16">
        <v>102.0</v>
      </c>
      <c r="O1326" s="17"/>
      <c r="P1326" s="18">
        <v>41829.61162037037</v>
      </c>
      <c r="Q1326" s="14"/>
      <c r="R1326" s="1" t="s">
        <v>6288</v>
      </c>
      <c r="S1326" s="13" t="s">
        <v>6289</v>
      </c>
      <c r="T1326" s="14"/>
      <c r="U1326" s="19" t="str">
        <f>HYPERLINK("https://pbs.twimg.com/profile_images/1163845873727660032/JomHp1dd.jpg","View")</f>
        <v>View</v>
      </c>
      <c r="V1326" s="14"/>
      <c r="W1326" s="14"/>
      <c r="X1326" s="14"/>
      <c r="Y1326" s="14"/>
      <c r="Z1326" s="14"/>
    </row>
    <row r="1327">
      <c r="A1327" s="11">
        <v>43845.73064814815</v>
      </c>
      <c r="B1327" s="12" t="str">
        <f>HYPERLINK("https://twitter.com/SSGohpom","@SSGohpom")</f>
        <v>@SSGohpom</v>
      </c>
      <c r="C1327" s="1" t="s">
        <v>6290</v>
      </c>
      <c r="D1327" s="1" t="s">
        <v>6291</v>
      </c>
      <c r="E1327" s="12" t="str">
        <f>HYPERLINK("https://twitter.com/SSGohpom/status/1217575220564963329","1217575220564963329")</f>
        <v>1217575220564963329</v>
      </c>
      <c r="F1327" s="14"/>
      <c r="G1327" s="13" t="s">
        <v>6292</v>
      </c>
      <c r="H1327" s="14"/>
      <c r="I1327" s="15">
        <v>0.0</v>
      </c>
      <c r="J1327" s="15">
        <v>3.0</v>
      </c>
      <c r="K1327" s="12" t="str">
        <f>HYPERLINK("http://twitter.com/download/iphone","Twitter for iPhone")</f>
        <v>Twitter for iPhone</v>
      </c>
      <c r="L1327" s="16">
        <v>27.0</v>
      </c>
      <c r="M1327" s="16">
        <v>48.0</v>
      </c>
      <c r="N1327" s="16">
        <v>0.0</v>
      </c>
      <c r="O1327" s="17"/>
      <c r="P1327" s="18">
        <v>43530.925416666665</v>
      </c>
      <c r="Q1327" s="14"/>
      <c r="R1327" s="1" t="s">
        <v>6293</v>
      </c>
      <c r="S1327" s="13" t="s">
        <v>6294</v>
      </c>
      <c r="T1327" s="14"/>
      <c r="U1327" s="19" t="str">
        <f>HYPERLINK("https://pbs.twimg.com/profile_images/1213596882175291392/Z4aDliex.jpg","View")</f>
        <v>View</v>
      </c>
      <c r="V1327" s="14"/>
      <c r="W1327" s="14"/>
      <c r="X1327" s="14"/>
      <c r="Y1327" s="14"/>
      <c r="Z1327" s="14"/>
    </row>
    <row r="1328">
      <c r="A1328" s="11">
        <v>43845.72988425926</v>
      </c>
      <c r="B1328" s="12" t="str">
        <f>HYPERLINK("https://twitter.com/OntheLineAus","@OntheLineAus")</f>
        <v>@OntheLineAus</v>
      </c>
      <c r="C1328" s="1" t="s">
        <v>3848</v>
      </c>
      <c r="D1328" s="1" t="s">
        <v>6295</v>
      </c>
      <c r="E1328" s="12" t="str">
        <f>HYPERLINK("https://twitter.com/OntheLineAus/status/1217574943568863234","1217574943568863234")</f>
        <v>1217574943568863234</v>
      </c>
      <c r="F1328" s="13" t="s">
        <v>6296</v>
      </c>
      <c r="G1328" s="13" t="s">
        <v>6297</v>
      </c>
      <c r="H1328" s="14"/>
      <c r="I1328" s="15">
        <v>3.0</v>
      </c>
      <c r="J1328" s="15">
        <v>15.0</v>
      </c>
      <c r="K1328" s="12" t="str">
        <f>HYPERLINK("https://buffer.com","Buffer")</f>
        <v>Buffer</v>
      </c>
      <c r="L1328" s="16">
        <v>1721.0</v>
      </c>
      <c r="M1328" s="16">
        <v>596.0</v>
      </c>
      <c r="N1328" s="16">
        <v>34.0</v>
      </c>
      <c r="O1328" s="17"/>
      <c r="P1328" s="18">
        <v>41352.7846412037</v>
      </c>
      <c r="Q1328" s="1" t="s">
        <v>1885</v>
      </c>
      <c r="R1328" s="1" t="s">
        <v>3852</v>
      </c>
      <c r="S1328" s="13" t="s">
        <v>3853</v>
      </c>
      <c r="T1328" s="14"/>
      <c r="U1328" s="19" t="str">
        <f>HYPERLINK("https://pbs.twimg.com/profile_images/915692230639157248/Jsr7pJjw.jpg","View")</f>
        <v>View</v>
      </c>
      <c r="V1328" s="14"/>
      <c r="W1328" s="14"/>
      <c r="X1328" s="14"/>
      <c r="Y1328" s="14"/>
      <c r="Z1328" s="14"/>
    </row>
    <row r="1329">
      <c r="A1329" s="11">
        <v>43845.72793981481</v>
      </c>
      <c r="B1329" s="12" t="str">
        <f>HYPERLINK("https://twitter.com/Compadres_LAC","@Compadres_LAC")</f>
        <v>@Compadres_LAC</v>
      </c>
      <c r="C1329" s="1" t="s">
        <v>6298</v>
      </c>
      <c r="D1329" s="1" t="s">
        <v>6299</v>
      </c>
      <c r="E1329" s="12" t="str">
        <f>HYPERLINK("https://twitter.com/Compadres_LAC/status/1217574237612859393","1217574237612859393")</f>
        <v>1217574237612859393</v>
      </c>
      <c r="F1329" s="13" t="s">
        <v>6300</v>
      </c>
      <c r="G1329" s="13" t="s">
        <v>6301</v>
      </c>
      <c r="H1329" s="14"/>
      <c r="I1329" s="15">
        <v>0.0</v>
      </c>
      <c r="J1329" s="15">
        <v>1.0</v>
      </c>
      <c r="K1329" s="12" t="str">
        <f>HYPERLINK("https://mobile.twitter.com","Twitter Web App")</f>
        <v>Twitter Web App</v>
      </c>
      <c r="L1329" s="16">
        <v>28.0</v>
      </c>
      <c r="M1329" s="16">
        <v>71.0</v>
      </c>
      <c r="N1329" s="16">
        <v>0.0</v>
      </c>
      <c r="O1329" s="17"/>
      <c r="P1329" s="18">
        <v>43321.68084490741</v>
      </c>
      <c r="Q1329" s="1" t="s">
        <v>6302</v>
      </c>
      <c r="R1329" s="1" t="s">
        <v>6303</v>
      </c>
      <c r="S1329" s="13" t="s">
        <v>6304</v>
      </c>
      <c r="T1329" s="14"/>
      <c r="U1329" s="19" t="str">
        <f>HYPERLINK("https://pbs.twimg.com/profile_images/1055889816632602624/a90g0EWr.jpg","View")</f>
        <v>View</v>
      </c>
      <c r="V1329" s="14"/>
      <c r="W1329" s="14"/>
      <c r="X1329" s="14"/>
      <c r="Y1329" s="14"/>
      <c r="Z1329" s="14"/>
    </row>
    <row r="1330">
      <c r="A1330" s="11">
        <v>43845.72125</v>
      </c>
      <c r="B1330" s="12" t="str">
        <f>HYPERLINK("https://twitter.com/kristelize","@kristelize")</f>
        <v>@kristelize</v>
      </c>
      <c r="C1330" s="1" t="s">
        <v>6305</v>
      </c>
      <c r="D1330" s="1" t="s">
        <v>6306</v>
      </c>
      <c r="E1330" s="12" t="str">
        <f>HYPERLINK("https://twitter.com/kristelize/status/1217571815687708676","1217571815687708676")</f>
        <v>1217571815687708676</v>
      </c>
      <c r="F1330" s="13" t="s">
        <v>6307</v>
      </c>
      <c r="G1330" s="14"/>
      <c r="H1330" s="14"/>
      <c r="I1330" s="15">
        <v>0.0</v>
      </c>
      <c r="J1330" s="15">
        <v>1.0</v>
      </c>
      <c r="K1330" s="12" t="str">
        <f>HYPERLINK("http://twitter.com/download/iphone","Twitter for iPhone")</f>
        <v>Twitter for iPhone</v>
      </c>
      <c r="L1330" s="16">
        <v>3762.0</v>
      </c>
      <c r="M1330" s="16">
        <v>110.0</v>
      </c>
      <c r="N1330" s="16">
        <v>95.0</v>
      </c>
      <c r="O1330" s="17"/>
      <c r="P1330" s="18">
        <v>40075.618368055555</v>
      </c>
      <c r="Q1330" s="1" t="s">
        <v>6308</v>
      </c>
      <c r="R1330" s="1" t="s">
        <v>6309</v>
      </c>
      <c r="S1330" s="13" t="s">
        <v>6310</v>
      </c>
      <c r="T1330" s="14"/>
      <c r="U1330" s="19" t="str">
        <f>HYPERLINK("https://pbs.twimg.com/profile_images/1214996573941358592/0ZpTEB86.jpg","View")</f>
        <v>View</v>
      </c>
      <c r="V1330" s="14"/>
      <c r="W1330" s="14"/>
      <c r="X1330" s="14"/>
      <c r="Y1330" s="14"/>
      <c r="Z1330" s="14"/>
    </row>
    <row r="1331">
      <c r="A1331" s="11">
        <v>43845.71193287037</v>
      </c>
      <c r="B1331" s="12" t="str">
        <f>HYPERLINK("https://twitter.com/garywhit33","@garywhit33")</f>
        <v>@garywhit33</v>
      </c>
      <c r="C1331" s="1" t="s">
        <v>6311</v>
      </c>
      <c r="D1331" s="1" t="s">
        <v>6312</v>
      </c>
      <c r="E1331" s="12" t="str">
        <f>HYPERLINK("https://twitter.com/garywhit33/status/1217568437091946497","1217568437091946497")</f>
        <v>1217568437091946497</v>
      </c>
      <c r="F1331" s="13" t="s">
        <v>6313</v>
      </c>
      <c r="G1331" s="13" t="s">
        <v>6314</v>
      </c>
      <c r="H1331" s="14"/>
      <c r="I1331" s="15">
        <v>0.0</v>
      </c>
      <c r="J1331" s="15">
        <v>0.0</v>
      </c>
      <c r="K1331" s="12" t="str">
        <f>HYPERLINK("https://www.hootsuite.com","Hootsuite Inc.")</f>
        <v>Hootsuite Inc.</v>
      </c>
      <c r="L1331" s="16">
        <v>11.0</v>
      </c>
      <c r="M1331" s="16">
        <v>15.0</v>
      </c>
      <c r="N1331" s="16">
        <v>0.0</v>
      </c>
      <c r="O1331" s="17"/>
      <c r="P1331" s="18">
        <v>41824.01782407407</v>
      </c>
      <c r="Q1331" s="1" t="s">
        <v>6315</v>
      </c>
      <c r="R1331" s="1" t="s">
        <v>6316</v>
      </c>
      <c r="S1331" s="13" t="s">
        <v>6313</v>
      </c>
      <c r="T1331" s="14"/>
      <c r="U1331" s="19" t="str">
        <f>HYPERLINK("https://pbs.twimg.com/profile_images/1164720750600704000/kTyDMLaQ.jpg","View")</f>
        <v>View</v>
      </c>
      <c r="V1331" s="14"/>
      <c r="W1331" s="14"/>
      <c r="X1331" s="14"/>
      <c r="Y1331" s="14"/>
      <c r="Z1331" s="14"/>
    </row>
    <row r="1332">
      <c r="A1332" s="11">
        <v>43845.710277777776</v>
      </c>
      <c r="B1332" s="12" t="str">
        <f>HYPERLINK("https://twitter.com/MichaelPanar1","@MichaelPanar1")</f>
        <v>@MichaelPanar1</v>
      </c>
      <c r="C1332" s="1" t="s">
        <v>4240</v>
      </c>
      <c r="D1332" s="1" t="s">
        <v>6317</v>
      </c>
      <c r="E1332" s="12" t="str">
        <f>HYPERLINK("https://twitter.com/MichaelPanar1/status/1217567836660535297","1217567836660535297")</f>
        <v>1217567836660535297</v>
      </c>
      <c r="F1332" s="14"/>
      <c r="G1332" s="14"/>
      <c r="H1332" s="14"/>
      <c r="I1332" s="15">
        <v>0.0</v>
      </c>
      <c r="J1332" s="15">
        <v>0.0</v>
      </c>
      <c r="K1332" s="12" t="str">
        <f>HYPERLINK("https://mobile.twitter.com","Twitter Web App")</f>
        <v>Twitter Web App</v>
      </c>
      <c r="L1332" s="16">
        <v>13240.0</v>
      </c>
      <c r="M1332" s="16">
        <v>14210.0</v>
      </c>
      <c r="N1332" s="16">
        <v>199.0</v>
      </c>
      <c r="O1332" s="17"/>
      <c r="P1332" s="18">
        <v>40932.64283564815</v>
      </c>
      <c r="Q1332" s="1" t="s">
        <v>4226</v>
      </c>
      <c r="R1332" s="1" t="s">
        <v>4242</v>
      </c>
      <c r="S1332" s="13" t="s">
        <v>4243</v>
      </c>
      <c r="T1332" s="14"/>
      <c r="U1332" s="19" t="str">
        <f>HYPERLINK("https://pbs.twimg.com/profile_images/658647692357275648/QrmnJXEo.jpg","View")</f>
        <v>View</v>
      </c>
      <c r="V1332" s="14"/>
      <c r="W1332" s="14"/>
      <c r="X1332" s="14"/>
      <c r="Y1332" s="14"/>
      <c r="Z1332" s="14"/>
    </row>
    <row r="1333">
      <c r="A1333" s="11">
        <v>43845.71020833333</v>
      </c>
      <c r="B1333" s="12" t="str">
        <f>HYPERLINK("https://twitter.com/22Coaching","@22Coaching")</f>
        <v>@22Coaching</v>
      </c>
      <c r="C1333" s="1" t="s">
        <v>6318</v>
      </c>
      <c r="D1333" s="1" t="s">
        <v>6319</v>
      </c>
      <c r="E1333" s="12" t="str">
        <f>HYPERLINK("https://twitter.com/22Coaching/status/1217567813969293312","1217567813969293312")</f>
        <v>1217567813969293312</v>
      </c>
      <c r="F1333" s="13" t="s">
        <v>6320</v>
      </c>
      <c r="G1333" s="13" t="s">
        <v>6321</v>
      </c>
      <c r="H1333" s="14"/>
      <c r="I1333" s="15">
        <v>0.0</v>
      </c>
      <c r="J1333" s="15">
        <v>0.0</v>
      </c>
      <c r="K1333" s="12" t="str">
        <f>HYPERLINK("https://social.zoho.com","Zoho Social")</f>
        <v>Zoho Social</v>
      </c>
      <c r="L1333" s="16">
        <v>46.0</v>
      </c>
      <c r="M1333" s="16">
        <v>826.0</v>
      </c>
      <c r="N1333" s="16">
        <v>0.0</v>
      </c>
      <c r="O1333" s="17"/>
      <c r="P1333" s="18">
        <v>43795.33371527778</v>
      </c>
      <c r="Q1333" s="14"/>
      <c r="R1333" s="1" t="s">
        <v>6322</v>
      </c>
      <c r="S1333" s="14"/>
      <c r="T1333" s="14"/>
      <c r="U1333" s="19" t="str">
        <f>HYPERLINK("https://pbs.twimg.com/profile_images/1199312228220129281/txCoIpON.jpg","View")</f>
        <v>View</v>
      </c>
      <c r="V1333" s="14"/>
      <c r="W1333" s="14"/>
      <c r="X1333" s="14"/>
      <c r="Y1333" s="14"/>
      <c r="Z1333" s="14"/>
    </row>
    <row r="1334">
      <c r="A1334" s="11">
        <v>43845.70924768518</v>
      </c>
      <c r="B1334" s="12" t="str">
        <f>HYPERLINK("https://twitter.com/thebrandnewdani","@thebrandnewdani")</f>
        <v>@thebrandnewdani</v>
      </c>
      <c r="C1334" s="1" t="s">
        <v>6323</v>
      </c>
      <c r="D1334" s="1" t="s">
        <v>6324</v>
      </c>
      <c r="E1334" s="12" t="str">
        <f>HYPERLINK("https://twitter.com/thebrandnewdani/status/1217567463682007040","1217567463682007040")</f>
        <v>1217567463682007040</v>
      </c>
      <c r="F1334" s="13" t="s">
        <v>6325</v>
      </c>
      <c r="G1334" s="14"/>
      <c r="H1334" s="14"/>
      <c r="I1334" s="15">
        <v>0.0</v>
      </c>
      <c r="J1334" s="15">
        <v>1.0</v>
      </c>
      <c r="K1334" s="12" t="str">
        <f>HYPERLINK("http://twitter.com/download/iphone","Twitter for iPhone")</f>
        <v>Twitter for iPhone</v>
      </c>
      <c r="L1334" s="16">
        <v>49.0</v>
      </c>
      <c r="M1334" s="16">
        <v>239.0</v>
      </c>
      <c r="N1334" s="16">
        <v>0.0</v>
      </c>
      <c r="O1334" s="17"/>
      <c r="P1334" s="18">
        <v>43084.647881944446</v>
      </c>
      <c r="Q1334" s="1" t="s">
        <v>934</v>
      </c>
      <c r="R1334" s="1" t="s">
        <v>6326</v>
      </c>
      <c r="S1334" s="13" t="s">
        <v>6327</v>
      </c>
      <c r="T1334" s="14"/>
      <c r="U1334" s="19" t="str">
        <f>HYPERLINK("https://pbs.twimg.com/profile_images/1186990328424947713/dvNvhTaa.jpg","View")</f>
        <v>View</v>
      </c>
      <c r="V1334" s="14"/>
      <c r="W1334" s="14"/>
      <c r="X1334" s="14"/>
      <c r="Y1334" s="14"/>
      <c r="Z1334" s="14"/>
    </row>
    <row r="1335">
      <c r="A1335" s="11">
        <v>43845.70833333333</v>
      </c>
      <c r="B1335" s="12" t="str">
        <f>HYPERLINK("https://twitter.com/AlliedPrograms","@AlliedPrograms")</f>
        <v>@AlliedPrograms</v>
      </c>
      <c r="C1335" s="1" t="s">
        <v>350</v>
      </c>
      <c r="D1335" s="1" t="s">
        <v>6328</v>
      </c>
      <c r="E1335" s="12" t="str">
        <f>HYPERLINK("https://twitter.com/AlliedPrograms/status/1217567133296660481","1217567133296660481")</f>
        <v>1217567133296660481</v>
      </c>
      <c r="F1335" s="13" t="s">
        <v>6329</v>
      </c>
      <c r="G1335" s="14"/>
      <c r="H1335" s="14"/>
      <c r="I1335" s="15">
        <v>0.0</v>
      </c>
      <c r="J1335" s="15">
        <v>0.0</v>
      </c>
      <c r="K1335" s="12" t="str">
        <f>HYPERLINK("https://socialbee.io/","SocialBee.io v2")</f>
        <v>SocialBee.io v2</v>
      </c>
      <c r="L1335" s="16">
        <v>71.0</v>
      </c>
      <c r="M1335" s="16">
        <v>64.0</v>
      </c>
      <c r="N1335" s="16">
        <v>0.0</v>
      </c>
      <c r="O1335" s="17"/>
      <c r="P1335" s="18">
        <v>43711.8109837963</v>
      </c>
      <c r="Q1335" s="14"/>
      <c r="R1335" s="1" t="s">
        <v>353</v>
      </c>
      <c r="S1335" s="13" t="s">
        <v>354</v>
      </c>
      <c r="T1335" s="14"/>
      <c r="U1335" s="19" t="str">
        <f>HYPERLINK("https://pbs.twimg.com/profile_images/1182824852232658945/LteD3Th5.jpg","View")</f>
        <v>View</v>
      </c>
      <c r="V1335" s="14"/>
      <c r="W1335" s="14"/>
      <c r="X1335" s="14"/>
      <c r="Y1335" s="14"/>
      <c r="Z1335" s="14"/>
    </row>
    <row r="1336">
      <c r="A1336" s="11">
        <v>43845.707650462966</v>
      </c>
      <c r="B1336" s="12" t="str">
        <f>HYPERLINK("https://twitter.com/KRACorporation","@KRACorporation")</f>
        <v>@KRACorporation</v>
      </c>
      <c r="C1336" s="1" t="s">
        <v>6330</v>
      </c>
      <c r="D1336" s="1" t="s">
        <v>6331</v>
      </c>
      <c r="E1336" s="12" t="str">
        <f>HYPERLINK("https://twitter.com/KRACorporation/status/1217566887388811266","1217566887388811266")</f>
        <v>1217566887388811266</v>
      </c>
      <c r="F1336" s="13" t="s">
        <v>6332</v>
      </c>
      <c r="G1336" s="13" t="s">
        <v>6333</v>
      </c>
      <c r="H1336" s="14"/>
      <c r="I1336" s="15">
        <v>0.0</v>
      </c>
      <c r="J1336" s="15">
        <v>0.0</v>
      </c>
      <c r="K1336" s="12" t="str">
        <f>HYPERLINK("https://buffer.com","Buffer")</f>
        <v>Buffer</v>
      </c>
      <c r="L1336" s="16">
        <v>269.0</v>
      </c>
      <c r="M1336" s="16">
        <v>136.0</v>
      </c>
      <c r="N1336" s="16">
        <v>4.0</v>
      </c>
      <c r="O1336" s="17"/>
      <c r="P1336" s="18">
        <v>40520.48521990741</v>
      </c>
      <c r="Q1336" s="1" t="s">
        <v>2663</v>
      </c>
      <c r="R1336" s="1" t="s">
        <v>6334</v>
      </c>
      <c r="S1336" s="13" t="s">
        <v>6335</v>
      </c>
      <c r="T1336" s="14"/>
      <c r="U1336" s="19" t="str">
        <f>HYPERLINK("https://pbs.twimg.com/profile_images/958071265150947328/3-DzYDLZ.jpg","View")</f>
        <v>View</v>
      </c>
      <c r="V1336" s="14"/>
      <c r="W1336" s="14"/>
      <c r="X1336" s="14"/>
      <c r="Y1336" s="14"/>
      <c r="Z1336" s="14"/>
    </row>
    <row r="1337">
      <c r="A1337" s="11">
        <v>43845.70700231481</v>
      </c>
      <c r="B1337" s="12" t="str">
        <f>HYPERLINK("https://twitter.com/RestoreHeal","@RestoreHeal")</f>
        <v>@RestoreHeal</v>
      </c>
      <c r="C1337" s="1" t="s">
        <v>6336</v>
      </c>
      <c r="D1337" s="1" t="s">
        <v>6337</v>
      </c>
      <c r="E1337" s="12" t="str">
        <f>HYPERLINK("https://twitter.com/RestoreHeal/status/1217566649378689024","1217566649378689024")</f>
        <v>1217566649378689024</v>
      </c>
      <c r="F1337" s="13" t="s">
        <v>6338</v>
      </c>
      <c r="G1337" s="13" t="s">
        <v>6339</v>
      </c>
      <c r="H1337" s="14"/>
      <c r="I1337" s="15">
        <v>0.0</v>
      </c>
      <c r="J1337" s="15">
        <v>0.0</v>
      </c>
      <c r="K1337" s="12" t="str">
        <f>HYPERLINK("https://mobile.twitter.com","Twitter Web App")</f>
        <v>Twitter Web App</v>
      </c>
      <c r="L1337" s="16">
        <v>2339.0</v>
      </c>
      <c r="M1337" s="16">
        <v>2363.0</v>
      </c>
      <c r="N1337" s="16">
        <v>192.0</v>
      </c>
      <c r="O1337" s="17"/>
      <c r="P1337" s="18">
        <v>41867.854155092595</v>
      </c>
      <c r="Q1337" s="14"/>
      <c r="R1337" s="1" t="s">
        <v>6340</v>
      </c>
      <c r="S1337" s="13" t="s">
        <v>6341</v>
      </c>
      <c r="T1337" s="14"/>
      <c r="U1337" s="19" t="str">
        <f>HYPERLINK("https://pbs.twimg.com/profile_images/916392769366585345/KlfbBulJ.jpg","View")</f>
        <v>View</v>
      </c>
      <c r="V1337" s="14"/>
      <c r="W1337" s="14"/>
      <c r="X1337" s="14"/>
      <c r="Y1337" s="14"/>
      <c r="Z1337" s="14"/>
    </row>
    <row r="1338">
      <c r="A1338" s="11">
        <v>43845.70287037037</v>
      </c>
      <c r="B1338" s="12" t="str">
        <f>HYPERLINK("https://twitter.com/GraceMedHealth","@GraceMedHealth")</f>
        <v>@GraceMedHealth</v>
      </c>
      <c r="C1338" s="1" t="s">
        <v>6342</v>
      </c>
      <c r="D1338" s="1" t="s">
        <v>6343</v>
      </c>
      <c r="E1338" s="12" t="str">
        <f>HYPERLINK("https://twitter.com/GraceMedHealth/status/1217565152511512576","1217565152511512576")</f>
        <v>1217565152511512576</v>
      </c>
      <c r="F1338" s="13" t="s">
        <v>6344</v>
      </c>
      <c r="G1338" s="13" t="s">
        <v>6345</v>
      </c>
      <c r="H1338" s="14"/>
      <c r="I1338" s="15">
        <v>0.0</v>
      </c>
      <c r="J1338" s="15">
        <v>0.0</v>
      </c>
      <c r="K1338" s="12" t="str">
        <f>HYPERLINK("https://coschedule.com","CoSchedule")</f>
        <v>CoSchedule</v>
      </c>
      <c r="L1338" s="16">
        <v>805.0</v>
      </c>
      <c r="M1338" s="16">
        <v>663.0</v>
      </c>
      <c r="N1338" s="16">
        <v>21.0</v>
      </c>
      <c r="O1338" s="17"/>
      <c r="P1338" s="18">
        <v>40385.613969907405</v>
      </c>
      <c r="Q1338" s="1" t="s">
        <v>957</v>
      </c>
      <c r="R1338" s="1" t="s">
        <v>6346</v>
      </c>
      <c r="S1338" s="13" t="s">
        <v>6347</v>
      </c>
      <c r="T1338" s="14"/>
      <c r="U1338" s="19" t="str">
        <f>HYPERLINK("https://pbs.twimg.com/profile_images/857939978717978625/YJtuLB4U.jpg","View")</f>
        <v>View</v>
      </c>
      <c r="V1338" s="14"/>
      <c r="W1338" s="14"/>
      <c r="X1338" s="14"/>
      <c r="Y1338" s="14"/>
      <c r="Z1338" s="14"/>
    </row>
    <row r="1339">
      <c r="A1339" s="11">
        <v>43845.69980324074</v>
      </c>
      <c r="B1339" s="12" t="str">
        <f>HYPERLINK("https://twitter.com/WestonPrincipal","@WestonPrincipal")</f>
        <v>@WestonPrincipal</v>
      </c>
      <c r="C1339" s="1" t="s">
        <v>6348</v>
      </c>
      <c r="D1339" s="1" t="s">
        <v>6349</v>
      </c>
      <c r="E1339" s="12" t="str">
        <f>HYPERLINK("https://twitter.com/WestonPrincipal/status/1217564040383410177","1217564040383410177")</f>
        <v>1217564040383410177</v>
      </c>
      <c r="F1339" s="14"/>
      <c r="G1339" s="13" t="s">
        <v>6350</v>
      </c>
      <c r="H1339" s="14"/>
      <c r="I1339" s="15">
        <v>0.0</v>
      </c>
      <c r="J1339" s="15">
        <v>5.0</v>
      </c>
      <c r="K1339" s="12" t="str">
        <f>HYPERLINK("http://twitter.com/#!/download/ipad","Twitter for iPad")</f>
        <v>Twitter for iPad</v>
      </c>
      <c r="L1339" s="16">
        <v>868.0</v>
      </c>
      <c r="M1339" s="16">
        <v>286.0</v>
      </c>
      <c r="N1339" s="16">
        <v>21.0</v>
      </c>
      <c r="O1339" s="17"/>
      <c r="P1339" s="18">
        <v>41839.32287037037</v>
      </c>
      <c r="Q1339" s="1" t="s">
        <v>6351</v>
      </c>
      <c r="R1339" s="1" t="s">
        <v>6352</v>
      </c>
      <c r="S1339" s="13" t="s">
        <v>6353</v>
      </c>
      <c r="T1339" s="14"/>
      <c r="U1339" s="19" t="str">
        <f>HYPERLINK("https://pbs.twimg.com/profile_images/930547863838429186/srALT7un.jpg","View")</f>
        <v>View</v>
      </c>
      <c r="V1339" s="14"/>
      <c r="W1339" s="14"/>
      <c r="X1339" s="14"/>
      <c r="Y1339" s="14"/>
      <c r="Z1339" s="14"/>
    </row>
    <row r="1340">
      <c r="A1340" s="11">
        <v>43845.69975694444</v>
      </c>
      <c r="B1340" s="12" t="str">
        <f>HYPERLINK("https://twitter.com/Nella_NotNice","@Nella_NotNice")</f>
        <v>@Nella_NotNice</v>
      </c>
      <c r="C1340" s="1" t="s">
        <v>6354</v>
      </c>
      <c r="D1340" s="1" t="s">
        <v>6355</v>
      </c>
      <c r="E1340" s="12" t="str">
        <f>HYPERLINK("https://twitter.com/Nella_NotNice/status/1217564025053155345","1217564025053155345")</f>
        <v>1217564025053155345</v>
      </c>
      <c r="F1340" s="14"/>
      <c r="G1340" s="14"/>
      <c r="H1340" s="14"/>
      <c r="I1340" s="15">
        <v>0.0</v>
      </c>
      <c r="J1340" s="15">
        <v>0.0</v>
      </c>
      <c r="K1340" s="12" t="str">
        <f>HYPERLINK("http://twitter.com/download/iphone","Twitter for iPhone")</f>
        <v>Twitter for iPhone</v>
      </c>
      <c r="L1340" s="16">
        <v>402.0</v>
      </c>
      <c r="M1340" s="16">
        <v>691.0</v>
      </c>
      <c r="N1340" s="16">
        <v>2.0</v>
      </c>
      <c r="O1340" s="17"/>
      <c r="P1340" s="18">
        <v>40047.06309027778</v>
      </c>
      <c r="Q1340" s="1" t="s">
        <v>6356</v>
      </c>
      <c r="R1340" s="1" t="s">
        <v>6357</v>
      </c>
      <c r="S1340" s="14"/>
      <c r="T1340" s="14"/>
      <c r="U1340" s="19" t="str">
        <f>HYPERLINK("https://pbs.twimg.com/profile_images/1216211191682519041/9ExhHs_w.jpg","View")</f>
        <v>View</v>
      </c>
      <c r="V1340" s="14"/>
      <c r="W1340" s="14"/>
      <c r="X1340" s="14"/>
      <c r="Y1340" s="14"/>
      <c r="Z1340" s="14"/>
    </row>
    <row r="1341">
      <c r="A1341" s="11">
        <v>43845.69943287037</v>
      </c>
      <c r="B1341" s="12" t="str">
        <f>HYPERLINK("https://twitter.com/NordicNewsInUK","@NordicNewsInUK")</f>
        <v>@NordicNewsInUK</v>
      </c>
      <c r="C1341" s="1" t="s">
        <v>6358</v>
      </c>
      <c r="D1341" s="1" t="s">
        <v>6359</v>
      </c>
      <c r="E1341" s="12" t="str">
        <f>HYPERLINK("https://twitter.com/NordicNewsInUK/status/1217563908216696834","1217563908216696834")</f>
        <v>1217563908216696834</v>
      </c>
      <c r="F1341" s="14"/>
      <c r="G1341" s="13" t="s">
        <v>6360</v>
      </c>
      <c r="H1341" s="14"/>
      <c r="I1341" s="15">
        <v>0.0</v>
      </c>
      <c r="J1341" s="15">
        <v>0.0</v>
      </c>
      <c r="K1341" s="12" t="str">
        <f>HYPERLINK("https://www.socialoomph.com","SocialOomph")</f>
        <v>SocialOomph</v>
      </c>
      <c r="L1341" s="16">
        <v>234.0</v>
      </c>
      <c r="M1341" s="16">
        <v>42.0</v>
      </c>
      <c r="N1341" s="16">
        <v>11.0</v>
      </c>
      <c r="O1341" s="17"/>
      <c r="P1341" s="18">
        <v>40392.20458333333</v>
      </c>
      <c r="Q1341" s="1" t="s">
        <v>624</v>
      </c>
      <c r="R1341" s="1" t="s">
        <v>6361</v>
      </c>
      <c r="S1341" s="14"/>
      <c r="T1341" s="14"/>
      <c r="U1341" s="19" t="str">
        <f>HYPERLINK("https://pbs.twimg.com/profile_images/966423433088241665/FekxEjjF.jpg","View")</f>
        <v>View</v>
      </c>
      <c r="V1341" s="14"/>
      <c r="W1341" s="14"/>
      <c r="X1341" s="14"/>
      <c r="Y1341" s="14"/>
      <c r="Z1341" s="14"/>
    </row>
    <row r="1342">
      <c r="A1342" s="11">
        <v>43845.69861111111</v>
      </c>
      <c r="B1342" s="12" t="str">
        <f>HYPERLINK("https://twitter.com/DepressionForum","@DepressionForum")</f>
        <v>@DepressionForum</v>
      </c>
      <c r="C1342" s="1" t="s">
        <v>6362</v>
      </c>
      <c r="D1342" s="1" t="s">
        <v>6363</v>
      </c>
      <c r="E1342" s="12" t="str">
        <f>HYPERLINK("https://twitter.com/DepressionForum/status/1217563609024339968","1217563609024339968")</f>
        <v>1217563609024339968</v>
      </c>
      <c r="F1342" s="13" t="s">
        <v>6364</v>
      </c>
      <c r="G1342" s="13" t="s">
        <v>6365</v>
      </c>
      <c r="H1342" s="14"/>
      <c r="I1342" s="15">
        <v>0.0</v>
      </c>
      <c r="J1342" s="15">
        <v>0.0</v>
      </c>
      <c r="K1342" s="12" t="str">
        <f>HYPERLINK("https://about.twitter.com/products/tweetdeck","TweetDeck")</f>
        <v>TweetDeck</v>
      </c>
      <c r="L1342" s="16">
        <v>10838.0</v>
      </c>
      <c r="M1342" s="16">
        <v>978.0</v>
      </c>
      <c r="N1342" s="16">
        <v>403.0</v>
      </c>
      <c r="O1342" s="17"/>
      <c r="P1342" s="18">
        <v>40019.541597222225</v>
      </c>
      <c r="Q1342" s="1" t="s">
        <v>6366</v>
      </c>
      <c r="R1342" s="1" t="s">
        <v>6367</v>
      </c>
      <c r="S1342" s="13" t="s">
        <v>6368</v>
      </c>
      <c r="T1342" s="14"/>
      <c r="U1342" s="19" t="str">
        <f>HYPERLINK("https://pbs.twimg.com/profile_images/1192930694030352384/_1Yh8rTD.jpg","View")</f>
        <v>View</v>
      </c>
      <c r="V1342" s="14"/>
      <c r="W1342" s="14"/>
      <c r="X1342" s="14"/>
      <c r="Y1342" s="14"/>
      <c r="Z1342" s="14"/>
    </row>
    <row r="1343">
      <c r="A1343" s="11">
        <v>43845.69797453703</v>
      </c>
      <c r="B1343" s="12" t="str">
        <f>HYPERLINK("https://twitter.com/thestressclinic","@thestressclinic")</f>
        <v>@thestressclinic</v>
      </c>
      <c r="C1343" s="1" t="s">
        <v>282</v>
      </c>
      <c r="D1343" s="1" t="s">
        <v>6369</v>
      </c>
      <c r="E1343" s="12" t="str">
        <f>HYPERLINK("https://twitter.com/thestressclinic/status/1217563380929744897","1217563380929744897")</f>
        <v>1217563380929744897</v>
      </c>
      <c r="F1343" s="14"/>
      <c r="G1343" s="14"/>
      <c r="H1343" s="14"/>
      <c r="I1343" s="15">
        <v>0.0</v>
      </c>
      <c r="J1343" s="15">
        <v>0.0</v>
      </c>
      <c r="K1343" s="12" t="str">
        <f>HYPERLINK("https://www.hootsuite.com","Hootsuite Inc.")</f>
        <v>Hootsuite Inc.</v>
      </c>
      <c r="L1343" s="16">
        <v>548.0</v>
      </c>
      <c r="M1343" s="16">
        <v>148.0</v>
      </c>
      <c r="N1343" s="16">
        <v>21.0</v>
      </c>
      <c r="O1343" s="17"/>
      <c r="P1343" s="18">
        <v>40837.51666666666</v>
      </c>
      <c r="Q1343" s="1" t="s">
        <v>284</v>
      </c>
      <c r="R1343" s="1" t="s">
        <v>285</v>
      </c>
      <c r="S1343" s="13" t="s">
        <v>286</v>
      </c>
      <c r="T1343" s="14"/>
      <c r="U1343" s="19" t="str">
        <f>HYPERLINK("https://pbs.twimg.com/profile_images/1786841943/RelaxButton.jpg","View")</f>
        <v>View</v>
      </c>
      <c r="V1343" s="14"/>
      <c r="W1343" s="14"/>
      <c r="X1343" s="14"/>
      <c r="Y1343" s="14"/>
      <c r="Z1343" s="14"/>
    </row>
    <row r="1344">
      <c r="A1344" s="11">
        <v>43845.697962962964</v>
      </c>
      <c r="B1344" s="12" t="str">
        <f>HYPERLINK("https://twitter.com/AChVoice","@AChVoice")</f>
        <v>@AChVoice</v>
      </c>
      <c r="C1344" s="1" t="s">
        <v>6370</v>
      </c>
      <c r="D1344" s="1" t="s">
        <v>6371</v>
      </c>
      <c r="E1344" s="12" t="str">
        <f>HYPERLINK("https://twitter.com/AChVoice/status/1217563373996584960","1217563373996584960")</f>
        <v>1217563373996584960</v>
      </c>
      <c r="F1344" s="13" t="s">
        <v>6372</v>
      </c>
      <c r="G1344" s="14"/>
      <c r="H1344" s="14"/>
      <c r="I1344" s="15">
        <v>2.0</v>
      </c>
      <c r="J1344" s="15">
        <v>4.0</v>
      </c>
      <c r="K1344" s="12" t="str">
        <f>HYPERLINK("https://buffer.com","Buffer")</f>
        <v>Buffer</v>
      </c>
      <c r="L1344" s="16">
        <v>14622.0</v>
      </c>
      <c r="M1344" s="16">
        <v>12835.0</v>
      </c>
      <c r="N1344" s="16">
        <v>319.0</v>
      </c>
      <c r="O1344" s="17"/>
      <c r="P1344" s="18">
        <v>42317.35851851852</v>
      </c>
      <c r="Q1344" s="1" t="s">
        <v>6373</v>
      </c>
      <c r="R1344" s="1" t="s">
        <v>6374</v>
      </c>
      <c r="S1344" s="13" t="s">
        <v>6375</v>
      </c>
      <c r="T1344" s="14"/>
      <c r="U1344" s="19" t="str">
        <f>HYPERLINK("https://pbs.twimg.com/profile_images/674894894188462080/C1s9i343.jpg","View")</f>
        <v>View</v>
      </c>
      <c r="V1344" s="14"/>
      <c r="W1344" s="14"/>
      <c r="X1344" s="14"/>
      <c r="Y1344" s="14"/>
      <c r="Z1344" s="14"/>
    </row>
    <row r="1345">
      <c r="A1345" s="11">
        <v>43845.69791666667</v>
      </c>
      <c r="B1345" s="12" t="str">
        <f>HYPERLINK("https://twitter.com/TrainingMindful","@TrainingMindful")</f>
        <v>@TrainingMindful</v>
      </c>
      <c r="C1345" s="1" t="s">
        <v>94</v>
      </c>
      <c r="D1345" s="1" t="s">
        <v>1623</v>
      </c>
      <c r="E1345" s="12" t="str">
        <f>HYPERLINK("https://twitter.com/TrainingMindful/status/1217563357559099393","1217563357559099393")</f>
        <v>1217563357559099393</v>
      </c>
      <c r="F1345" s="13" t="s">
        <v>1624</v>
      </c>
      <c r="G1345" s="14"/>
      <c r="H1345" s="14"/>
      <c r="I1345" s="15">
        <v>0.0</v>
      </c>
      <c r="J1345" s="15">
        <v>3.0</v>
      </c>
      <c r="K1345" s="12" t="str">
        <f>HYPERLINK("https://www.socialoomph.com","SocialOomph")</f>
        <v>SocialOomph</v>
      </c>
      <c r="L1345" s="16">
        <v>185303.0</v>
      </c>
      <c r="M1345" s="16">
        <v>43980.0</v>
      </c>
      <c r="N1345" s="16">
        <v>2800.0</v>
      </c>
      <c r="O1345" s="17"/>
      <c r="P1345" s="18">
        <v>41286.039305555554</v>
      </c>
      <c r="Q1345" s="1" t="s">
        <v>97</v>
      </c>
      <c r="R1345" s="1" t="s">
        <v>98</v>
      </c>
      <c r="S1345" s="13" t="s">
        <v>99</v>
      </c>
      <c r="T1345" s="14"/>
      <c r="U1345" s="19" t="str">
        <f>HYPERLINK("https://pbs.twimg.com/profile_images/566526924059459584/gdMxDA9x.jpeg","View")</f>
        <v>View</v>
      </c>
      <c r="V1345" s="14"/>
      <c r="W1345" s="14"/>
      <c r="X1345" s="14"/>
      <c r="Y1345" s="14"/>
      <c r="Z1345" s="14"/>
    </row>
    <row r="1346">
      <c r="A1346" s="11">
        <v>43845.69210648148</v>
      </c>
      <c r="B1346" s="12" t="str">
        <f>HYPERLINK("https://twitter.com/DonnachaMulSC","@DonnachaMulSC")</f>
        <v>@DonnachaMulSC</v>
      </c>
      <c r="C1346" s="1" t="s">
        <v>6376</v>
      </c>
      <c r="D1346" s="1" t="s">
        <v>6377</v>
      </c>
      <c r="E1346" s="12" t="str">
        <f>HYPERLINK("https://twitter.com/DonnachaMulSC/status/1217561252492447744","1217561252492447744")</f>
        <v>1217561252492447744</v>
      </c>
      <c r="F1346" s="14"/>
      <c r="G1346" s="13" t="s">
        <v>6378</v>
      </c>
      <c r="H1346" s="14"/>
      <c r="I1346" s="15">
        <v>0.0</v>
      </c>
      <c r="J1346" s="15">
        <v>2.0</v>
      </c>
      <c r="K1346" s="12" t="str">
        <f>HYPERLINK("http://twitter.com/download/iphone","Twitter for iPhone")</f>
        <v>Twitter for iPhone</v>
      </c>
      <c r="L1346" s="16">
        <v>684.0</v>
      </c>
      <c r="M1346" s="16">
        <v>1732.0</v>
      </c>
      <c r="N1346" s="16">
        <v>15.0</v>
      </c>
      <c r="O1346" s="17"/>
      <c r="P1346" s="18">
        <v>39869.62458333334</v>
      </c>
      <c r="Q1346" s="1" t="s">
        <v>6379</v>
      </c>
      <c r="R1346" s="1" t="s">
        <v>6380</v>
      </c>
      <c r="S1346" s="14"/>
      <c r="T1346" s="14"/>
      <c r="U1346" s="19" t="str">
        <f>HYPERLINK("https://pbs.twimg.com/profile_images/631937328051822592/d8TPPykz.jpg","View")</f>
        <v>View</v>
      </c>
      <c r="V1346" s="14"/>
      <c r="W1346" s="14"/>
      <c r="X1346" s="14"/>
      <c r="Y1346" s="14"/>
      <c r="Z1346" s="14"/>
    </row>
    <row r="1347">
      <c r="A1347" s="11">
        <v>43845.691875000004</v>
      </c>
      <c r="B1347" s="12" t="str">
        <f>HYPERLINK("https://twitter.com/satzoomer","@satzoomer")</f>
        <v>@satzoomer</v>
      </c>
      <c r="C1347" s="1" t="s">
        <v>6381</v>
      </c>
      <c r="D1347" s="1" t="s">
        <v>6382</v>
      </c>
      <c r="E1347" s="12" t="str">
        <f>HYPERLINK("https://twitter.com/satzoomer/status/1217561167201284098","1217561167201284098")</f>
        <v>1217561167201284098</v>
      </c>
      <c r="F1347" s="14"/>
      <c r="G1347" s="14"/>
      <c r="H1347" s="14"/>
      <c r="I1347" s="15">
        <v>0.0</v>
      </c>
      <c r="J1347" s="15">
        <v>6.0</v>
      </c>
      <c r="K1347" s="12" t="str">
        <f>HYPERLINK("http://twitter.com/download/android","Twitter for Android")</f>
        <v>Twitter for Android</v>
      </c>
      <c r="L1347" s="16">
        <v>1498.0</v>
      </c>
      <c r="M1347" s="16">
        <v>1523.0</v>
      </c>
      <c r="N1347" s="16">
        <v>38.0</v>
      </c>
      <c r="O1347" s="17"/>
      <c r="P1347" s="18">
        <v>41685.66096064815</v>
      </c>
      <c r="Q1347" s="1" t="s">
        <v>6383</v>
      </c>
      <c r="R1347" s="1" t="s">
        <v>6384</v>
      </c>
      <c r="S1347" s="14"/>
      <c r="T1347" s="14"/>
      <c r="U1347" s="19" t="str">
        <f>HYPERLINK("https://pbs.twimg.com/profile_images/601376877639524352/mMWUMdrQ.jpg","View")</f>
        <v>View</v>
      </c>
      <c r="V1347" s="14"/>
      <c r="W1347" s="14"/>
      <c r="X1347" s="14"/>
      <c r="Y1347" s="14"/>
      <c r="Z1347" s="14"/>
    </row>
    <row r="1348">
      <c r="A1348" s="11">
        <v>43845.68870370371</v>
      </c>
      <c r="B1348" s="12" t="str">
        <f>HYPERLINK("https://twitter.com/KCSL","@KCSL")</f>
        <v>@KCSL</v>
      </c>
      <c r="C1348" s="1" t="s">
        <v>6385</v>
      </c>
      <c r="D1348" s="1" t="s">
        <v>6386</v>
      </c>
      <c r="E1348" s="12" t="str">
        <f>HYPERLINK("https://twitter.com/KCSL/status/1217560017802612740","1217560017802612740")</f>
        <v>1217560017802612740</v>
      </c>
      <c r="F1348" s="13" t="s">
        <v>6387</v>
      </c>
      <c r="G1348" s="13" t="s">
        <v>6388</v>
      </c>
      <c r="H1348" s="14"/>
      <c r="I1348" s="15">
        <v>2.0</v>
      </c>
      <c r="J1348" s="15">
        <v>3.0</v>
      </c>
      <c r="K1348" s="12" t="str">
        <f>HYPERLINK("https://mobile.twitter.com","Twitter Web App")</f>
        <v>Twitter Web App</v>
      </c>
      <c r="L1348" s="16">
        <v>2685.0</v>
      </c>
      <c r="M1348" s="16">
        <v>2178.0</v>
      </c>
      <c r="N1348" s="16">
        <v>104.0</v>
      </c>
      <c r="O1348" s="17"/>
      <c r="P1348" s="18">
        <v>39771.73675925926</v>
      </c>
      <c r="Q1348" s="1" t="s">
        <v>6389</v>
      </c>
      <c r="R1348" s="1" t="s">
        <v>6390</v>
      </c>
      <c r="S1348" s="13" t="s">
        <v>6391</v>
      </c>
      <c r="T1348" s="14"/>
      <c r="U1348" s="19" t="str">
        <f>HYPERLINK("https://pbs.twimg.com/profile_images/1123339549302820865/5EbQZVDl.png","View")</f>
        <v>View</v>
      </c>
      <c r="V1348" s="14"/>
      <c r="W1348" s="14"/>
      <c r="X1348" s="14"/>
      <c r="Y1348" s="14"/>
      <c r="Z1348" s="14"/>
    </row>
    <row r="1349">
      <c r="A1349" s="11">
        <v>43845.68759259259</v>
      </c>
      <c r="B1349" s="12" t="str">
        <f>HYPERLINK("https://twitter.com/msemmaparsons","@msemmaparsons")</f>
        <v>@msemmaparsons</v>
      </c>
      <c r="C1349" s="1" t="s">
        <v>6392</v>
      </c>
      <c r="D1349" s="1" t="s">
        <v>6393</v>
      </c>
      <c r="E1349" s="12" t="str">
        <f>HYPERLINK("https://twitter.com/msemmaparsons/status/1217559618047692806","1217559618047692806")</f>
        <v>1217559618047692806</v>
      </c>
      <c r="F1349" s="14"/>
      <c r="G1349" s="13" t="s">
        <v>6394</v>
      </c>
      <c r="H1349" s="14"/>
      <c r="I1349" s="15">
        <v>0.0</v>
      </c>
      <c r="J1349" s="15">
        <v>1.0</v>
      </c>
      <c r="K1349" s="12" t="str">
        <f>HYPERLINK("https://buffer.com","Buffer")</f>
        <v>Buffer</v>
      </c>
      <c r="L1349" s="16">
        <v>33.0</v>
      </c>
      <c r="M1349" s="16">
        <v>36.0</v>
      </c>
      <c r="N1349" s="16">
        <v>0.0</v>
      </c>
      <c r="O1349" s="17"/>
      <c r="P1349" s="18">
        <v>42892.044062500005</v>
      </c>
      <c r="Q1349" s="1" t="s">
        <v>6395</v>
      </c>
      <c r="R1349" s="1" t="s">
        <v>6396</v>
      </c>
      <c r="S1349" s="13" t="s">
        <v>6397</v>
      </c>
      <c r="T1349" s="14"/>
      <c r="U1349" s="19" t="str">
        <f>HYPERLINK("https://pbs.twimg.com/profile_images/971232397609046016/hEVwC52r.jpg","View")</f>
        <v>View</v>
      </c>
      <c r="V1349" s="14"/>
      <c r="W1349" s="14"/>
      <c r="X1349" s="14"/>
      <c r="Y1349" s="14"/>
      <c r="Z1349" s="14"/>
    </row>
    <row r="1350">
      <c r="A1350" s="11">
        <v>43845.68752314815</v>
      </c>
      <c r="B1350" s="12" t="str">
        <f>HYPERLINK("https://twitter.com/LYFEMarketing","@LYFEMarketing")</f>
        <v>@LYFEMarketing</v>
      </c>
      <c r="C1350" s="1" t="s">
        <v>6398</v>
      </c>
      <c r="D1350" s="1" t="s">
        <v>6399</v>
      </c>
      <c r="E1350" s="12" t="str">
        <f>HYPERLINK("https://twitter.com/LYFEMarketing/status/1217559593498435585","1217559593498435585")</f>
        <v>1217559593498435585</v>
      </c>
      <c r="F1350" s="14"/>
      <c r="G1350" s="13" t="s">
        <v>6400</v>
      </c>
      <c r="H1350" s="14"/>
      <c r="I1350" s="15">
        <v>0.0</v>
      </c>
      <c r="J1350" s="15">
        <v>0.0</v>
      </c>
      <c r="K1350" s="12" t="str">
        <f>HYPERLINK("http://www.falcon.io","Falcon Social Media Management ")</f>
        <v>Falcon Social Media Management </v>
      </c>
      <c r="L1350" s="16">
        <v>28356.0</v>
      </c>
      <c r="M1350" s="16">
        <v>20147.0</v>
      </c>
      <c r="N1350" s="16">
        <v>572.0</v>
      </c>
      <c r="O1350" s="17"/>
      <c r="P1350" s="18">
        <v>40904.659479166665</v>
      </c>
      <c r="Q1350" s="1" t="s">
        <v>1691</v>
      </c>
      <c r="R1350" s="1" t="s">
        <v>6401</v>
      </c>
      <c r="S1350" s="13" t="s">
        <v>6402</v>
      </c>
      <c r="T1350" s="14"/>
      <c r="U1350" s="19" t="str">
        <f>HYPERLINK("https://pbs.twimg.com/profile_images/661985537918640128/smtoEtEK.jpg","View")</f>
        <v>View</v>
      </c>
      <c r="V1350" s="14"/>
      <c r="W1350" s="14"/>
      <c r="X1350" s="14"/>
      <c r="Y1350" s="14"/>
      <c r="Z1350" s="14"/>
    </row>
    <row r="1351">
      <c r="A1351" s="11">
        <v>43845.68267361111</v>
      </c>
      <c r="B1351" s="12" t="str">
        <f>HYPERLINK("https://twitter.com/puregreenxpress","@puregreenxpress")</f>
        <v>@puregreenxpress</v>
      </c>
      <c r="C1351" s="1" t="s">
        <v>6403</v>
      </c>
      <c r="D1351" s="1" t="s">
        <v>6404</v>
      </c>
      <c r="E1351" s="12" t="str">
        <f>HYPERLINK("https://twitter.com/puregreenxpress/status/1217557833224376320","1217557833224376320")</f>
        <v>1217557833224376320</v>
      </c>
      <c r="F1351" s="13" t="s">
        <v>6405</v>
      </c>
      <c r="G1351" s="14"/>
      <c r="H1351" s="14"/>
      <c r="I1351" s="15">
        <v>0.0</v>
      </c>
      <c r="J1351" s="15">
        <v>0.0</v>
      </c>
      <c r="K1351" s="12" t="str">
        <f>HYPERLINK("http://twitter.com","Twitter Web Client")</f>
        <v>Twitter Web Client</v>
      </c>
      <c r="L1351" s="16">
        <v>4232.0</v>
      </c>
      <c r="M1351" s="16">
        <v>3939.0</v>
      </c>
      <c r="N1351" s="16">
        <v>18.0</v>
      </c>
      <c r="O1351" s="17"/>
      <c r="P1351" s="18">
        <v>42832.91449074074</v>
      </c>
      <c r="Q1351" s="1" t="s">
        <v>4938</v>
      </c>
      <c r="R1351" s="1" t="s">
        <v>6406</v>
      </c>
      <c r="S1351" s="13" t="s">
        <v>6407</v>
      </c>
      <c r="T1351" s="14"/>
      <c r="U1351" s="19" t="str">
        <f>HYPERLINK("https://pbs.twimg.com/profile_images/850531013323218944/qtaGwM5r.jpg","View")</f>
        <v>View</v>
      </c>
      <c r="V1351" s="14"/>
      <c r="W1351" s="14"/>
      <c r="X1351" s="14"/>
      <c r="Y1351" s="14"/>
      <c r="Z1351" s="14"/>
    </row>
    <row r="1352">
      <c r="A1352" s="11">
        <v>43845.68002314815</v>
      </c>
      <c r="B1352" s="12" t="str">
        <f>HYPERLINK("https://twitter.com/ScorpioINFJ","@ScorpioINFJ")</f>
        <v>@ScorpioINFJ</v>
      </c>
      <c r="C1352" s="1" t="s">
        <v>6408</v>
      </c>
      <c r="D1352" s="1" t="s">
        <v>6409</v>
      </c>
      <c r="E1352" s="12" t="str">
        <f>HYPERLINK("https://twitter.com/ScorpioINFJ/status/1217556874641297408","1217556874641297408")</f>
        <v>1217556874641297408</v>
      </c>
      <c r="F1352" s="14"/>
      <c r="G1352" s="14"/>
      <c r="H1352" s="14"/>
      <c r="I1352" s="15">
        <v>0.0</v>
      </c>
      <c r="J1352" s="15">
        <v>1.0</v>
      </c>
      <c r="K1352" s="12" t="str">
        <f>HYPERLINK("http://twitter.com/download/iphone","Twitter for iPhone")</f>
        <v>Twitter for iPhone</v>
      </c>
      <c r="L1352" s="16">
        <v>223.0</v>
      </c>
      <c r="M1352" s="16">
        <v>33.0</v>
      </c>
      <c r="N1352" s="16">
        <v>3.0</v>
      </c>
      <c r="O1352" s="17"/>
      <c r="P1352" s="18">
        <v>43155.62386574074</v>
      </c>
      <c r="Q1352" s="14"/>
      <c r="R1352" s="1" t="s">
        <v>6410</v>
      </c>
      <c r="S1352" s="14"/>
      <c r="T1352" s="14"/>
      <c r="U1352" s="19" t="str">
        <f>HYPERLINK("https://pbs.twimg.com/profile_images/1078689851489308672/CIhKXtwj.jpg","View")</f>
        <v>View</v>
      </c>
      <c r="V1352" s="14"/>
      <c r="W1352" s="14"/>
      <c r="X1352" s="14"/>
      <c r="Y1352" s="14"/>
      <c r="Z1352" s="14"/>
    </row>
    <row r="1353">
      <c r="A1353" s="11">
        <v>43845.67708333333</v>
      </c>
      <c r="B1353" s="12" t="str">
        <f>HYPERLINK("https://twitter.com/nilesgeary","@nilesgeary")</f>
        <v>@nilesgeary</v>
      </c>
      <c r="C1353" s="1" t="s">
        <v>6411</v>
      </c>
      <c r="D1353" s="1" t="s">
        <v>4800</v>
      </c>
      <c r="E1353" s="12" t="str">
        <f>HYPERLINK("https://twitter.com/nilesgeary/status/1217555808399040518","1217555808399040518")</f>
        <v>1217555808399040518</v>
      </c>
      <c r="F1353" s="13" t="s">
        <v>6412</v>
      </c>
      <c r="G1353" s="14"/>
      <c r="H1353" s="14"/>
      <c r="I1353" s="15">
        <v>0.0</v>
      </c>
      <c r="J1353" s="15">
        <v>0.0</v>
      </c>
      <c r="K1353" s="12" t="str">
        <f>HYPERLINK("https://secure.fmgsuite.com","FMG Social")</f>
        <v>FMG Social</v>
      </c>
      <c r="L1353" s="16">
        <v>151.0</v>
      </c>
      <c r="M1353" s="16">
        <v>10.0</v>
      </c>
      <c r="N1353" s="16">
        <v>7.0</v>
      </c>
      <c r="O1353" s="17"/>
      <c r="P1353" s="18">
        <v>41136.61059027778</v>
      </c>
      <c r="Q1353" s="14"/>
      <c r="R1353" s="1" t="s">
        <v>6413</v>
      </c>
      <c r="S1353" s="14"/>
      <c r="T1353" s="14"/>
      <c r="U1353" s="19" t="str">
        <f>HYPERLINK("https://pbs.twimg.com/profile_images/2662144570/0eb96959b694ccb1afbb34af35aeee9a.jpeg","View")</f>
        <v>View</v>
      </c>
      <c r="V1353" s="14"/>
      <c r="W1353" s="14"/>
      <c r="X1353" s="14"/>
      <c r="Y1353" s="14"/>
      <c r="Z1353" s="14"/>
    </row>
    <row r="1354">
      <c r="A1354" s="11">
        <v>43845.67184027778</v>
      </c>
      <c r="B1354" s="12" t="str">
        <f>HYPERLINK("https://twitter.com/bmopstudios","@bmopstudios")</f>
        <v>@bmopstudios</v>
      </c>
      <c r="C1354" s="1" t="s">
        <v>6414</v>
      </c>
      <c r="D1354" s="1" t="s">
        <v>6415</v>
      </c>
      <c r="E1354" s="12" t="str">
        <f>HYPERLINK("https://twitter.com/bmopstudios/status/1217553906860986368","1217553906860986368")</f>
        <v>1217553906860986368</v>
      </c>
      <c r="F1354" s="13" t="s">
        <v>6416</v>
      </c>
      <c r="G1354" s="13" t="s">
        <v>6417</v>
      </c>
      <c r="H1354" s="14"/>
      <c r="I1354" s="15">
        <v>4.0</v>
      </c>
      <c r="J1354" s="15">
        <v>5.0</v>
      </c>
      <c r="K1354" s="12" t="str">
        <f>HYPERLINK("https://mobile.twitter.com","Twitter Web App")</f>
        <v>Twitter Web App</v>
      </c>
      <c r="L1354" s="16">
        <v>557.0</v>
      </c>
      <c r="M1354" s="16">
        <v>59.0</v>
      </c>
      <c r="N1354" s="16">
        <v>0.0</v>
      </c>
      <c r="O1354" s="17"/>
      <c r="P1354" s="18">
        <v>42814.70313657407</v>
      </c>
      <c r="Q1354" s="1" t="s">
        <v>6418</v>
      </c>
      <c r="R1354" s="1" t="s">
        <v>6419</v>
      </c>
      <c r="S1354" s="13" t="s">
        <v>6420</v>
      </c>
      <c r="T1354" s="14"/>
      <c r="U1354" s="19" t="str">
        <f>HYPERLINK("https://pbs.twimg.com/profile_images/1177651797797806080/JFwm0DKH.jpg","View")</f>
        <v>View</v>
      </c>
      <c r="V1354" s="14"/>
      <c r="W1354" s="14"/>
      <c r="X1354" s="14"/>
      <c r="Y1354" s="14"/>
      <c r="Z1354" s="14"/>
    </row>
    <row r="1355">
      <c r="A1355" s="11">
        <v>43845.66775462963</v>
      </c>
      <c r="B1355" s="12" t="str">
        <f>HYPERLINK("https://twitter.com/travelshopgirl","@travelshopgirl")</f>
        <v>@travelshopgirl</v>
      </c>
      <c r="C1355" s="1" t="s">
        <v>6421</v>
      </c>
      <c r="D1355" s="1" t="s">
        <v>6422</v>
      </c>
      <c r="E1355" s="12" t="str">
        <f>HYPERLINK("https://twitter.com/travelshopgirl/status/1217552427815227393","1217552427815227393")</f>
        <v>1217552427815227393</v>
      </c>
      <c r="F1355" s="13" t="s">
        <v>6423</v>
      </c>
      <c r="G1355" s="13" t="s">
        <v>6424</v>
      </c>
      <c r="H1355" s="14"/>
      <c r="I1355" s="15">
        <v>0.0</v>
      </c>
      <c r="J1355" s="15">
        <v>0.0</v>
      </c>
      <c r="K1355" s="12" t="str">
        <f t="shared" ref="K1355:K1357" si="135">HYPERLINK("https://www.hootsuite.com","Hootsuite Inc.")</f>
        <v>Hootsuite Inc.</v>
      </c>
      <c r="L1355" s="16">
        <v>4717.0</v>
      </c>
      <c r="M1355" s="16">
        <v>1902.0</v>
      </c>
      <c r="N1355" s="16">
        <v>549.0</v>
      </c>
      <c r="O1355" s="17"/>
      <c r="P1355" s="18">
        <v>39899.49780092593</v>
      </c>
      <c r="Q1355" s="1" t="s">
        <v>1910</v>
      </c>
      <c r="R1355" s="1" t="s">
        <v>6425</v>
      </c>
      <c r="S1355" s="13" t="s">
        <v>6426</v>
      </c>
      <c r="T1355" s="14"/>
      <c r="U1355" s="19" t="str">
        <f>HYPERLINK("https://pbs.twimg.com/profile_images/421619308746121216/nwc4KFcU.jpeg","View")</f>
        <v>View</v>
      </c>
      <c r="V1355" s="14"/>
      <c r="W1355" s="14"/>
      <c r="X1355" s="14"/>
      <c r="Y1355" s="14"/>
      <c r="Z1355" s="14"/>
    </row>
    <row r="1356">
      <c r="A1356" s="11">
        <v>43845.66732638889</v>
      </c>
      <c r="B1356" s="12" t="str">
        <f>HYPERLINK("https://twitter.com/ALCOSales","@ALCOSales")</f>
        <v>@ALCOSales</v>
      </c>
      <c r="C1356" s="1" t="s">
        <v>2029</v>
      </c>
      <c r="D1356" s="1" t="s">
        <v>6427</v>
      </c>
      <c r="E1356" s="12" t="str">
        <f>HYPERLINK("https://twitter.com/ALCOSales/status/1217552271556386816","1217552271556386816")</f>
        <v>1217552271556386816</v>
      </c>
      <c r="F1356" s="13" t="s">
        <v>6428</v>
      </c>
      <c r="G1356" s="14"/>
      <c r="H1356" s="14"/>
      <c r="I1356" s="15">
        <v>0.0</v>
      </c>
      <c r="J1356" s="15">
        <v>0.0</v>
      </c>
      <c r="K1356" s="12" t="str">
        <f t="shared" si="135"/>
        <v>Hootsuite Inc.</v>
      </c>
      <c r="L1356" s="16">
        <v>911.0</v>
      </c>
      <c r="M1356" s="16">
        <v>1110.0</v>
      </c>
      <c r="N1356" s="16">
        <v>88.0</v>
      </c>
      <c r="O1356" s="17"/>
      <c r="P1356" s="18">
        <v>40716.65993055556</v>
      </c>
      <c r="Q1356" s="1" t="s">
        <v>2032</v>
      </c>
      <c r="R1356" s="1" t="s">
        <v>2033</v>
      </c>
      <c r="S1356" s="13" t="s">
        <v>2034</v>
      </c>
      <c r="T1356" s="14"/>
      <c r="U1356" s="19" t="str">
        <f>HYPERLINK("https://pbs.twimg.com/profile_images/458693724256477184/3VA3Zupp.jpeg","View")</f>
        <v>View</v>
      </c>
      <c r="V1356" s="14"/>
      <c r="W1356" s="14"/>
      <c r="X1356" s="14"/>
      <c r="Y1356" s="14"/>
      <c r="Z1356" s="14"/>
    </row>
    <row r="1357">
      <c r="A1357" s="11">
        <v>43845.66693287037</v>
      </c>
      <c r="B1357" s="12" t="str">
        <f>HYPERLINK("https://twitter.com/TranscendSL","@TranscendSL")</f>
        <v>@TranscendSL</v>
      </c>
      <c r="C1357" s="1" t="s">
        <v>6429</v>
      </c>
      <c r="D1357" s="1" t="s">
        <v>6430</v>
      </c>
      <c r="E1357" s="12" t="str">
        <f>HYPERLINK("https://twitter.com/TranscendSL/status/1217552130443227142","1217552130443227142")</f>
        <v>1217552130443227142</v>
      </c>
      <c r="F1357" s="13" t="s">
        <v>6431</v>
      </c>
      <c r="G1357" s="14"/>
      <c r="H1357" s="14"/>
      <c r="I1357" s="15">
        <v>0.0</v>
      </c>
      <c r="J1357" s="15">
        <v>0.0</v>
      </c>
      <c r="K1357" s="12" t="str">
        <f t="shared" si="135"/>
        <v>Hootsuite Inc.</v>
      </c>
      <c r="L1357" s="16">
        <v>4538.0</v>
      </c>
      <c r="M1357" s="16">
        <v>3383.0</v>
      </c>
      <c r="N1357" s="16">
        <v>79.0</v>
      </c>
      <c r="O1357" s="17"/>
      <c r="P1357" s="18">
        <v>41162.5724537037</v>
      </c>
      <c r="Q1357" s="1" t="s">
        <v>1493</v>
      </c>
      <c r="R1357" s="1" t="s">
        <v>6432</v>
      </c>
      <c r="S1357" s="13" t="s">
        <v>6433</v>
      </c>
      <c r="T1357" s="14"/>
      <c r="U1357" s="19" t="str">
        <f>HYPERLINK("https://pbs.twimg.com/profile_images/869987199634231296/v9GTMpHi.jpg","View")</f>
        <v>View</v>
      </c>
      <c r="V1357" s="14"/>
      <c r="W1357" s="14"/>
      <c r="X1357" s="14"/>
      <c r="Y1357" s="14"/>
      <c r="Z1357" s="14"/>
    </row>
    <row r="1358">
      <c r="A1358" s="11">
        <v>43845.66690972222</v>
      </c>
      <c r="B1358" s="12" t="str">
        <f>HYPERLINK("https://twitter.com/NACDA_Aging","@NACDA_Aging")</f>
        <v>@NACDA_Aging</v>
      </c>
      <c r="C1358" s="1" t="s">
        <v>6434</v>
      </c>
      <c r="D1358" s="1" t="s">
        <v>6435</v>
      </c>
      <c r="E1358" s="12" t="str">
        <f>HYPERLINK("https://twitter.com/NACDA_Aging/status/1217552123614855171","1217552123614855171")</f>
        <v>1217552123614855171</v>
      </c>
      <c r="F1358" s="13" t="s">
        <v>6436</v>
      </c>
      <c r="G1358" s="13" t="s">
        <v>6437</v>
      </c>
      <c r="H1358" s="14"/>
      <c r="I1358" s="15">
        <v>0.0</v>
      </c>
      <c r="J1358" s="15">
        <v>0.0</v>
      </c>
      <c r="K1358" s="12" t="str">
        <f>HYPERLINK("https://buffer.com","Buffer")</f>
        <v>Buffer</v>
      </c>
      <c r="L1358" s="16">
        <v>1669.0</v>
      </c>
      <c r="M1358" s="16">
        <v>1821.0</v>
      </c>
      <c r="N1358" s="16">
        <v>39.0</v>
      </c>
      <c r="O1358" s="17"/>
      <c r="P1358" s="18">
        <v>39993.55385416667</v>
      </c>
      <c r="Q1358" s="1" t="s">
        <v>654</v>
      </c>
      <c r="R1358" s="1" t="s">
        <v>6438</v>
      </c>
      <c r="S1358" s="13" t="s">
        <v>6439</v>
      </c>
      <c r="T1358" s="14"/>
      <c r="U1358" s="19" t="str">
        <f>HYPERLINK("https://pbs.twimg.com/profile_images/1064359934232539137/VxcfV0pk.jpg","View")</f>
        <v>View</v>
      </c>
      <c r="V1358" s="14"/>
      <c r="W1358" s="14"/>
      <c r="X1358" s="14"/>
      <c r="Y1358" s="14"/>
      <c r="Z1358" s="14"/>
    </row>
    <row r="1359">
      <c r="A1359" s="11">
        <v>43845.6668287037</v>
      </c>
      <c r="B1359" s="12" t="str">
        <f>HYPERLINK("https://twitter.com/Pack_Health","@Pack_Health")</f>
        <v>@Pack_Health</v>
      </c>
      <c r="C1359" s="1" t="s">
        <v>6440</v>
      </c>
      <c r="D1359" s="1" t="s">
        <v>6441</v>
      </c>
      <c r="E1359" s="12" t="str">
        <f>HYPERLINK("https://twitter.com/Pack_Health/status/1217552093269110786","1217552093269110786")</f>
        <v>1217552093269110786</v>
      </c>
      <c r="F1359" s="13" t="s">
        <v>6442</v>
      </c>
      <c r="G1359" s="14"/>
      <c r="H1359" s="14"/>
      <c r="I1359" s="15">
        <v>0.0</v>
      </c>
      <c r="J1359" s="15">
        <v>0.0</v>
      </c>
      <c r="K1359" s="12" t="str">
        <f>HYPERLINK("https://www.heyorca.com","HeyOrca")</f>
        <v>HeyOrca</v>
      </c>
      <c r="L1359" s="16">
        <v>913.0</v>
      </c>
      <c r="M1359" s="16">
        <v>783.0</v>
      </c>
      <c r="N1359" s="16">
        <v>32.0</v>
      </c>
      <c r="O1359" s="17"/>
      <c r="P1359" s="18">
        <v>41542.39641203704</v>
      </c>
      <c r="Q1359" s="1" t="s">
        <v>6443</v>
      </c>
      <c r="R1359" s="1" t="s">
        <v>6444</v>
      </c>
      <c r="S1359" s="13" t="s">
        <v>6445</v>
      </c>
      <c r="T1359" s="14"/>
      <c r="U1359" s="19" t="str">
        <f>HYPERLINK("https://pbs.twimg.com/profile_images/1190005759884636160/EUxCGIp4.png","View")</f>
        <v>View</v>
      </c>
      <c r="V1359" s="14"/>
      <c r="W1359" s="14"/>
      <c r="X1359" s="14"/>
      <c r="Y1359" s="14"/>
      <c r="Z1359" s="14"/>
    </row>
    <row r="1360">
      <c r="A1360" s="11">
        <v>43845.66258101852</v>
      </c>
      <c r="B1360" s="12" t="str">
        <f>HYPERLINK("https://twitter.com/RShellsey","@RShellsey")</f>
        <v>@RShellsey</v>
      </c>
      <c r="C1360" s="1" t="s">
        <v>6446</v>
      </c>
      <c r="D1360" s="1" t="s">
        <v>6447</v>
      </c>
      <c r="E1360" s="12" t="str">
        <f>HYPERLINK("https://twitter.com/RShellsey/status/1217550551438761984","1217550551438761984")</f>
        <v>1217550551438761984</v>
      </c>
      <c r="F1360" s="14"/>
      <c r="G1360" s="14"/>
      <c r="H1360" s="14"/>
      <c r="I1360" s="15">
        <v>0.0</v>
      </c>
      <c r="J1360" s="15">
        <v>0.0</v>
      </c>
      <c r="K1360" s="12" t="str">
        <f>HYPERLINK("http://twitter.com/download/iphone","Twitter for iPhone")</f>
        <v>Twitter for iPhone</v>
      </c>
      <c r="L1360" s="16">
        <v>86.0</v>
      </c>
      <c r="M1360" s="16">
        <v>189.0</v>
      </c>
      <c r="N1360" s="16">
        <v>5.0</v>
      </c>
      <c r="O1360" s="17"/>
      <c r="P1360" s="18">
        <v>41363.689664351856</v>
      </c>
      <c r="Q1360" s="1" t="s">
        <v>6448</v>
      </c>
      <c r="R1360" s="1" t="s">
        <v>6449</v>
      </c>
      <c r="S1360" s="14"/>
      <c r="T1360" s="14"/>
      <c r="U1360" s="19" t="str">
        <f>HYPERLINK("https://pbs.twimg.com/profile_images/1176507198379159553/z6uI38sP.jpg","View")</f>
        <v>View</v>
      </c>
      <c r="V1360" s="14"/>
      <c r="W1360" s="14"/>
      <c r="X1360" s="14"/>
      <c r="Y1360" s="14"/>
      <c r="Z1360" s="14"/>
    </row>
    <row r="1361">
      <c r="A1361" s="11">
        <v>43845.661145833335</v>
      </c>
      <c r="B1361" s="12" t="str">
        <f>HYPERLINK("https://twitter.com/MasisStaffing","@MasisStaffing")</f>
        <v>@MasisStaffing</v>
      </c>
      <c r="C1361" s="1" t="s">
        <v>1084</v>
      </c>
      <c r="D1361" s="1" t="s">
        <v>1085</v>
      </c>
      <c r="E1361" s="12" t="str">
        <f>HYPERLINK("https://twitter.com/MasisStaffing/status/1217550032187953153","1217550032187953153")</f>
        <v>1217550032187953153</v>
      </c>
      <c r="F1361" s="13" t="s">
        <v>1086</v>
      </c>
      <c r="G1361" s="13" t="s">
        <v>6450</v>
      </c>
      <c r="H1361" s="14"/>
      <c r="I1361" s="15">
        <v>0.0</v>
      </c>
      <c r="J1361" s="15">
        <v>1.0</v>
      </c>
      <c r="K1361" s="12" t="str">
        <f>HYPERLINK("https://sproutsocial.com","Sprout Social")</f>
        <v>Sprout Social</v>
      </c>
      <c r="L1361" s="16">
        <v>1490.0</v>
      </c>
      <c r="M1361" s="16">
        <v>765.0</v>
      </c>
      <c r="N1361" s="16">
        <v>238.0</v>
      </c>
      <c r="O1361" s="17"/>
      <c r="P1361" s="18">
        <v>41392.447129629625</v>
      </c>
      <c r="Q1361" s="1" t="s">
        <v>56</v>
      </c>
      <c r="R1361" s="1" t="s">
        <v>1088</v>
      </c>
      <c r="S1361" s="13" t="s">
        <v>1089</v>
      </c>
      <c r="T1361" s="14"/>
      <c r="U1361" s="19" t="str">
        <f>HYPERLINK("https://pbs.twimg.com/profile_images/921080088879403009/itKBxF8G.jpg","View")</f>
        <v>View</v>
      </c>
      <c r="V1361" s="14"/>
      <c r="W1361" s="14"/>
      <c r="X1361" s="14"/>
      <c r="Y1361" s="14"/>
      <c r="Z1361" s="14"/>
    </row>
    <row r="1362">
      <c r="A1362" s="11">
        <v>43845.65378472222</v>
      </c>
      <c r="B1362" s="12" t="str">
        <f>HYPERLINK("https://twitter.com/OhioLINKstatus","@OhioLINKstatus")</f>
        <v>@OhioLINKstatus</v>
      </c>
      <c r="C1362" s="1" t="s">
        <v>6451</v>
      </c>
      <c r="D1362" s="1" t="s">
        <v>6452</v>
      </c>
      <c r="E1362" s="12" t="str">
        <f>HYPERLINK("https://twitter.com/OhioLINKstatus/status/1217547365105553408","1217547365105553408")</f>
        <v>1217547365105553408</v>
      </c>
      <c r="F1362" s="13" t="s">
        <v>6453</v>
      </c>
      <c r="G1362" s="14"/>
      <c r="H1362" s="14"/>
      <c r="I1362" s="15">
        <v>0.0</v>
      </c>
      <c r="J1362" s="15">
        <v>0.0</v>
      </c>
      <c r="K1362" s="12" t="str">
        <f>HYPERLINK("https://dev-apexadmin.sys.oar.net/apexdev/f?p=1500","ETD Publisher")</f>
        <v>ETD Publisher</v>
      </c>
      <c r="L1362" s="16">
        <v>163.0</v>
      </c>
      <c r="M1362" s="16">
        <v>4.0</v>
      </c>
      <c r="N1362" s="16">
        <v>174.0</v>
      </c>
      <c r="O1362" s="17"/>
      <c r="P1362" s="18">
        <v>40311.59732638889</v>
      </c>
      <c r="Q1362" s="1" t="s">
        <v>239</v>
      </c>
      <c r="R1362" s="1" t="s">
        <v>6454</v>
      </c>
      <c r="S1362" s="13" t="s">
        <v>6455</v>
      </c>
      <c r="T1362" s="14"/>
      <c r="U1362" s="19" t="str">
        <f>HYPERLINK("https://pbs.twimg.com/profile_images/1111349298694971392/CxaM5jn9.png","View")</f>
        <v>View</v>
      </c>
      <c r="V1362" s="14"/>
      <c r="W1362" s="14"/>
      <c r="X1362" s="14"/>
      <c r="Y1362" s="14"/>
      <c r="Z1362" s="14"/>
    </row>
    <row r="1363">
      <c r="A1363" s="11">
        <v>43845.65282407407</v>
      </c>
      <c r="B1363" s="12" t="str">
        <f>HYPERLINK("https://twitter.com/TheCalmPeople","@TheCalmPeople")</f>
        <v>@TheCalmPeople</v>
      </c>
      <c r="C1363" s="1" t="s">
        <v>2145</v>
      </c>
      <c r="D1363" s="1" t="s">
        <v>6456</v>
      </c>
      <c r="E1363" s="12" t="str">
        <f>HYPERLINK("https://twitter.com/TheCalmPeople/status/1217547019142811648","1217547019142811648")</f>
        <v>1217547019142811648</v>
      </c>
      <c r="F1363" s="14"/>
      <c r="G1363" s="13" t="s">
        <v>6457</v>
      </c>
      <c r="H1363" s="14"/>
      <c r="I1363" s="15">
        <v>1.0</v>
      </c>
      <c r="J1363" s="15">
        <v>2.0</v>
      </c>
      <c r="K1363" s="12" t="str">
        <f>HYPERLINK("https://www.hootsuite.com","Hootsuite Inc.")</f>
        <v>Hootsuite Inc.</v>
      </c>
      <c r="L1363" s="16">
        <v>1748.0</v>
      </c>
      <c r="M1363" s="16">
        <v>261.0</v>
      </c>
      <c r="N1363" s="16">
        <v>39.0</v>
      </c>
      <c r="O1363" s="17"/>
      <c r="P1363" s="18">
        <v>39970.570706018516</v>
      </c>
      <c r="Q1363" s="1" t="s">
        <v>864</v>
      </c>
      <c r="R1363" s="1" t="s">
        <v>2148</v>
      </c>
      <c r="S1363" s="13" t="s">
        <v>2149</v>
      </c>
      <c r="T1363" s="14"/>
      <c r="U1363" s="19" t="str">
        <f>HYPERLINK("https://pbs.twimg.com/profile_images/651434318506528768/fuSNk5ze.jpg","View")</f>
        <v>View</v>
      </c>
      <c r="V1363" s="14"/>
      <c r="W1363" s="14"/>
      <c r="X1363" s="14"/>
      <c r="Y1363" s="14"/>
      <c r="Z1363" s="14"/>
    </row>
    <row r="1364">
      <c r="A1364" s="11">
        <v>43845.65221064815</v>
      </c>
      <c r="B1364" s="12" t="str">
        <f>HYPERLINK("https://twitter.com/TheHealingSalon","@TheHealingSalon")</f>
        <v>@TheHealingSalon</v>
      </c>
      <c r="C1364" s="1" t="s">
        <v>6235</v>
      </c>
      <c r="D1364" s="1" t="s">
        <v>6458</v>
      </c>
      <c r="E1364" s="12" t="str">
        <f>HYPERLINK("https://twitter.com/TheHealingSalon/status/1217546794709635073","1217546794709635073")</f>
        <v>1217546794709635073</v>
      </c>
      <c r="F1364" s="13" t="s">
        <v>6459</v>
      </c>
      <c r="G1364" s="13" t="s">
        <v>6460</v>
      </c>
      <c r="H1364" s="14"/>
      <c r="I1364" s="15">
        <v>0.0</v>
      </c>
      <c r="J1364" s="15">
        <v>1.0</v>
      </c>
      <c r="K1364" s="12" t="str">
        <f>HYPERLINK("http://twitter.com/download/iphone","Twitter for iPhone")</f>
        <v>Twitter for iPhone</v>
      </c>
      <c r="L1364" s="16">
        <v>15.0</v>
      </c>
      <c r="M1364" s="16">
        <v>33.0</v>
      </c>
      <c r="N1364" s="16">
        <v>0.0</v>
      </c>
      <c r="O1364" s="17"/>
      <c r="P1364" s="18">
        <v>43809.89417824074</v>
      </c>
      <c r="Q1364" s="1" t="s">
        <v>521</v>
      </c>
      <c r="R1364" s="1" t="s">
        <v>6239</v>
      </c>
      <c r="S1364" s="13" t="s">
        <v>6240</v>
      </c>
      <c r="T1364" s="14"/>
      <c r="U1364" s="19" t="str">
        <f>HYPERLINK("https://pbs.twimg.com/profile_images/1209042945061425153/W3cmcdIU.jpg","View")</f>
        <v>View</v>
      </c>
      <c r="V1364" s="14"/>
      <c r="W1364" s="14"/>
      <c r="X1364" s="14"/>
      <c r="Y1364" s="14"/>
      <c r="Z1364" s="14"/>
    </row>
    <row r="1365">
      <c r="A1365" s="11">
        <v>43845.65138888889</v>
      </c>
      <c r="B1365" s="12" t="str">
        <f>HYPERLINK("https://twitter.com/CGMassage1","@CGMassage1")</f>
        <v>@CGMassage1</v>
      </c>
      <c r="C1365" s="1" t="s">
        <v>6461</v>
      </c>
      <c r="D1365" s="1" t="s">
        <v>6462</v>
      </c>
      <c r="E1365" s="12" t="str">
        <f>HYPERLINK("https://twitter.com/CGMassage1/status/1217546496515555329","1217546496515555329")</f>
        <v>1217546496515555329</v>
      </c>
      <c r="F1365" s="13" t="s">
        <v>6463</v>
      </c>
      <c r="G1365" s="14"/>
      <c r="H1365" s="14"/>
      <c r="I1365" s="15">
        <v>0.0</v>
      </c>
      <c r="J1365" s="15">
        <v>2.0</v>
      </c>
      <c r="K1365" s="12" t="str">
        <f>HYPERLINK("http://instagram.com","Instagram")</f>
        <v>Instagram</v>
      </c>
      <c r="L1365" s="16">
        <v>86.0</v>
      </c>
      <c r="M1365" s="16">
        <v>148.0</v>
      </c>
      <c r="N1365" s="16">
        <v>5.0</v>
      </c>
      <c r="O1365" s="17"/>
      <c r="P1365" s="18">
        <v>42344.03398148148</v>
      </c>
      <c r="Q1365" s="1" t="s">
        <v>6464</v>
      </c>
      <c r="R1365" s="1" t="s">
        <v>6465</v>
      </c>
      <c r="S1365" s="13" t="s">
        <v>6466</v>
      </c>
      <c r="T1365" s="14"/>
      <c r="U1365" s="19" t="str">
        <f>HYPERLINK("https://pbs.twimg.com/profile_images/673423937292779520/IdlGnf6O.jpg","View")</f>
        <v>View</v>
      </c>
      <c r="V1365" s="14"/>
      <c r="W1365" s="14"/>
      <c r="X1365" s="14"/>
      <c r="Y1365" s="14"/>
      <c r="Z1365" s="14"/>
    </row>
    <row r="1366">
      <c r="A1366" s="11">
        <v>43845.64866898148</v>
      </c>
      <c r="B1366" s="12" t="str">
        <f>HYPERLINK("https://twitter.com/JBurlowski","@JBurlowski")</f>
        <v>@JBurlowski</v>
      </c>
      <c r="C1366" s="1" t="s">
        <v>2629</v>
      </c>
      <c r="D1366" s="1" t="s">
        <v>2630</v>
      </c>
      <c r="E1366" s="12" t="str">
        <f>HYPERLINK("https://twitter.com/JBurlowski/status/1217545510946529292","1217545510946529292")</f>
        <v>1217545510946529292</v>
      </c>
      <c r="F1366" s="13" t="s">
        <v>2631</v>
      </c>
      <c r="G1366" s="14"/>
      <c r="H1366" s="14"/>
      <c r="I1366" s="15">
        <v>0.0</v>
      </c>
      <c r="J1366" s="15">
        <v>0.0</v>
      </c>
      <c r="K1366" s="12" t="str">
        <f>HYPERLINK("https://coschedule.com","CoSchedule")</f>
        <v>CoSchedule</v>
      </c>
      <c r="L1366" s="16">
        <v>1044.0</v>
      </c>
      <c r="M1366" s="16">
        <v>615.0</v>
      </c>
      <c r="N1366" s="16">
        <v>168.0</v>
      </c>
      <c r="O1366" s="17"/>
      <c r="P1366" s="18">
        <v>40663.678564814814</v>
      </c>
      <c r="Q1366" s="1" t="s">
        <v>2632</v>
      </c>
      <c r="R1366" s="1" t="s">
        <v>2633</v>
      </c>
      <c r="S1366" s="13" t="s">
        <v>2634</v>
      </c>
      <c r="T1366" s="14"/>
      <c r="U1366" s="19" t="str">
        <f>HYPERLINK("https://pbs.twimg.com/profile_images/1334875801/JeanieB-048_web.jpg","View")</f>
        <v>View</v>
      </c>
      <c r="V1366" s="14"/>
      <c r="W1366" s="14"/>
      <c r="X1366" s="14"/>
      <c r="Y1366" s="14"/>
      <c r="Z1366" s="14"/>
    </row>
    <row r="1367">
      <c r="A1367" s="11">
        <v>43845.64806712963</v>
      </c>
      <c r="B1367" s="12" t="str">
        <f>HYPERLINK("https://twitter.com/freeingyourmind","@freeingyourmind")</f>
        <v>@freeingyourmind</v>
      </c>
      <c r="C1367" s="1" t="s">
        <v>6467</v>
      </c>
      <c r="D1367" s="1" t="s">
        <v>6468</v>
      </c>
      <c r="E1367" s="12" t="str">
        <f>HYPERLINK("https://twitter.com/freeingyourmind/status/1217545294973456385","1217545294973456385")</f>
        <v>1217545294973456385</v>
      </c>
      <c r="F1367" s="13" t="s">
        <v>6469</v>
      </c>
      <c r="G1367" s="13" t="s">
        <v>6470</v>
      </c>
      <c r="H1367" s="14"/>
      <c r="I1367" s="15">
        <v>1.0</v>
      </c>
      <c r="J1367" s="15">
        <v>1.0</v>
      </c>
      <c r="K1367" s="12" t="str">
        <f>HYPERLINK("https://mobile.twitter.com","Twitter Web App")</f>
        <v>Twitter Web App</v>
      </c>
      <c r="L1367" s="16">
        <v>1332.0</v>
      </c>
      <c r="M1367" s="16">
        <v>1183.0</v>
      </c>
      <c r="N1367" s="16">
        <v>61.0</v>
      </c>
      <c r="O1367" s="17"/>
      <c r="P1367" s="18">
        <v>39897.86520833333</v>
      </c>
      <c r="Q1367" s="1" t="s">
        <v>6471</v>
      </c>
      <c r="R1367" s="1" t="s">
        <v>6472</v>
      </c>
      <c r="S1367" s="13" t="s">
        <v>6473</v>
      </c>
      <c r="T1367" s="14"/>
      <c r="U1367" s="19" t="str">
        <f>HYPERLINK("https://pbs.twimg.com/profile_images/2815932166/f602fedf12fe19555735feddb1f91393.png","View")</f>
        <v>View</v>
      </c>
      <c r="V1367" s="14"/>
      <c r="W1367" s="14"/>
      <c r="X1367" s="14"/>
      <c r="Y1367" s="14"/>
      <c r="Z1367" s="14"/>
    </row>
    <row r="1368">
      <c r="A1368" s="11">
        <v>43845.64591435185</v>
      </c>
      <c r="B1368" s="12" t="str">
        <f>HYPERLINK("https://twitter.com/HealthyPlace","@HealthyPlace")</f>
        <v>@HealthyPlace</v>
      </c>
      <c r="C1368" s="1" t="s">
        <v>529</v>
      </c>
      <c r="D1368" s="1" t="s">
        <v>6474</v>
      </c>
      <c r="E1368" s="12" t="str">
        <f>HYPERLINK("https://twitter.com/HealthyPlace/status/1217544511523643392","1217544511523643392")</f>
        <v>1217544511523643392</v>
      </c>
      <c r="F1368" s="13" t="s">
        <v>531</v>
      </c>
      <c r="G1368" s="13" t="s">
        <v>6475</v>
      </c>
      <c r="H1368" s="14"/>
      <c r="I1368" s="15">
        <v>1.0</v>
      </c>
      <c r="J1368" s="15">
        <v>0.0</v>
      </c>
      <c r="K1368" s="12" t="str">
        <f>HYPERLINK("https://sproutsocial.com","Sprout Social")</f>
        <v>Sprout Social</v>
      </c>
      <c r="L1368" s="16">
        <v>64943.0</v>
      </c>
      <c r="M1368" s="16">
        <v>25048.0</v>
      </c>
      <c r="N1368" s="16">
        <v>1710.0</v>
      </c>
      <c r="O1368" s="17"/>
      <c r="P1368" s="18">
        <v>39681.03928240741</v>
      </c>
      <c r="Q1368" s="1" t="s">
        <v>533</v>
      </c>
      <c r="R1368" s="1" t="s">
        <v>534</v>
      </c>
      <c r="S1368" s="13" t="s">
        <v>535</v>
      </c>
      <c r="T1368" s="14"/>
      <c r="U1368" s="19" t="str">
        <f>HYPERLINK("https://pbs.twimg.com/profile_images/753613454083252225/i5pr2xny.jpg","View")</f>
        <v>View</v>
      </c>
      <c r="V1368" s="14"/>
      <c r="W1368" s="14"/>
      <c r="X1368" s="14"/>
      <c r="Y1368" s="14"/>
      <c r="Z1368" s="14"/>
    </row>
    <row r="1369">
      <c r="A1369" s="11">
        <v>43845.64482638889</v>
      </c>
      <c r="B1369" s="12" t="str">
        <f>HYPERLINK("https://twitter.com/DrAbukiwan","@DrAbukiwan")</f>
        <v>@DrAbukiwan</v>
      </c>
      <c r="C1369" s="1" t="s">
        <v>6476</v>
      </c>
      <c r="D1369" s="1" t="s">
        <v>6477</v>
      </c>
      <c r="E1369" s="12" t="str">
        <f>HYPERLINK("https://twitter.com/DrAbukiwan/status/1217544119628783616","1217544119628783616")</f>
        <v>1217544119628783616</v>
      </c>
      <c r="F1369" s="14"/>
      <c r="G1369" s="14"/>
      <c r="H1369" s="14"/>
      <c r="I1369" s="15">
        <v>0.0</v>
      </c>
      <c r="J1369" s="15">
        <v>0.0</v>
      </c>
      <c r="K1369" s="12" t="str">
        <f>HYPERLINK("http://twitter.com/download/iphone","Twitter for iPhone")</f>
        <v>Twitter for iPhone</v>
      </c>
      <c r="L1369" s="16">
        <v>1050.0</v>
      </c>
      <c r="M1369" s="16">
        <v>562.0</v>
      </c>
      <c r="N1369" s="16">
        <v>7.0</v>
      </c>
      <c r="O1369" s="17"/>
      <c r="P1369" s="18">
        <v>40184.37576388889</v>
      </c>
      <c r="Q1369" s="1" t="s">
        <v>6478</v>
      </c>
      <c r="R1369" s="1" t="s">
        <v>6479</v>
      </c>
      <c r="S1369" s="14"/>
      <c r="T1369" s="14"/>
      <c r="U1369" s="19" t="str">
        <f>HYPERLINK("https://pbs.twimg.com/profile_images/1213805904484864000/c6mcoVVz.jpg","View")</f>
        <v>View</v>
      </c>
      <c r="V1369" s="14"/>
      <c r="W1369" s="14"/>
      <c r="X1369" s="14"/>
      <c r="Y1369" s="14"/>
      <c r="Z1369" s="14"/>
    </row>
    <row r="1370">
      <c r="A1370" s="11">
        <v>43845.64239583333</v>
      </c>
      <c r="B1370" s="12" t="str">
        <f>HYPERLINK("https://twitter.com/Angie_TiG1","@Angie_TiG1")</f>
        <v>@Angie_TiG1</v>
      </c>
      <c r="C1370" s="1" t="s">
        <v>6480</v>
      </c>
      <c r="D1370" s="1" t="s">
        <v>6481</v>
      </c>
      <c r="E1370" s="12" t="str">
        <f>HYPERLINK("https://twitter.com/Angie_TiG1/status/1217543239944802309","1217543239944802309")</f>
        <v>1217543239944802309</v>
      </c>
      <c r="F1370" s="14"/>
      <c r="G1370" s="14"/>
      <c r="H1370" s="14"/>
      <c r="I1370" s="15">
        <v>0.0</v>
      </c>
      <c r="J1370" s="15">
        <v>0.0</v>
      </c>
      <c r="K1370" s="12" t="str">
        <f>HYPERLINK("https://mobile.twitter.com","Twitter Web App")</f>
        <v>Twitter Web App</v>
      </c>
      <c r="L1370" s="16">
        <v>0.0</v>
      </c>
      <c r="M1370" s="16">
        <v>30.0</v>
      </c>
      <c r="N1370" s="16">
        <v>0.0</v>
      </c>
      <c r="O1370" s="17"/>
      <c r="P1370" s="18">
        <v>43705.94546296296</v>
      </c>
      <c r="Q1370" s="14"/>
      <c r="R1370" s="1" t="s">
        <v>6482</v>
      </c>
      <c r="S1370" s="14"/>
      <c r="T1370" s="14"/>
      <c r="U1370" s="19" t="str">
        <f>HYPERLINK("https://pbs.twimg.com/profile_images/1166906761669939200/kCOUKnza.jpg","View")</f>
        <v>View</v>
      </c>
      <c r="V1370" s="14"/>
      <c r="W1370" s="14"/>
      <c r="X1370" s="14"/>
      <c r="Y1370" s="14"/>
      <c r="Z1370" s="14"/>
    </row>
    <row r="1371">
      <c r="A1371" s="11">
        <v>43845.63892361111</v>
      </c>
      <c r="B1371" s="12" t="str">
        <f>HYPERLINK("https://twitter.com/Kindness_Rocs","@Kindness_Rocs")</f>
        <v>@Kindness_Rocs</v>
      </c>
      <c r="C1371" s="1" t="s">
        <v>6483</v>
      </c>
      <c r="D1371" s="1" t="s">
        <v>6484</v>
      </c>
      <c r="E1371" s="12" t="str">
        <f>HYPERLINK("https://twitter.com/Kindness_Rocs/status/1217541979720036352","1217541979720036352")</f>
        <v>1217541979720036352</v>
      </c>
      <c r="F1371" s="13" t="s">
        <v>6485</v>
      </c>
      <c r="G1371" s="14"/>
      <c r="H1371" s="14"/>
      <c r="I1371" s="15">
        <v>0.0</v>
      </c>
      <c r="J1371" s="15">
        <v>0.0</v>
      </c>
      <c r="K1371" s="12" t="str">
        <f>HYPERLINK("https://www.hootsuite.com","Hootsuite Inc.")</f>
        <v>Hootsuite Inc.</v>
      </c>
      <c r="L1371" s="16">
        <v>378.0</v>
      </c>
      <c r="M1371" s="16">
        <v>421.0</v>
      </c>
      <c r="N1371" s="16">
        <v>29.0</v>
      </c>
      <c r="O1371" s="17"/>
      <c r="P1371" s="18">
        <v>42042.80631944444</v>
      </c>
      <c r="Q1371" s="14"/>
      <c r="R1371" s="1" t="s">
        <v>6486</v>
      </c>
      <c r="S1371" s="14"/>
      <c r="T1371" s="14"/>
      <c r="U1371" s="19" t="str">
        <f>HYPERLINK("https://pbs.twimg.com/profile_images/960652848957677569/L0VSmpmH.jpg","View")</f>
        <v>View</v>
      </c>
      <c r="V1371" s="14"/>
      <c r="W1371" s="14"/>
      <c r="X1371" s="14"/>
      <c r="Y1371" s="14"/>
      <c r="Z1371" s="14"/>
    </row>
    <row r="1372">
      <c r="A1372" s="11">
        <v>43845.63863425926</v>
      </c>
      <c r="B1372" s="12" t="str">
        <f>HYPERLINK("https://twitter.com/health_thoughts","@health_thoughts")</f>
        <v>@health_thoughts</v>
      </c>
      <c r="C1372" s="1" t="s">
        <v>6487</v>
      </c>
      <c r="D1372" s="1" t="s">
        <v>6488</v>
      </c>
      <c r="E1372" s="12" t="str">
        <f>HYPERLINK("https://twitter.com/health_thoughts/status/1217541875114168322","1217541875114168322")</f>
        <v>1217541875114168322</v>
      </c>
      <c r="F1372" s="14"/>
      <c r="G1372" s="14"/>
      <c r="H1372" s="14"/>
      <c r="I1372" s="15">
        <v>0.0</v>
      </c>
      <c r="J1372" s="15">
        <v>0.0</v>
      </c>
      <c r="K1372" s="12" t="str">
        <f>HYPERLINK("http://twitter.com/download/iphone","Twitter for iPhone")</f>
        <v>Twitter for iPhone</v>
      </c>
      <c r="L1372" s="16">
        <v>0.0</v>
      </c>
      <c r="M1372" s="16">
        <v>0.0</v>
      </c>
      <c r="N1372" s="16">
        <v>0.0</v>
      </c>
      <c r="O1372" s="17"/>
      <c r="P1372" s="18">
        <v>43835.25565972222</v>
      </c>
      <c r="Q1372" s="14"/>
      <c r="R1372" s="1" t="s">
        <v>6489</v>
      </c>
      <c r="S1372" s="14"/>
      <c r="T1372" s="14"/>
      <c r="U1372" s="19" t="str">
        <f>HYPERLINK("https://pbs.twimg.com/profile_images/1213779695323566081/xYnMB3_D.jpg","View")</f>
        <v>View</v>
      </c>
      <c r="V1372" s="14"/>
      <c r="W1372" s="14"/>
      <c r="X1372" s="14"/>
      <c r="Y1372" s="14"/>
      <c r="Z1372" s="14"/>
    </row>
    <row r="1373">
      <c r="A1373" s="11">
        <v>43845.635972222226</v>
      </c>
      <c r="B1373" s="12" t="str">
        <f>HYPERLINK("https://twitter.com/NatStar67","@NatStar67")</f>
        <v>@NatStar67</v>
      </c>
      <c r="C1373" s="1" t="s">
        <v>6490</v>
      </c>
      <c r="D1373" s="1" t="s">
        <v>6491</v>
      </c>
      <c r="E1373" s="12" t="str">
        <f>HYPERLINK("https://twitter.com/NatStar67/status/1217540910407475202","1217540910407475202")</f>
        <v>1217540910407475202</v>
      </c>
      <c r="F1373" s="13" t="s">
        <v>6492</v>
      </c>
      <c r="G1373" s="14"/>
      <c r="H1373" s="14"/>
      <c r="I1373" s="15">
        <v>0.0</v>
      </c>
      <c r="J1373" s="15">
        <v>0.0</v>
      </c>
      <c r="K1373" s="12" t="str">
        <f>HYPERLINK("https://mobile.twitter.com","Twitter Web App")</f>
        <v>Twitter Web App</v>
      </c>
      <c r="L1373" s="16">
        <v>207.0</v>
      </c>
      <c r="M1373" s="16">
        <v>1189.0</v>
      </c>
      <c r="N1373" s="16">
        <v>1.0</v>
      </c>
      <c r="O1373" s="17"/>
      <c r="P1373" s="18">
        <v>41015.98950231481</v>
      </c>
      <c r="Q1373" s="1" t="s">
        <v>640</v>
      </c>
      <c r="R1373" s="1" t="s">
        <v>6493</v>
      </c>
      <c r="S1373" s="14"/>
      <c r="T1373" s="14"/>
      <c r="U1373" s="19" t="str">
        <f>HYPERLINK("https://pbs.twimg.com/profile_images/806853423060647936/6KXXeU8Y.jpg","View")</f>
        <v>View</v>
      </c>
      <c r="V1373" s="14"/>
      <c r="W1373" s="14"/>
      <c r="X1373" s="14"/>
      <c r="Y1373" s="14"/>
      <c r="Z1373" s="14"/>
    </row>
    <row r="1374">
      <c r="A1374" s="11">
        <v>43845.635671296295</v>
      </c>
      <c r="B1374" s="12" t="str">
        <f>HYPERLINK("https://twitter.com/wellinmotionyyc","@wellinmotionyyc")</f>
        <v>@wellinmotionyyc</v>
      </c>
      <c r="C1374" s="1" t="s">
        <v>6494</v>
      </c>
      <c r="D1374" s="1" t="s">
        <v>6495</v>
      </c>
      <c r="E1374" s="12" t="str">
        <f>HYPERLINK("https://twitter.com/wellinmotionyyc/status/1217540799526854662","1217540799526854662")</f>
        <v>1217540799526854662</v>
      </c>
      <c r="F1374" s="14"/>
      <c r="G1374" s="13" t="s">
        <v>6496</v>
      </c>
      <c r="H1374" s="14"/>
      <c r="I1374" s="15">
        <v>1.0</v>
      </c>
      <c r="J1374" s="15">
        <v>0.0</v>
      </c>
      <c r="K1374" s="12" t="str">
        <f>HYPERLINK("https://www.hootsuite.com","Hootsuite Inc.")</f>
        <v>Hootsuite Inc.</v>
      </c>
      <c r="L1374" s="16">
        <v>22.0</v>
      </c>
      <c r="M1374" s="16">
        <v>55.0</v>
      </c>
      <c r="N1374" s="16">
        <v>0.0</v>
      </c>
      <c r="O1374" s="17"/>
      <c r="P1374" s="18">
        <v>42780.69174768518</v>
      </c>
      <c r="Q1374" s="1" t="s">
        <v>6497</v>
      </c>
      <c r="R1374" s="1" t="s">
        <v>6498</v>
      </c>
      <c r="S1374" s="13" t="s">
        <v>6499</v>
      </c>
      <c r="T1374" s="14"/>
      <c r="U1374" s="19" t="str">
        <f>HYPERLINK("https://pbs.twimg.com/profile_images/959167683005636608/ANuqvh39.jpg","View")</f>
        <v>View</v>
      </c>
      <c r="V1374" s="14"/>
      <c r="W1374" s="14"/>
      <c r="X1374" s="14"/>
      <c r="Y1374" s="14"/>
      <c r="Z1374" s="14"/>
    </row>
    <row r="1375">
      <c r="A1375" s="11">
        <v>43845.63550925926</v>
      </c>
      <c r="B1375" s="12" t="str">
        <f>HYPERLINK("https://twitter.com/HealthyandFitn6","@HealthyandFitn6")</f>
        <v>@HealthyandFitn6</v>
      </c>
      <c r="C1375" s="1" t="s">
        <v>787</v>
      </c>
      <c r="D1375" s="1" t="s">
        <v>1863</v>
      </c>
      <c r="E1375" s="12" t="str">
        <f>HYPERLINK("https://twitter.com/HealthyandFitn6/status/1217540741221711877","1217540741221711877")</f>
        <v>1217540741221711877</v>
      </c>
      <c r="F1375" s="13" t="s">
        <v>1864</v>
      </c>
      <c r="G1375" s="13" t="s">
        <v>6500</v>
      </c>
      <c r="H1375" s="14"/>
      <c r="I1375" s="15">
        <v>2.0</v>
      </c>
      <c r="J1375" s="15">
        <v>0.0</v>
      </c>
      <c r="K1375" s="12" t="str">
        <f>HYPERLINK("https://crowdfireapp.com","Crowdfire App")</f>
        <v>Crowdfire App</v>
      </c>
      <c r="L1375" s="16">
        <v>121.0</v>
      </c>
      <c r="M1375" s="16">
        <v>51.0</v>
      </c>
      <c r="N1375" s="16">
        <v>0.0</v>
      </c>
      <c r="O1375" s="17"/>
      <c r="P1375" s="18">
        <v>43752.99784722222</v>
      </c>
      <c r="Q1375" s="14"/>
      <c r="R1375" s="1" t="s">
        <v>791</v>
      </c>
      <c r="S1375" s="13" t="s">
        <v>792</v>
      </c>
      <c r="T1375" s="14"/>
      <c r="U1375" s="19" t="str">
        <f>HYPERLINK("https://pbs.twimg.com/profile_images/1183954983550513152/LlRQvdFF.jpg","View")</f>
        <v>View</v>
      </c>
      <c r="V1375" s="14"/>
      <c r="W1375" s="14"/>
      <c r="X1375" s="14"/>
      <c r="Y1375" s="14"/>
      <c r="Z1375" s="14"/>
    </row>
    <row r="1376">
      <c r="A1376" s="11">
        <v>43845.63333333333</v>
      </c>
      <c r="B1376" s="12" t="str">
        <f>HYPERLINK("https://twitter.com/deniserenee24","@deniserenee24")</f>
        <v>@deniserenee24</v>
      </c>
      <c r="C1376" s="1" t="s">
        <v>6501</v>
      </c>
      <c r="D1376" s="1" t="s">
        <v>6502</v>
      </c>
      <c r="E1376" s="12" t="str">
        <f>HYPERLINK("https://twitter.com/deniserenee24/status/1217539952294223872","1217539952294223872")</f>
        <v>1217539952294223872</v>
      </c>
      <c r="F1376" s="13" t="s">
        <v>6503</v>
      </c>
      <c r="G1376" s="14"/>
      <c r="H1376" s="14"/>
      <c r="I1376" s="15">
        <v>0.0</v>
      </c>
      <c r="J1376" s="15">
        <v>1.0</v>
      </c>
      <c r="K1376" s="12" t="str">
        <f>HYPERLINK("http://instagram.com","Instagram")</f>
        <v>Instagram</v>
      </c>
      <c r="L1376" s="16">
        <v>293.0</v>
      </c>
      <c r="M1376" s="16">
        <v>2261.0</v>
      </c>
      <c r="N1376" s="16">
        <v>13.0</v>
      </c>
      <c r="O1376" s="17"/>
      <c r="P1376" s="18">
        <v>39901.83162037037</v>
      </c>
      <c r="Q1376" s="14"/>
      <c r="R1376" s="1" t="s">
        <v>6504</v>
      </c>
      <c r="S1376" s="14"/>
      <c r="T1376" s="14"/>
      <c r="U1376" s="19" t="str">
        <f>HYPERLINK("https://pbs.twimg.com/profile_images/1086084021665316865/awL0ason.jpg","View")</f>
        <v>View</v>
      </c>
      <c r="V1376" s="14"/>
      <c r="W1376" s="14"/>
      <c r="X1376" s="14"/>
      <c r="Y1376" s="14"/>
      <c r="Z1376" s="14"/>
    </row>
    <row r="1377">
      <c r="A1377" s="11">
        <v>43845.62608796296</v>
      </c>
      <c r="B1377" s="12" t="str">
        <f>HYPERLINK("https://twitter.com/NutritionGoGo","@NutritionGoGo")</f>
        <v>@NutritionGoGo</v>
      </c>
      <c r="C1377" s="1" t="s">
        <v>6505</v>
      </c>
      <c r="D1377" s="1" t="s">
        <v>6506</v>
      </c>
      <c r="E1377" s="12" t="str">
        <f>HYPERLINK("https://twitter.com/NutritionGoGo/status/1217537329935593474","1217537329935593474")</f>
        <v>1217537329935593474</v>
      </c>
      <c r="F1377" s="13" t="s">
        <v>6507</v>
      </c>
      <c r="G1377" s="14"/>
      <c r="H1377" s="14"/>
      <c r="I1377" s="15">
        <v>1.0</v>
      </c>
      <c r="J1377" s="15">
        <v>1.0</v>
      </c>
      <c r="K1377" s="12" t="str">
        <f>HYPERLINK("https://www.hootsuite.com","Hootsuite Inc.")</f>
        <v>Hootsuite Inc.</v>
      </c>
      <c r="L1377" s="16">
        <v>20074.0</v>
      </c>
      <c r="M1377" s="16">
        <v>9211.0</v>
      </c>
      <c r="N1377" s="16">
        <v>624.0</v>
      </c>
      <c r="O1377" s="17"/>
      <c r="P1377" s="18">
        <v>40143.407789351855</v>
      </c>
      <c r="Q1377" s="1" t="s">
        <v>1493</v>
      </c>
      <c r="R1377" s="1" t="s">
        <v>6508</v>
      </c>
      <c r="S1377" s="13" t="s">
        <v>6509</v>
      </c>
      <c r="T1377" s="14"/>
      <c r="U1377" s="19" t="str">
        <f>HYPERLINK("https://pbs.twimg.com/profile_images/918857082530553856/aPq4q4ge.jpg","View")</f>
        <v>View</v>
      </c>
      <c r="V1377" s="14"/>
      <c r="W1377" s="14"/>
      <c r="X1377" s="14"/>
      <c r="Y1377" s="14"/>
      <c r="Z1377" s="14"/>
    </row>
    <row r="1378">
      <c r="A1378" s="11">
        <v>43845.62608796296</v>
      </c>
      <c r="B1378" s="12" t="str">
        <f>HYPERLINK("https://twitter.com/tritiumdx","@tritiumdx")</f>
        <v>@tritiumdx</v>
      </c>
      <c r="C1378" s="1" t="s">
        <v>6510</v>
      </c>
      <c r="D1378" s="1" t="s">
        <v>6511</v>
      </c>
      <c r="E1378" s="12" t="str">
        <f>HYPERLINK("https://twitter.com/tritiumdx/status/1217537327461011456","1217537327461011456")</f>
        <v>1217537327461011456</v>
      </c>
      <c r="F1378" s="13" t="s">
        <v>6512</v>
      </c>
      <c r="G1378" s="14"/>
      <c r="H1378" s="14"/>
      <c r="I1378" s="15">
        <v>0.0</v>
      </c>
      <c r="J1378" s="15">
        <v>2.0</v>
      </c>
      <c r="K1378" s="12" t="str">
        <f>HYPERLINK("https://www.loomly.com/","Loomly")</f>
        <v>Loomly</v>
      </c>
      <c r="L1378" s="16">
        <v>1075.0</v>
      </c>
      <c r="M1378" s="16">
        <v>783.0</v>
      </c>
      <c r="N1378" s="16">
        <v>226.0</v>
      </c>
      <c r="O1378" s="17"/>
      <c r="P1378" s="18">
        <v>40261.94099537037</v>
      </c>
      <c r="Q1378" s="1" t="s">
        <v>640</v>
      </c>
      <c r="R1378" s="1" t="s">
        <v>6513</v>
      </c>
      <c r="S1378" s="13" t="s">
        <v>6514</v>
      </c>
      <c r="T1378" s="14"/>
      <c r="U1378" s="19" t="str">
        <f>HYPERLINK("https://pbs.twimg.com/profile_images/1154357029047324673/LEhfe9qz.jpg","View")</f>
        <v>View</v>
      </c>
      <c r="V1378" s="14"/>
      <c r="W1378" s="14"/>
      <c r="X1378" s="14"/>
      <c r="Y1378" s="14"/>
      <c r="Z1378" s="14"/>
    </row>
    <row r="1379">
      <c r="A1379" s="11">
        <v>43845.62207175926</v>
      </c>
      <c r="B1379" s="12" t="str">
        <f>HYPERLINK("https://twitter.com/anandaleeke","@anandaleeke")</f>
        <v>@anandaleeke</v>
      </c>
      <c r="C1379" s="1" t="s">
        <v>6515</v>
      </c>
      <c r="D1379" s="1" t="s">
        <v>6516</v>
      </c>
      <c r="E1379" s="12" t="str">
        <f>HYPERLINK("https://twitter.com/anandaleeke/status/1217535873094422528","1217535873094422528")</f>
        <v>1217535873094422528</v>
      </c>
      <c r="F1379" s="13" t="s">
        <v>6517</v>
      </c>
      <c r="G1379" s="14"/>
      <c r="H1379" s="14"/>
      <c r="I1379" s="15">
        <v>0.0</v>
      </c>
      <c r="J1379" s="15">
        <v>0.0</v>
      </c>
      <c r="K1379" s="12" t="str">
        <f>HYPERLINK("https://mobile.twitter.com","Twitter Web App")</f>
        <v>Twitter Web App</v>
      </c>
      <c r="L1379" s="16">
        <v>7225.0</v>
      </c>
      <c r="M1379" s="16">
        <v>6586.0</v>
      </c>
      <c r="N1379" s="16">
        <v>560.0</v>
      </c>
      <c r="O1379" s="17"/>
      <c r="P1379" s="18">
        <v>39560.88012731481</v>
      </c>
      <c r="Q1379" s="1" t="s">
        <v>2263</v>
      </c>
      <c r="R1379" s="1" t="s">
        <v>6518</v>
      </c>
      <c r="S1379" s="13" t="s">
        <v>6519</v>
      </c>
      <c r="T1379" s="14"/>
      <c r="U1379" s="19" t="str">
        <f>HYPERLINK("https://pbs.twimg.com/profile_images/1159345946490281984/o1dZyA77.jpg","View")</f>
        <v>View</v>
      </c>
      <c r="V1379" s="14"/>
      <c r="W1379" s="14"/>
      <c r="X1379" s="14"/>
      <c r="Y1379" s="14"/>
      <c r="Z1379" s="14"/>
    </row>
    <row r="1380">
      <c r="A1380" s="11">
        <v>43845.62204861111</v>
      </c>
      <c r="B1380" s="12" t="str">
        <f>HYPERLINK("https://twitter.com/AngelFaceMedia","@AngelFaceMedia")</f>
        <v>@AngelFaceMedia</v>
      </c>
      <c r="C1380" s="1" t="s">
        <v>6520</v>
      </c>
      <c r="D1380" s="1" t="s">
        <v>6521</v>
      </c>
      <c r="E1380" s="12" t="str">
        <f>HYPERLINK("https://twitter.com/AngelFaceMedia/status/1217535865657806848","1217535865657806848")</f>
        <v>1217535865657806848</v>
      </c>
      <c r="F1380" s="14"/>
      <c r="G1380" s="13" t="s">
        <v>6522</v>
      </c>
      <c r="H1380" s="14"/>
      <c r="I1380" s="15">
        <v>1.0</v>
      </c>
      <c r="J1380" s="15">
        <v>0.0</v>
      </c>
      <c r="K1380" s="12" t="str">
        <f>HYPERLINK("https://www.later.com","LaterMedia")</f>
        <v>LaterMedia</v>
      </c>
      <c r="L1380" s="16">
        <v>4609.0</v>
      </c>
      <c r="M1380" s="16">
        <v>4796.0</v>
      </c>
      <c r="N1380" s="16">
        <v>524.0</v>
      </c>
      <c r="O1380" s="17"/>
      <c r="P1380" s="18">
        <v>40356.48460648148</v>
      </c>
      <c r="Q1380" s="1" t="s">
        <v>521</v>
      </c>
      <c r="R1380" s="1" t="s">
        <v>6523</v>
      </c>
      <c r="S1380" s="14"/>
      <c r="T1380" s="14"/>
      <c r="U1380" s="19" t="str">
        <f>HYPERLINK("https://pbs.twimg.com/profile_images/801836897345609729/c2DydRe_.jpg","View")</f>
        <v>View</v>
      </c>
      <c r="V1380" s="14"/>
      <c r="W1380" s="14"/>
      <c r="X1380" s="14"/>
      <c r="Y1380" s="14"/>
      <c r="Z1380" s="14"/>
    </row>
    <row r="1381">
      <c r="A1381" s="11">
        <v>43845.614699074074</v>
      </c>
      <c r="B1381" s="12" t="str">
        <f>HYPERLINK("https://twitter.com/mindvisioncoach","@mindvisioncoach")</f>
        <v>@mindvisioncoach</v>
      </c>
      <c r="C1381" s="1" t="s">
        <v>6524</v>
      </c>
      <c r="D1381" s="1" t="s">
        <v>6525</v>
      </c>
      <c r="E1381" s="12" t="str">
        <f>HYPERLINK("https://twitter.com/mindvisioncoach/status/1217533202543382528","1217533202543382528")</f>
        <v>1217533202543382528</v>
      </c>
      <c r="F1381" s="14"/>
      <c r="G1381" s="13" t="s">
        <v>6526</v>
      </c>
      <c r="H1381" s="14"/>
      <c r="I1381" s="15">
        <v>1.0</v>
      </c>
      <c r="J1381" s="15">
        <v>0.0</v>
      </c>
      <c r="K1381" s="12" t="str">
        <f>HYPERLINK("https://www.hootsuite.com","Hootsuite Inc.")</f>
        <v>Hootsuite Inc.</v>
      </c>
      <c r="L1381" s="16">
        <v>3.0</v>
      </c>
      <c r="M1381" s="16">
        <v>44.0</v>
      </c>
      <c r="N1381" s="16">
        <v>0.0</v>
      </c>
      <c r="O1381" s="17"/>
      <c r="P1381" s="18">
        <v>43842.218576388885</v>
      </c>
      <c r="Q1381" s="1" t="s">
        <v>342</v>
      </c>
      <c r="R1381" s="1" t="s">
        <v>6527</v>
      </c>
      <c r="S1381" s="13" t="s">
        <v>6528</v>
      </c>
      <c r="T1381" s="14"/>
      <c r="U1381" s="19" t="str">
        <f>HYPERLINK("https://pbs.twimg.com/profile_images/1216310313827651584/mgvqdofa.jpg","View")</f>
        <v>View</v>
      </c>
      <c r="V1381" s="14"/>
      <c r="W1381" s="14"/>
      <c r="X1381" s="14"/>
      <c r="Y1381" s="14"/>
      <c r="Z1381" s="14"/>
    </row>
    <row r="1382">
      <c r="A1382" s="11">
        <v>43845.61467592593</v>
      </c>
      <c r="B1382" s="12" t="str">
        <f>HYPERLINK("https://twitter.com/LisaKaplin","@LisaKaplin")</f>
        <v>@LisaKaplin</v>
      </c>
      <c r="C1382" s="1" t="s">
        <v>6529</v>
      </c>
      <c r="D1382" s="1" t="s">
        <v>6530</v>
      </c>
      <c r="E1382" s="12" t="str">
        <f>HYPERLINK("https://twitter.com/LisaKaplin/status/1217533193479319552","1217533193479319552")</f>
        <v>1217533193479319552</v>
      </c>
      <c r="F1382" s="13" t="s">
        <v>6531</v>
      </c>
      <c r="G1382" s="13" t="s">
        <v>6532</v>
      </c>
      <c r="H1382" s="14"/>
      <c r="I1382" s="15">
        <v>0.0</v>
      </c>
      <c r="J1382" s="15">
        <v>0.0</v>
      </c>
      <c r="K1382" s="12" t="str">
        <f>HYPERLINK("http://postplanner.com","Post Planner Inc.")</f>
        <v>Post Planner Inc.</v>
      </c>
      <c r="L1382" s="16">
        <v>4186.0</v>
      </c>
      <c r="M1382" s="16">
        <v>4311.0</v>
      </c>
      <c r="N1382" s="16">
        <v>126.0</v>
      </c>
      <c r="O1382" s="17"/>
      <c r="P1382" s="18">
        <v>40856.68561342593</v>
      </c>
      <c r="Q1382" s="1" t="s">
        <v>56</v>
      </c>
      <c r="R1382" s="1" t="s">
        <v>6533</v>
      </c>
      <c r="S1382" s="13" t="s">
        <v>6534</v>
      </c>
      <c r="T1382" s="14"/>
      <c r="U1382" s="19" t="str">
        <f>HYPERLINK("https://pbs.twimg.com/profile_images/812025630183149568/sM1KK1Y8.jpg","View")</f>
        <v>View</v>
      </c>
      <c r="V1382" s="14"/>
      <c r="W1382" s="14"/>
      <c r="X1382" s="14"/>
      <c r="Y1382" s="14"/>
      <c r="Z1382" s="14"/>
    </row>
    <row r="1383">
      <c r="A1383" s="11">
        <v>43845.61460648148</v>
      </c>
      <c r="B1383" s="12" t="str">
        <f>HYPERLINK("https://twitter.com/DivergentCIO","@DivergentCIO")</f>
        <v>@DivergentCIO</v>
      </c>
      <c r="C1383" s="1" t="s">
        <v>536</v>
      </c>
      <c r="D1383" s="1" t="s">
        <v>537</v>
      </c>
      <c r="E1383" s="12" t="str">
        <f>HYPERLINK("https://twitter.com/DivergentCIO/status/1217533165964812290","1217533165964812290")</f>
        <v>1217533165964812290</v>
      </c>
      <c r="F1383" s="13" t="s">
        <v>538</v>
      </c>
      <c r="G1383" s="14"/>
      <c r="H1383" s="14"/>
      <c r="I1383" s="15">
        <v>1.0</v>
      </c>
      <c r="J1383" s="15">
        <v>1.0</v>
      </c>
      <c r="K1383" s="12" t="str">
        <f>HYPERLINK("https://buffer.com","Buffer")</f>
        <v>Buffer</v>
      </c>
      <c r="L1383" s="16">
        <v>28703.0</v>
      </c>
      <c r="M1383" s="16">
        <v>25615.0</v>
      </c>
      <c r="N1383" s="16">
        <v>1729.0</v>
      </c>
      <c r="O1383" s="17"/>
      <c r="P1383" s="18">
        <v>42071.738854166666</v>
      </c>
      <c r="Q1383" s="1" t="s">
        <v>539</v>
      </c>
      <c r="R1383" s="1" t="s">
        <v>540</v>
      </c>
      <c r="S1383" s="13" t="s">
        <v>541</v>
      </c>
      <c r="T1383" s="14"/>
      <c r="U1383" s="19" t="str">
        <f>HYPERLINK("https://pbs.twimg.com/profile_images/767507322583199745/rpfbzBzg.jpg","View")</f>
        <v>View</v>
      </c>
      <c r="V1383" s="14"/>
      <c r="W1383" s="14"/>
      <c r="X1383" s="14"/>
      <c r="Y1383" s="14"/>
      <c r="Z1383" s="14"/>
    </row>
    <row r="1384">
      <c r="A1384" s="11">
        <v>43845.61458333333</v>
      </c>
      <c r="B1384" s="12" t="str">
        <f>HYPERLINK("https://twitter.com/TrainingMindful","@TrainingMindful")</f>
        <v>@TrainingMindful</v>
      </c>
      <c r="C1384" s="1" t="s">
        <v>94</v>
      </c>
      <c r="D1384" s="1" t="s">
        <v>6535</v>
      </c>
      <c r="E1384" s="12" t="str">
        <f>HYPERLINK("https://twitter.com/TrainingMindful/status/1217533158775754752","1217533158775754752")</f>
        <v>1217533158775754752</v>
      </c>
      <c r="F1384" s="13" t="s">
        <v>1675</v>
      </c>
      <c r="G1384" s="14"/>
      <c r="H1384" s="14"/>
      <c r="I1384" s="15">
        <v>1.0</v>
      </c>
      <c r="J1384" s="15">
        <v>2.0</v>
      </c>
      <c r="K1384" s="12" t="str">
        <f>HYPERLINK("https://www.socialoomph.com","SocialOomph")</f>
        <v>SocialOomph</v>
      </c>
      <c r="L1384" s="16">
        <v>185303.0</v>
      </c>
      <c r="M1384" s="16">
        <v>43980.0</v>
      </c>
      <c r="N1384" s="16">
        <v>2800.0</v>
      </c>
      <c r="O1384" s="17"/>
      <c r="P1384" s="18">
        <v>41286.039305555554</v>
      </c>
      <c r="Q1384" s="1" t="s">
        <v>97</v>
      </c>
      <c r="R1384" s="1" t="s">
        <v>98</v>
      </c>
      <c r="S1384" s="13" t="s">
        <v>99</v>
      </c>
      <c r="T1384" s="14"/>
      <c r="U1384" s="19" t="str">
        <f>HYPERLINK("https://pbs.twimg.com/profile_images/566526924059459584/gdMxDA9x.jpeg","View")</f>
        <v>View</v>
      </c>
      <c r="V1384" s="14"/>
      <c r="W1384" s="14"/>
      <c r="X1384" s="14"/>
      <c r="Y1384" s="14"/>
      <c r="Z1384" s="14"/>
    </row>
    <row r="1385">
      <c r="A1385" s="11">
        <v>43845.611817129626</v>
      </c>
      <c r="B1385" s="12" t="str">
        <f>HYPERLINK("https://twitter.com/NIWH77","@NIWH77")</f>
        <v>@NIWH77</v>
      </c>
      <c r="C1385" s="1" t="s">
        <v>6536</v>
      </c>
      <c r="D1385" s="1" t="s">
        <v>6537</v>
      </c>
      <c r="E1385" s="12" t="str">
        <f>HYPERLINK("https://twitter.com/NIWH77/status/1217532158421671936","1217532158421671936")</f>
        <v>1217532158421671936</v>
      </c>
      <c r="F1385" s="13" t="s">
        <v>6538</v>
      </c>
      <c r="G1385" s="13" t="s">
        <v>6539</v>
      </c>
      <c r="H1385" s="14"/>
      <c r="I1385" s="15">
        <v>1.0</v>
      </c>
      <c r="J1385" s="15">
        <v>1.0</v>
      </c>
      <c r="K1385" s="12" t="str">
        <f>HYPERLINK("https://mobile.twitter.com","Twitter Web App")</f>
        <v>Twitter Web App</v>
      </c>
      <c r="L1385" s="16">
        <v>336.0</v>
      </c>
      <c r="M1385" s="16">
        <v>876.0</v>
      </c>
      <c r="N1385" s="16">
        <v>3.0</v>
      </c>
      <c r="O1385" s="17"/>
      <c r="P1385" s="18">
        <v>42614.3621412037</v>
      </c>
      <c r="Q1385" s="1" t="s">
        <v>6540</v>
      </c>
      <c r="R1385" s="1" t="s">
        <v>6541</v>
      </c>
      <c r="S1385" s="13" t="s">
        <v>6542</v>
      </c>
      <c r="T1385" s="14"/>
      <c r="U1385" s="19" t="str">
        <f>HYPERLINK("https://pbs.twimg.com/profile_images/1063436113052758018/xDW07E7Y.jpg","View")</f>
        <v>View</v>
      </c>
      <c r="V1385" s="14"/>
      <c r="W1385" s="14"/>
      <c r="X1385" s="14"/>
      <c r="Y1385" s="14"/>
      <c r="Z1385" s="14"/>
    </row>
    <row r="1386">
      <c r="A1386" s="11">
        <v>43845.611168981486</v>
      </c>
      <c r="B1386" s="12" t="str">
        <f>HYPERLINK("https://twitter.com/Rejuvenateduk","@Rejuvenateduk")</f>
        <v>@Rejuvenateduk</v>
      </c>
      <c r="C1386" s="1" t="s">
        <v>6543</v>
      </c>
      <c r="D1386" s="1" t="s">
        <v>6544</v>
      </c>
      <c r="E1386" s="12" t="str">
        <f>HYPERLINK("https://twitter.com/Rejuvenateduk/status/1217531920772468737","1217531920772468737")</f>
        <v>1217531920772468737</v>
      </c>
      <c r="F1386" s="13" t="s">
        <v>6545</v>
      </c>
      <c r="G1386" s="13" t="s">
        <v>6546</v>
      </c>
      <c r="H1386" s="14"/>
      <c r="I1386" s="15">
        <v>0.0</v>
      </c>
      <c r="J1386" s="15">
        <v>6.0</v>
      </c>
      <c r="K1386" s="12" t="str">
        <f>HYPERLINK("https://www.hootsuite.com","Hootsuite Inc.")</f>
        <v>Hootsuite Inc.</v>
      </c>
      <c r="L1386" s="16">
        <v>1739.0</v>
      </c>
      <c r="M1386" s="16">
        <v>1736.0</v>
      </c>
      <c r="N1386" s="16">
        <v>62.0</v>
      </c>
      <c r="O1386" s="17"/>
      <c r="P1386" s="18">
        <v>40216.66925925926</v>
      </c>
      <c r="Q1386" s="1" t="s">
        <v>864</v>
      </c>
      <c r="R1386" s="1" t="s">
        <v>6547</v>
      </c>
      <c r="S1386" s="13" t="s">
        <v>6548</v>
      </c>
      <c r="T1386" s="14"/>
      <c r="U1386" s="19" t="str">
        <f>HYPERLINK("https://pbs.twimg.com/profile_images/981815065681846273/5qcig6hu.jpg","View")</f>
        <v>View</v>
      </c>
      <c r="V1386" s="14"/>
      <c r="W1386" s="14"/>
      <c r="X1386" s="14"/>
      <c r="Y1386" s="14"/>
      <c r="Z1386" s="14"/>
    </row>
    <row r="1387">
      <c r="A1387" s="11">
        <v>43845.607303240744</v>
      </c>
      <c r="B1387" s="12" t="str">
        <f>HYPERLINK("https://twitter.com/GodfreyIfyDan","@GodfreyIfyDan")</f>
        <v>@GodfreyIfyDan</v>
      </c>
      <c r="C1387" s="1" t="s">
        <v>6549</v>
      </c>
      <c r="D1387" s="1" t="s">
        <v>6550</v>
      </c>
      <c r="E1387" s="12" t="str">
        <f>HYPERLINK("https://twitter.com/GodfreyIfyDan/status/1217530521762160640","1217530521762160640")</f>
        <v>1217530521762160640</v>
      </c>
      <c r="F1387" s="14"/>
      <c r="G1387" s="14"/>
      <c r="H1387" s="14"/>
      <c r="I1387" s="15">
        <v>0.0</v>
      </c>
      <c r="J1387" s="15">
        <v>3.0</v>
      </c>
      <c r="K1387" s="12" t="str">
        <f>HYPERLINK("http://twitter.com/download/android","Twitter for Android")</f>
        <v>Twitter for Android</v>
      </c>
      <c r="L1387" s="16">
        <v>61.0</v>
      </c>
      <c r="M1387" s="16">
        <v>223.0</v>
      </c>
      <c r="N1387" s="16">
        <v>0.0</v>
      </c>
      <c r="O1387" s="17"/>
      <c r="P1387" s="18">
        <v>43184.884722222225</v>
      </c>
      <c r="Q1387" s="1" t="s">
        <v>3729</v>
      </c>
      <c r="R1387" s="1" t="s">
        <v>6551</v>
      </c>
      <c r="S1387" s="14"/>
      <c r="T1387" s="14"/>
      <c r="U1387" s="19" t="str">
        <f>HYPERLINK("https://pbs.twimg.com/profile_images/1131615061070557185/0m_JOUhn.jpg","View")</f>
        <v>View</v>
      </c>
      <c r="V1387" s="14"/>
      <c r="W1387" s="14"/>
      <c r="X1387" s="14"/>
      <c r="Y1387" s="14"/>
      <c r="Z1387" s="14"/>
    </row>
    <row r="1388">
      <c r="A1388" s="11">
        <v>43845.60471064815</v>
      </c>
      <c r="B1388" s="12" t="str">
        <f>HYPERLINK("https://twitter.com/TBtalks","@TBtalks")</f>
        <v>@TBtalks</v>
      </c>
      <c r="C1388" s="1" t="s">
        <v>355</v>
      </c>
      <c r="D1388" s="1" t="s">
        <v>6552</v>
      </c>
      <c r="E1388" s="12" t="str">
        <f>HYPERLINK("https://twitter.com/TBtalks/status/1217529582678618112","1217529582678618112")</f>
        <v>1217529582678618112</v>
      </c>
      <c r="F1388" s="1" t="s">
        <v>6553</v>
      </c>
      <c r="G1388" s="13" t="s">
        <v>6554</v>
      </c>
      <c r="H1388" s="14"/>
      <c r="I1388" s="15">
        <v>0.0</v>
      </c>
      <c r="J1388" s="15">
        <v>0.0</v>
      </c>
      <c r="K1388" s="12" t="str">
        <f>HYPERLINK("https://www.hootsuite.com","Hootsuite Inc.")</f>
        <v>Hootsuite Inc.</v>
      </c>
      <c r="L1388" s="16">
        <v>1190.0</v>
      </c>
      <c r="M1388" s="16">
        <v>566.0</v>
      </c>
      <c r="N1388" s="16">
        <v>25.0</v>
      </c>
      <c r="O1388" s="17"/>
      <c r="P1388" s="18">
        <v>41197.62918981482</v>
      </c>
      <c r="Q1388" s="1" t="s">
        <v>358</v>
      </c>
      <c r="R1388" s="1" t="s">
        <v>359</v>
      </c>
      <c r="S1388" s="13" t="s">
        <v>360</v>
      </c>
      <c r="T1388" s="14"/>
      <c r="U1388" s="19" t="str">
        <f>HYPERLINK("https://pbs.twimg.com/profile_images/1181990097610256384/DQu0ny3B.jpg","View")</f>
        <v>View</v>
      </c>
      <c r="V1388" s="14"/>
      <c r="W1388" s="14"/>
      <c r="X1388" s="14"/>
      <c r="Y1388" s="14"/>
      <c r="Z1388" s="14"/>
    </row>
    <row r="1389">
      <c r="A1389" s="11">
        <v>43845.604421296295</v>
      </c>
      <c r="B1389" s="12" t="str">
        <f>HYPERLINK("https://twitter.com/jgracehealer","@jgracehealer")</f>
        <v>@jgracehealer</v>
      </c>
      <c r="C1389" s="1" t="s">
        <v>6555</v>
      </c>
      <c r="D1389" s="1" t="s">
        <v>6556</v>
      </c>
      <c r="E1389" s="12" t="str">
        <f>HYPERLINK("https://twitter.com/jgracehealer/status/1217529477011513346","1217529477011513346")</f>
        <v>1217529477011513346</v>
      </c>
      <c r="F1389" s="13" t="s">
        <v>6557</v>
      </c>
      <c r="G1389" s="13" t="s">
        <v>6558</v>
      </c>
      <c r="H1389" s="14"/>
      <c r="I1389" s="15">
        <v>0.0</v>
      </c>
      <c r="J1389" s="15">
        <v>2.0</v>
      </c>
      <c r="K1389" s="12" t="str">
        <f>HYPERLINK("https://smarterqueue.com","SmarterQueue")</f>
        <v>SmarterQueue</v>
      </c>
      <c r="L1389" s="16">
        <v>92.0</v>
      </c>
      <c r="M1389" s="16">
        <v>92.0</v>
      </c>
      <c r="N1389" s="16">
        <v>0.0</v>
      </c>
      <c r="O1389" s="17"/>
      <c r="P1389" s="18">
        <v>43247.35214120371</v>
      </c>
      <c r="Q1389" s="1" t="s">
        <v>2904</v>
      </c>
      <c r="R1389" s="1" t="s">
        <v>6559</v>
      </c>
      <c r="S1389" s="13" t="s">
        <v>6560</v>
      </c>
      <c r="T1389" s="14"/>
      <c r="U1389" s="19" t="str">
        <f>HYPERLINK("https://pbs.twimg.com/profile_images/1000716773514067968/0H03qXhX.jpg","View")</f>
        <v>View</v>
      </c>
      <c r="V1389" s="14"/>
      <c r="W1389" s="14"/>
      <c r="X1389" s="14"/>
      <c r="Y1389" s="14"/>
      <c r="Z1389" s="14"/>
    </row>
    <row r="1390">
      <c r="A1390" s="11">
        <v>43845.60423611111</v>
      </c>
      <c r="B1390" s="12" t="str">
        <f>HYPERLINK("https://twitter.com/hanna_higher","@hanna_higher")</f>
        <v>@hanna_higher</v>
      </c>
      <c r="C1390" s="1" t="s">
        <v>4327</v>
      </c>
      <c r="D1390" s="1" t="s">
        <v>6561</v>
      </c>
      <c r="E1390" s="12" t="str">
        <f>HYPERLINK("https://twitter.com/hanna_higher/status/1217529408552083456","1217529408552083456")</f>
        <v>1217529408552083456</v>
      </c>
      <c r="F1390" s="13" t="s">
        <v>6562</v>
      </c>
      <c r="G1390" s="14"/>
      <c r="H1390" s="14"/>
      <c r="I1390" s="15">
        <v>0.0</v>
      </c>
      <c r="J1390" s="15">
        <v>0.0</v>
      </c>
      <c r="K1390" s="12" t="str">
        <f>HYPERLINK("https://coschedule.com","CoSchedule")</f>
        <v>CoSchedule</v>
      </c>
      <c r="L1390" s="16">
        <v>32623.0</v>
      </c>
      <c r="M1390" s="16">
        <v>22884.0</v>
      </c>
      <c r="N1390" s="16">
        <v>321.0</v>
      </c>
      <c r="O1390" s="17"/>
      <c r="P1390" s="18">
        <v>42464.42574074074</v>
      </c>
      <c r="Q1390" s="1" t="s">
        <v>1493</v>
      </c>
      <c r="R1390" s="1" t="s">
        <v>4330</v>
      </c>
      <c r="S1390" s="13" t="s">
        <v>4331</v>
      </c>
      <c r="T1390" s="14"/>
      <c r="U1390" s="19" t="str">
        <f>HYPERLINK("https://pbs.twimg.com/profile_images/1170703917379928066/9Wzw-O1O.jpg","View")</f>
        <v>View</v>
      </c>
      <c r="V1390" s="14"/>
      <c r="W1390" s="14"/>
      <c r="X1390" s="14"/>
      <c r="Y1390" s="14"/>
      <c r="Z1390" s="14"/>
    </row>
    <row r="1391">
      <c r="A1391" s="11">
        <v>43845.60208333333</v>
      </c>
      <c r="B1391" s="12" t="str">
        <f>HYPERLINK("https://twitter.com/SandlerKarl","@SandlerKarl")</f>
        <v>@SandlerKarl</v>
      </c>
      <c r="C1391" s="1" t="s">
        <v>6563</v>
      </c>
      <c r="D1391" s="1" t="s">
        <v>6564</v>
      </c>
      <c r="E1391" s="12" t="str">
        <f>HYPERLINK("https://twitter.com/SandlerKarl/status/1217528630190006273","1217528630190006273")</f>
        <v>1217528630190006273</v>
      </c>
      <c r="F1391" s="13" t="s">
        <v>6565</v>
      </c>
      <c r="G1391" s="14"/>
      <c r="H1391" s="14"/>
      <c r="I1391" s="15">
        <v>0.0</v>
      </c>
      <c r="J1391" s="15">
        <v>0.0</v>
      </c>
      <c r="K1391" s="12" t="str">
        <f>HYPERLINK("https://buffer.com","Buffer")</f>
        <v>Buffer</v>
      </c>
      <c r="L1391" s="16">
        <v>148.0</v>
      </c>
      <c r="M1391" s="16">
        <v>127.0</v>
      </c>
      <c r="N1391" s="16">
        <v>69.0</v>
      </c>
      <c r="O1391" s="17"/>
      <c r="P1391" s="18">
        <v>40510.69033564815</v>
      </c>
      <c r="Q1391" s="14"/>
      <c r="R1391" s="1" t="s">
        <v>6566</v>
      </c>
      <c r="S1391" s="13" t="s">
        <v>6567</v>
      </c>
      <c r="T1391" s="14"/>
      <c r="U1391" s="19" t="str">
        <f>HYPERLINK("https://pbs.twimg.com/profile_images/939192044836159489/vHvMylhy.jpg","View")</f>
        <v>View</v>
      </c>
      <c r="V1391" s="14"/>
      <c r="W1391" s="14"/>
      <c r="X1391" s="14"/>
      <c r="Y1391" s="14"/>
      <c r="Z1391" s="14"/>
    </row>
    <row r="1392">
      <c r="A1392" s="11">
        <v>43845.60065972222</v>
      </c>
      <c r="B1392" s="12" t="str">
        <f>HYPERLINK("https://twitter.com/calmpreneur","@calmpreneur")</f>
        <v>@calmpreneur</v>
      </c>
      <c r="C1392" s="1" t="s">
        <v>6568</v>
      </c>
      <c r="D1392" s="1" t="s">
        <v>6569</v>
      </c>
      <c r="E1392" s="12" t="str">
        <f>HYPERLINK("https://twitter.com/calmpreneur/status/1217528114852614144","1217528114852614144")</f>
        <v>1217528114852614144</v>
      </c>
      <c r="F1392" s="13" t="s">
        <v>6570</v>
      </c>
      <c r="G1392" s="13" t="s">
        <v>6571</v>
      </c>
      <c r="H1392" s="14"/>
      <c r="I1392" s="15">
        <v>0.0</v>
      </c>
      <c r="J1392" s="15">
        <v>0.0</v>
      </c>
      <c r="K1392" s="12" t="str">
        <f>HYPERLINK("http://twitter.com/download/iphone","Twitter for iPhone")</f>
        <v>Twitter for iPhone</v>
      </c>
      <c r="L1392" s="16">
        <v>712.0</v>
      </c>
      <c r="M1392" s="16">
        <v>479.0</v>
      </c>
      <c r="N1392" s="16">
        <v>19.0</v>
      </c>
      <c r="O1392" s="17"/>
      <c r="P1392" s="18">
        <v>42775.482303240744</v>
      </c>
      <c r="Q1392" s="1" t="s">
        <v>691</v>
      </c>
      <c r="R1392" s="1" t="s">
        <v>6572</v>
      </c>
      <c r="S1392" s="13" t="s">
        <v>6573</v>
      </c>
      <c r="T1392" s="14"/>
      <c r="U1392" s="19" t="str">
        <f>HYPERLINK("https://pbs.twimg.com/profile_images/1138397172775444481/5bXr9ll7.jpg","View")</f>
        <v>View</v>
      </c>
      <c r="V1392" s="14"/>
      <c r="W1392" s="14"/>
      <c r="X1392" s="14"/>
      <c r="Y1392" s="14"/>
      <c r="Z1392" s="14"/>
    </row>
    <row r="1393">
      <c r="A1393" s="11">
        <v>43845.596932870365</v>
      </c>
      <c r="B1393" s="12" t="str">
        <f>HYPERLINK("https://twitter.com/CPlusNutrition","@CPlusNutrition")</f>
        <v>@CPlusNutrition</v>
      </c>
      <c r="C1393" s="1" t="s">
        <v>6574</v>
      </c>
      <c r="D1393" s="1" t="s">
        <v>6575</v>
      </c>
      <c r="E1393" s="12" t="str">
        <f>HYPERLINK("https://twitter.com/CPlusNutrition/status/1217526760977453056","1217526760977453056")</f>
        <v>1217526760977453056</v>
      </c>
      <c r="F1393" s="13" t="s">
        <v>6576</v>
      </c>
      <c r="G1393" s="13" t="s">
        <v>6577</v>
      </c>
      <c r="H1393" s="14"/>
      <c r="I1393" s="15">
        <v>0.0</v>
      </c>
      <c r="J1393" s="15">
        <v>0.0</v>
      </c>
      <c r="K1393" s="12" t="str">
        <f>HYPERLINK("https://missinglettr.com","Missinglettr")</f>
        <v>Missinglettr</v>
      </c>
      <c r="L1393" s="16">
        <v>43.0</v>
      </c>
      <c r="M1393" s="16">
        <v>82.0</v>
      </c>
      <c r="N1393" s="16">
        <v>0.0</v>
      </c>
      <c r="O1393" s="17"/>
      <c r="P1393" s="18">
        <v>42322.02447916666</v>
      </c>
      <c r="Q1393" s="1" t="s">
        <v>482</v>
      </c>
      <c r="R1393" s="1" t="s">
        <v>6578</v>
      </c>
      <c r="S1393" s="13" t="s">
        <v>6579</v>
      </c>
      <c r="T1393" s="14"/>
      <c r="U1393" s="19" t="str">
        <f>HYPERLINK("https://pbs.twimg.com/profile_images/1135956074069221381/6kH6VchR.png","View")</f>
        <v>View</v>
      </c>
      <c r="V1393" s="14"/>
      <c r="W1393" s="14"/>
      <c r="X1393" s="14"/>
      <c r="Y1393" s="14"/>
      <c r="Z1393" s="14"/>
    </row>
    <row r="1394">
      <c r="A1394" s="11">
        <v>43845.59442129629</v>
      </c>
      <c r="B1394" s="12" t="str">
        <f>HYPERLINK("https://twitter.com/HypnotistJackie","@HypnotistJackie")</f>
        <v>@HypnotistJackie</v>
      </c>
      <c r="C1394" s="1" t="s">
        <v>6580</v>
      </c>
      <c r="D1394" s="1" t="s">
        <v>6581</v>
      </c>
      <c r="E1394" s="12" t="str">
        <f>HYPERLINK("https://twitter.com/HypnotistJackie/status/1217525854634274816","1217525854634274816")</f>
        <v>1217525854634274816</v>
      </c>
      <c r="F1394" s="13" t="s">
        <v>6582</v>
      </c>
      <c r="G1394" s="13" t="s">
        <v>6583</v>
      </c>
      <c r="H1394" s="14"/>
      <c r="I1394" s="15">
        <v>0.0</v>
      </c>
      <c r="J1394" s="15">
        <v>1.0</v>
      </c>
      <c r="K1394" s="12" t="str">
        <f>HYPERLINK("https://mobile.twitter.com","Twitter Web App")</f>
        <v>Twitter Web App</v>
      </c>
      <c r="L1394" s="16">
        <v>106.0</v>
      </c>
      <c r="M1394" s="16">
        <v>537.0</v>
      </c>
      <c r="N1394" s="16">
        <v>0.0</v>
      </c>
      <c r="O1394" s="17"/>
      <c r="P1394" s="18">
        <v>42179.54105324074</v>
      </c>
      <c r="Q1394" s="1" t="s">
        <v>6584</v>
      </c>
      <c r="R1394" s="1" t="s">
        <v>6585</v>
      </c>
      <c r="S1394" s="13" t="s">
        <v>6586</v>
      </c>
      <c r="T1394" s="14"/>
      <c r="U1394" s="19" t="str">
        <f>HYPERLINK("https://pbs.twimg.com/profile_images/613755095977721856/OReRl4lj.jpg","View")</f>
        <v>View</v>
      </c>
      <c r="V1394" s="14"/>
      <c r="W1394" s="14"/>
      <c r="X1394" s="14"/>
      <c r="Y1394" s="14"/>
      <c r="Z1394" s="14"/>
    </row>
    <row r="1395">
      <c r="A1395" s="11">
        <v>43845.59375</v>
      </c>
      <c r="B1395" s="12" t="str">
        <f>HYPERLINK("https://twitter.com/FEMSmicro","@FEMSmicro")</f>
        <v>@FEMSmicro</v>
      </c>
      <c r="C1395" s="1" t="s">
        <v>6587</v>
      </c>
      <c r="D1395" s="1" t="s">
        <v>6588</v>
      </c>
      <c r="E1395" s="12" t="str">
        <f>HYPERLINK("https://twitter.com/FEMSmicro/status/1217525608822886401","1217525608822886401")</f>
        <v>1217525608822886401</v>
      </c>
      <c r="F1395" s="13" t="s">
        <v>6589</v>
      </c>
      <c r="G1395" s="13" t="s">
        <v>6590</v>
      </c>
      <c r="H1395" s="14"/>
      <c r="I1395" s="15">
        <v>1.0</v>
      </c>
      <c r="J1395" s="15">
        <v>3.0</v>
      </c>
      <c r="K1395" s="12" t="str">
        <f>HYPERLINK("https://about.twitter.com/products/tweetdeck","TweetDeck")</f>
        <v>TweetDeck</v>
      </c>
      <c r="L1395" s="16">
        <v>10807.0</v>
      </c>
      <c r="M1395" s="16">
        <v>2203.0</v>
      </c>
      <c r="N1395" s="16">
        <v>140.0</v>
      </c>
      <c r="O1395" s="17"/>
      <c r="P1395" s="18">
        <v>40217.179618055554</v>
      </c>
      <c r="Q1395" s="1" t="s">
        <v>5727</v>
      </c>
      <c r="R1395" s="1" t="s">
        <v>6591</v>
      </c>
      <c r="S1395" s="13" t="s">
        <v>6592</v>
      </c>
      <c r="T1395" s="14"/>
      <c r="U1395" s="19" t="str">
        <f>HYPERLINK("https://pbs.twimg.com/profile_images/1178980559244144640/zpz51cJu.jpg","View")</f>
        <v>View</v>
      </c>
      <c r="V1395" s="14"/>
      <c r="W1395" s="14"/>
      <c r="X1395" s="14"/>
      <c r="Y1395" s="14"/>
      <c r="Z1395" s="14"/>
    </row>
    <row r="1396">
      <c r="A1396" s="11">
        <v>43845.59269675926</v>
      </c>
      <c r="B1396" s="12" t="str">
        <f>HYPERLINK("https://twitter.com/Mr1way","@Mr1way")</f>
        <v>@Mr1way</v>
      </c>
      <c r="C1396" s="1" t="s">
        <v>6593</v>
      </c>
      <c r="D1396" s="1" t="s">
        <v>6594</v>
      </c>
      <c r="E1396" s="12" t="str">
        <f>HYPERLINK("https://twitter.com/Mr1way/status/1217525228311580675","1217525228311580675")</f>
        <v>1217525228311580675</v>
      </c>
      <c r="F1396" s="14"/>
      <c r="G1396" s="14"/>
      <c r="H1396" s="14"/>
      <c r="I1396" s="15">
        <v>0.0</v>
      </c>
      <c r="J1396" s="15">
        <v>0.0</v>
      </c>
      <c r="K1396" s="12" t="str">
        <f>HYPERLINK("http://twitter.com/download/iphone","Twitter for iPhone")</f>
        <v>Twitter for iPhone</v>
      </c>
      <c r="L1396" s="16">
        <v>1142.0</v>
      </c>
      <c r="M1396" s="16">
        <v>587.0</v>
      </c>
      <c r="N1396" s="16">
        <v>2.0</v>
      </c>
      <c r="O1396" s="17"/>
      <c r="P1396" s="18">
        <v>39988.95600694444</v>
      </c>
      <c r="Q1396" s="1" t="s">
        <v>6595</v>
      </c>
      <c r="R1396" s="1" t="s">
        <v>6596</v>
      </c>
      <c r="S1396" s="14"/>
      <c r="T1396" s="14"/>
      <c r="U1396" s="19" t="str">
        <f>HYPERLINK("https://pbs.twimg.com/profile_images/783774811298357248/CD30noCK.jpg","View")</f>
        <v>View</v>
      </c>
      <c r="V1396" s="14"/>
      <c r="W1396" s="14"/>
      <c r="X1396" s="14"/>
      <c r="Y1396" s="14"/>
      <c r="Z1396" s="14"/>
    </row>
    <row r="1397">
      <c r="A1397" s="11">
        <v>43845.59039351852</v>
      </c>
      <c r="B1397" s="12" t="str">
        <f>HYPERLINK("https://twitter.com/neuroflowlive","@neuroflowlive")</f>
        <v>@neuroflowlive</v>
      </c>
      <c r="C1397" s="1" t="s">
        <v>2288</v>
      </c>
      <c r="D1397" s="1" t="s">
        <v>6597</v>
      </c>
      <c r="E1397" s="12" t="str">
        <f>HYPERLINK("https://twitter.com/neuroflowlive/status/1217524394106478593","1217524394106478593")</f>
        <v>1217524394106478593</v>
      </c>
      <c r="F1397" s="14"/>
      <c r="G1397" s="13" t="s">
        <v>6598</v>
      </c>
      <c r="H1397" s="14"/>
      <c r="I1397" s="15">
        <v>1.0</v>
      </c>
      <c r="J1397" s="15">
        <v>0.0</v>
      </c>
      <c r="K1397" s="12" t="str">
        <f>HYPERLINK("http://www.hubspot.com/","HubSpot")</f>
        <v>HubSpot</v>
      </c>
      <c r="L1397" s="16">
        <v>888.0</v>
      </c>
      <c r="M1397" s="16">
        <v>1447.0</v>
      </c>
      <c r="N1397" s="16">
        <v>16.0</v>
      </c>
      <c r="O1397" s="17"/>
      <c r="P1397" s="18">
        <v>42802.66462962963</v>
      </c>
      <c r="Q1397" s="1" t="s">
        <v>2015</v>
      </c>
      <c r="R1397" s="1" t="s">
        <v>2291</v>
      </c>
      <c r="S1397" s="13" t="s">
        <v>2292</v>
      </c>
      <c r="T1397" s="14"/>
      <c r="U1397" s="19" t="str">
        <f>HYPERLINK("https://pbs.twimg.com/profile_images/1048386258378973184/mkvdztzj.jpg","View")</f>
        <v>View</v>
      </c>
      <c r="V1397" s="14"/>
      <c r="W1397" s="14"/>
      <c r="X1397" s="14"/>
      <c r="Y1397" s="14"/>
      <c r="Z1397" s="14"/>
    </row>
    <row r="1398">
      <c r="A1398" s="11">
        <v>43845.59028935185</v>
      </c>
      <c r="B1398" s="12" t="str">
        <f>HYPERLINK("https://twitter.com/DivergentCIO","@DivergentCIO")</f>
        <v>@DivergentCIO</v>
      </c>
      <c r="C1398" s="1" t="s">
        <v>536</v>
      </c>
      <c r="D1398" s="1" t="s">
        <v>571</v>
      </c>
      <c r="E1398" s="12" t="str">
        <f>HYPERLINK("https://twitter.com/DivergentCIO/status/1217524355716042754","1217524355716042754")</f>
        <v>1217524355716042754</v>
      </c>
      <c r="F1398" s="13" t="s">
        <v>572</v>
      </c>
      <c r="G1398" s="14"/>
      <c r="H1398" s="14"/>
      <c r="I1398" s="15">
        <v>0.0</v>
      </c>
      <c r="J1398" s="15">
        <v>0.0</v>
      </c>
      <c r="K1398" s="12" t="str">
        <f>HYPERLINK("https://buffer.com","Buffer")</f>
        <v>Buffer</v>
      </c>
      <c r="L1398" s="16">
        <v>28703.0</v>
      </c>
      <c r="M1398" s="16">
        <v>25615.0</v>
      </c>
      <c r="N1398" s="16">
        <v>1729.0</v>
      </c>
      <c r="O1398" s="17"/>
      <c r="P1398" s="18">
        <v>42071.738854166666</v>
      </c>
      <c r="Q1398" s="1" t="s">
        <v>539</v>
      </c>
      <c r="R1398" s="1" t="s">
        <v>540</v>
      </c>
      <c r="S1398" s="13" t="s">
        <v>541</v>
      </c>
      <c r="T1398" s="14"/>
      <c r="U1398" s="19" t="str">
        <f>HYPERLINK("https://pbs.twimg.com/profile_images/767507322583199745/rpfbzBzg.jpg","View")</f>
        <v>View</v>
      </c>
      <c r="V1398" s="14"/>
      <c r="W1398" s="14"/>
      <c r="X1398" s="14"/>
      <c r="Y1398" s="14"/>
      <c r="Z1398" s="14"/>
    </row>
    <row r="1399">
      <c r="A1399" s="11">
        <v>43845.58696759259</v>
      </c>
      <c r="B1399" s="12" t="str">
        <f>HYPERLINK("https://twitter.com/houseoflaurelle","@houseoflaurelle")</f>
        <v>@houseoflaurelle</v>
      </c>
      <c r="C1399" s="1" t="s">
        <v>6599</v>
      </c>
      <c r="D1399" s="1" t="s">
        <v>6600</v>
      </c>
      <c r="E1399" s="12" t="str">
        <f>HYPERLINK("https://twitter.com/houseoflaurelle/status/1217523150679871490","1217523150679871490")</f>
        <v>1217523150679871490</v>
      </c>
      <c r="F1399" s="13" t="s">
        <v>6601</v>
      </c>
      <c r="G1399" s="14"/>
      <c r="H1399" s="14"/>
      <c r="I1399" s="15">
        <v>0.0</v>
      </c>
      <c r="J1399" s="15">
        <v>0.0</v>
      </c>
      <c r="K1399" s="12" t="str">
        <f>HYPERLINK("https://crowdfireapp.com","Crowdfire App")</f>
        <v>Crowdfire App</v>
      </c>
      <c r="L1399" s="16">
        <v>633.0</v>
      </c>
      <c r="M1399" s="16">
        <v>711.0</v>
      </c>
      <c r="N1399" s="16">
        <v>47.0</v>
      </c>
      <c r="O1399" s="17"/>
      <c r="P1399" s="18">
        <v>40342.58474537037</v>
      </c>
      <c r="Q1399" s="1" t="s">
        <v>56</v>
      </c>
      <c r="R1399" s="1" t="s">
        <v>6602</v>
      </c>
      <c r="S1399" s="13" t="s">
        <v>6603</v>
      </c>
      <c r="T1399" s="14"/>
      <c r="U1399" s="19" t="str">
        <f>HYPERLINK("https://pbs.twimg.com/profile_images/817924216830001163/YkvQoVCV.jpg","View")</f>
        <v>View</v>
      </c>
      <c r="V1399" s="14"/>
      <c r="W1399" s="14"/>
      <c r="X1399" s="14"/>
      <c r="Y1399" s="14"/>
      <c r="Z1399" s="14"/>
    </row>
    <row r="1400">
      <c r="A1400" s="11">
        <v>43845.58684027778</v>
      </c>
      <c r="B1400" s="12" t="str">
        <f>HYPERLINK("https://twitter.com/Sneurofeedback","@Sneurofeedback")</f>
        <v>@Sneurofeedback</v>
      </c>
      <c r="C1400" s="1" t="s">
        <v>4474</v>
      </c>
      <c r="D1400" s="1" t="s">
        <v>6604</v>
      </c>
      <c r="E1400" s="12" t="str">
        <f>HYPERLINK("https://twitter.com/Sneurofeedback/status/1217523106954301440","1217523106954301440")</f>
        <v>1217523106954301440</v>
      </c>
      <c r="F1400" s="13" t="s">
        <v>6605</v>
      </c>
      <c r="G1400" s="14"/>
      <c r="H1400" s="14"/>
      <c r="I1400" s="15">
        <v>0.0</v>
      </c>
      <c r="J1400" s="15">
        <v>1.0</v>
      </c>
      <c r="K1400" s="12" t="str">
        <f>HYPERLINK("https://www.hootsuite.com","Hootsuite Inc.")</f>
        <v>Hootsuite Inc.</v>
      </c>
      <c r="L1400" s="16">
        <v>250.0</v>
      </c>
      <c r="M1400" s="16">
        <v>67.0</v>
      </c>
      <c r="N1400" s="16">
        <v>20.0</v>
      </c>
      <c r="O1400" s="17"/>
      <c r="P1400" s="18">
        <v>42078.529328703706</v>
      </c>
      <c r="Q1400" s="1" t="s">
        <v>132</v>
      </c>
      <c r="R1400" s="1" t="s">
        <v>4478</v>
      </c>
      <c r="S1400" s="13" t="s">
        <v>4479</v>
      </c>
      <c r="T1400" s="14"/>
      <c r="U1400" s="19" t="str">
        <f>HYPERLINK("https://pbs.twimg.com/profile_images/577543392923504640/VbJVpYS2.png","View")</f>
        <v>View</v>
      </c>
      <c r="V1400" s="14"/>
      <c r="W1400" s="14"/>
      <c r="X1400" s="14"/>
      <c r="Y1400" s="14"/>
      <c r="Z1400" s="14"/>
    </row>
    <row r="1401">
      <c r="A1401" s="11">
        <v>43845.58490740741</v>
      </c>
      <c r="B1401" s="12" t="str">
        <f>HYPERLINK("https://twitter.com/ESRaif","@ESRaif")</f>
        <v>@ESRaif</v>
      </c>
      <c r="C1401" s="1" t="s">
        <v>6606</v>
      </c>
      <c r="D1401" s="1" t="s">
        <v>6607</v>
      </c>
      <c r="E1401" s="12" t="str">
        <f>HYPERLINK("https://twitter.com/ESRaif/status/1217522406794940416","1217522406794940416")</f>
        <v>1217522406794940416</v>
      </c>
      <c r="F1401" s="1" t="s">
        <v>6608</v>
      </c>
      <c r="G1401" s="13" t="s">
        <v>6609</v>
      </c>
      <c r="H1401" s="14"/>
      <c r="I1401" s="15">
        <v>0.0</v>
      </c>
      <c r="J1401" s="15">
        <v>0.0</v>
      </c>
      <c r="K1401" s="12" t="str">
        <f>HYPERLINK("https://mobile.twitter.com","Twitter Web App")</f>
        <v>Twitter Web App</v>
      </c>
      <c r="L1401" s="16">
        <v>234.0</v>
      </c>
      <c r="M1401" s="16">
        <v>1078.0</v>
      </c>
      <c r="N1401" s="16">
        <v>2.0</v>
      </c>
      <c r="O1401" s="17"/>
      <c r="P1401" s="18">
        <v>41450.54075231482</v>
      </c>
      <c r="Q1401" s="14"/>
      <c r="R1401" s="14"/>
      <c r="S1401" s="14"/>
      <c r="T1401" s="14"/>
      <c r="U1401" s="19" t="str">
        <f>HYPERLINK("https://pbs.twimg.com/profile_images/378800000044960439/b5d9a9ad3d89aae8f00e46e906fe81a7.jpeg","View")</f>
        <v>View</v>
      </c>
      <c r="V1401" s="14"/>
      <c r="W1401" s="14"/>
      <c r="X1401" s="14"/>
      <c r="Y1401" s="14"/>
      <c r="Z1401" s="14"/>
    </row>
    <row r="1402">
      <c r="A1402" s="11">
        <v>43845.58473379629</v>
      </c>
      <c r="B1402" s="12" t="str">
        <f>HYPERLINK("https://twitter.com/StylistMagazine","@StylistMagazine")</f>
        <v>@StylistMagazine</v>
      </c>
      <c r="C1402" s="1" t="s">
        <v>6610</v>
      </c>
      <c r="D1402" s="1" t="s">
        <v>6611</v>
      </c>
      <c r="E1402" s="12" t="str">
        <f>HYPERLINK("https://twitter.com/StylistMagazine/status/1217522341456023552","1217522341456023552")</f>
        <v>1217522341456023552</v>
      </c>
      <c r="F1402" s="13" t="s">
        <v>6612</v>
      </c>
      <c r="G1402" s="14"/>
      <c r="H1402" s="14"/>
      <c r="I1402" s="15">
        <v>0.0</v>
      </c>
      <c r="J1402" s="15">
        <v>2.0</v>
      </c>
      <c r="K1402" s="12" t="str">
        <f>HYPERLINK("https://buffer.com","Buffer")</f>
        <v>Buffer</v>
      </c>
      <c r="L1402" s="16">
        <v>686924.0</v>
      </c>
      <c r="M1402" s="16">
        <v>8774.0</v>
      </c>
      <c r="N1402" s="16">
        <v>4016.0</v>
      </c>
      <c r="O1402" s="20" t="s">
        <v>38</v>
      </c>
      <c r="P1402" s="18">
        <v>40000.39396990741</v>
      </c>
      <c r="Q1402" s="1" t="s">
        <v>975</v>
      </c>
      <c r="R1402" s="1" t="s">
        <v>6613</v>
      </c>
      <c r="S1402" s="13" t="s">
        <v>6614</v>
      </c>
      <c r="T1402" s="14"/>
      <c r="U1402" s="19" t="str">
        <f>HYPERLINK("https://pbs.twimg.com/profile_images/1179064281696018434/MfUW6aMG.jpg","View")</f>
        <v>View</v>
      </c>
      <c r="V1402" s="14"/>
      <c r="W1402" s="14"/>
      <c r="X1402" s="14"/>
      <c r="Y1402" s="14"/>
      <c r="Z1402" s="14"/>
    </row>
    <row r="1403">
      <c r="A1403" s="11">
        <v>43845.58434027778</v>
      </c>
      <c r="B1403" s="12" t="str">
        <f>HYPERLINK("https://twitter.com/PlanSource","@PlanSource")</f>
        <v>@PlanSource</v>
      </c>
      <c r="C1403" s="1" t="s">
        <v>6615</v>
      </c>
      <c r="D1403" s="1" t="s">
        <v>6616</v>
      </c>
      <c r="E1403" s="12" t="str">
        <f>HYPERLINK("https://twitter.com/PlanSource/status/1217522200045137921","1217522200045137921")</f>
        <v>1217522200045137921</v>
      </c>
      <c r="F1403" s="13" t="s">
        <v>6617</v>
      </c>
      <c r="G1403" s="14"/>
      <c r="H1403" s="14"/>
      <c r="I1403" s="15">
        <v>2.0</v>
      </c>
      <c r="J1403" s="15">
        <v>3.0</v>
      </c>
      <c r="K1403" s="12" t="str">
        <f t="shared" ref="K1403:K1404" si="136">HYPERLINK("https://www.hootsuite.com","Hootsuite Inc.")</f>
        <v>Hootsuite Inc.</v>
      </c>
      <c r="L1403" s="16">
        <v>1729.0</v>
      </c>
      <c r="M1403" s="16">
        <v>1056.0</v>
      </c>
      <c r="N1403" s="16">
        <v>123.0</v>
      </c>
      <c r="O1403" s="17"/>
      <c r="P1403" s="18">
        <v>40017.320810185185</v>
      </c>
      <c r="Q1403" s="1" t="s">
        <v>115</v>
      </c>
      <c r="R1403" s="1" t="s">
        <v>6618</v>
      </c>
      <c r="S1403" s="13" t="s">
        <v>6619</v>
      </c>
      <c r="T1403" s="14"/>
      <c r="U1403" s="19" t="str">
        <f>HYPERLINK("https://pbs.twimg.com/profile_images/556956980393160705/O6TlWc4z.jpeg","View")</f>
        <v>View</v>
      </c>
      <c r="V1403" s="14"/>
      <c r="W1403" s="14"/>
      <c r="X1403" s="14"/>
      <c r="Y1403" s="14"/>
      <c r="Z1403" s="14"/>
    </row>
    <row r="1404">
      <c r="A1404" s="11">
        <v>43845.58380787037</v>
      </c>
      <c r="B1404" s="12" t="str">
        <f>HYPERLINK("https://twitter.com/GreenleafMed","@GreenleafMed")</f>
        <v>@GreenleafMed</v>
      </c>
      <c r="C1404" s="1" t="s">
        <v>6620</v>
      </c>
      <c r="D1404" s="1" t="s">
        <v>6621</v>
      </c>
      <c r="E1404" s="12" t="str">
        <f>HYPERLINK("https://twitter.com/GreenleafMed/status/1217522005563412480","1217522005563412480")</f>
        <v>1217522005563412480</v>
      </c>
      <c r="F1404" s="13" t="s">
        <v>6622</v>
      </c>
      <c r="G1404" s="14"/>
      <c r="H1404" s="14"/>
      <c r="I1404" s="15">
        <v>0.0</v>
      </c>
      <c r="J1404" s="15">
        <v>0.0</v>
      </c>
      <c r="K1404" s="12" t="str">
        <f t="shared" si="136"/>
        <v>Hootsuite Inc.</v>
      </c>
      <c r="L1404" s="16">
        <v>139.0</v>
      </c>
      <c r="M1404" s="16">
        <v>453.0</v>
      </c>
      <c r="N1404" s="16">
        <v>0.0</v>
      </c>
      <c r="O1404" s="17"/>
      <c r="P1404" s="18">
        <v>41884.619375</v>
      </c>
      <c r="Q1404" s="1" t="s">
        <v>6623</v>
      </c>
      <c r="R1404" s="1" t="s">
        <v>6624</v>
      </c>
      <c r="S1404" s="13" t="s">
        <v>6625</v>
      </c>
      <c r="T1404" s="14"/>
      <c r="U1404" s="19" t="str">
        <f>HYPERLINK("https://pbs.twimg.com/profile_images/1172538726762680321/ot4Wmgsl.jpg","View")</f>
        <v>View</v>
      </c>
      <c r="V1404" s="14"/>
      <c r="W1404" s="14"/>
      <c r="X1404" s="14"/>
      <c r="Y1404" s="14"/>
      <c r="Z1404" s="14"/>
    </row>
    <row r="1405">
      <c r="A1405" s="11">
        <v>43845.583599537036</v>
      </c>
      <c r="B1405" s="12" t="str">
        <f>HYPERLINK("https://twitter.com/HealthyPlace","@HealthyPlace")</f>
        <v>@HealthyPlace</v>
      </c>
      <c r="C1405" s="1" t="s">
        <v>529</v>
      </c>
      <c r="D1405" s="1" t="s">
        <v>6626</v>
      </c>
      <c r="E1405" s="12" t="str">
        <f>HYPERLINK("https://twitter.com/HealthyPlace/status/1217521931450310656","1217521931450310656")</f>
        <v>1217521931450310656</v>
      </c>
      <c r="F1405" s="13" t="s">
        <v>531</v>
      </c>
      <c r="G1405" s="13" t="s">
        <v>6627</v>
      </c>
      <c r="H1405" s="14"/>
      <c r="I1405" s="15">
        <v>0.0</v>
      </c>
      <c r="J1405" s="15">
        <v>0.0</v>
      </c>
      <c r="K1405" s="12" t="str">
        <f>HYPERLINK("https://sproutsocial.com","Sprout Social")</f>
        <v>Sprout Social</v>
      </c>
      <c r="L1405" s="16">
        <v>64943.0</v>
      </c>
      <c r="M1405" s="16">
        <v>25048.0</v>
      </c>
      <c r="N1405" s="16">
        <v>1710.0</v>
      </c>
      <c r="O1405" s="17"/>
      <c r="P1405" s="18">
        <v>39681.03928240741</v>
      </c>
      <c r="Q1405" s="1" t="s">
        <v>533</v>
      </c>
      <c r="R1405" s="1" t="s">
        <v>534</v>
      </c>
      <c r="S1405" s="13" t="s">
        <v>535</v>
      </c>
      <c r="T1405" s="14"/>
      <c r="U1405" s="19" t="str">
        <f>HYPERLINK("https://pbs.twimg.com/profile_images/753613454083252225/i5pr2xny.jpg","View")</f>
        <v>View</v>
      </c>
      <c r="V1405" s="14"/>
      <c r="W1405" s="14"/>
      <c r="X1405" s="14"/>
      <c r="Y1405" s="14"/>
      <c r="Z1405" s="14"/>
    </row>
    <row r="1406">
      <c r="A1406" s="11">
        <v>43845.581655092596</v>
      </c>
      <c r="B1406" s="12" t="str">
        <f>HYPERLINK("https://twitter.com/drdiane_","@drdiane_")</f>
        <v>@drdiane_</v>
      </c>
      <c r="C1406" s="1" t="s">
        <v>153</v>
      </c>
      <c r="D1406" s="1" t="s">
        <v>6628</v>
      </c>
      <c r="E1406" s="12" t="str">
        <f>HYPERLINK("https://twitter.com/drdiane_/status/1217521224852463616","1217521224852463616")</f>
        <v>1217521224852463616</v>
      </c>
      <c r="F1406" s="13" t="s">
        <v>6629</v>
      </c>
      <c r="G1406" s="14"/>
      <c r="H1406" s="14"/>
      <c r="I1406" s="15">
        <v>0.0</v>
      </c>
      <c r="J1406" s="15">
        <v>0.0</v>
      </c>
      <c r="K1406" s="12" t="str">
        <f>HYPERLINK("http://twitter.com","Twitter Web Client")</f>
        <v>Twitter Web Client</v>
      </c>
      <c r="L1406" s="16">
        <v>1142.0</v>
      </c>
      <c r="M1406" s="16">
        <v>886.0</v>
      </c>
      <c r="N1406" s="16">
        <v>49.0</v>
      </c>
      <c r="O1406" s="17"/>
      <c r="P1406" s="18">
        <v>40045.9516087963</v>
      </c>
      <c r="Q1406" s="1" t="s">
        <v>156</v>
      </c>
      <c r="R1406" s="1" t="s">
        <v>157</v>
      </c>
      <c r="S1406" s="13" t="s">
        <v>158</v>
      </c>
      <c r="T1406" s="14"/>
      <c r="U1406" s="19" t="str">
        <f>HYPERLINK("https://pbs.twimg.com/profile_images/397525303/4747-80Edited.jpg","View")</f>
        <v>View</v>
      </c>
      <c r="V1406" s="14"/>
      <c r="W1406" s="14"/>
      <c r="X1406" s="14"/>
      <c r="Y1406" s="14"/>
      <c r="Z1406" s="14"/>
    </row>
    <row r="1407">
      <c r="A1407" s="11">
        <v>43845.5778125</v>
      </c>
      <c r="B1407" s="12" t="str">
        <f>HYPERLINK("https://twitter.com/SWcareer","@SWcareer")</f>
        <v>@SWcareer</v>
      </c>
      <c r="C1407" s="1" t="s">
        <v>6630</v>
      </c>
      <c r="D1407" s="1" t="s">
        <v>6631</v>
      </c>
      <c r="E1407" s="12" t="str">
        <f>HYPERLINK("https://twitter.com/SWcareer/status/1217519833182560257","1217519833182560257")</f>
        <v>1217519833182560257</v>
      </c>
      <c r="F1407" s="1" t="s">
        <v>6632</v>
      </c>
      <c r="G1407" s="14"/>
      <c r="H1407" s="14"/>
      <c r="I1407" s="15">
        <v>0.0</v>
      </c>
      <c r="J1407" s="15">
        <v>0.0</v>
      </c>
      <c r="K1407" s="12" t="str">
        <f>HYPERLINK("http://twitter.com/download/iphone","Twitter for iPhone")</f>
        <v>Twitter for iPhone</v>
      </c>
      <c r="L1407" s="16">
        <v>5382.0</v>
      </c>
      <c r="M1407" s="16">
        <v>770.0</v>
      </c>
      <c r="N1407" s="16">
        <v>618.0</v>
      </c>
      <c r="O1407" s="17"/>
      <c r="P1407" s="18">
        <v>39975.790717592594</v>
      </c>
      <c r="Q1407" s="1" t="s">
        <v>921</v>
      </c>
      <c r="R1407" s="1" t="s">
        <v>6633</v>
      </c>
      <c r="S1407" s="13" t="s">
        <v>6634</v>
      </c>
      <c r="T1407" s="14"/>
      <c r="U1407" s="19" t="str">
        <f>HYPERLINK("https://pbs.twimg.com/profile_images/1111983033131900929/MVeGWFr4.png","View")</f>
        <v>View</v>
      </c>
      <c r="V1407" s="14"/>
      <c r="W1407" s="14"/>
      <c r="X1407" s="14"/>
      <c r="Y1407" s="14"/>
      <c r="Z1407" s="14"/>
    </row>
    <row r="1408">
      <c r="A1408" s="11">
        <v>43845.57608796297</v>
      </c>
      <c r="B1408" s="12" t="str">
        <f>HYPERLINK("https://twitter.com/eDocAmerica","@eDocAmerica")</f>
        <v>@eDocAmerica</v>
      </c>
      <c r="C1408" s="1" t="s">
        <v>6635</v>
      </c>
      <c r="D1408" s="1" t="s">
        <v>6636</v>
      </c>
      <c r="E1408" s="12" t="str">
        <f>HYPERLINK("https://twitter.com/eDocAmerica/status/1217519209745473537","1217519209745473537")</f>
        <v>1217519209745473537</v>
      </c>
      <c r="F1408" s="13" t="s">
        <v>6637</v>
      </c>
      <c r="G1408" s="14"/>
      <c r="H1408" s="14"/>
      <c r="I1408" s="15">
        <v>0.0</v>
      </c>
      <c r="J1408" s="15">
        <v>0.0</v>
      </c>
      <c r="K1408" s="12" t="str">
        <f>HYPERLINK("http://twitter.com","Twitter Web Client")</f>
        <v>Twitter Web Client</v>
      </c>
      <c r="L1408" s="16">
        <v>404.0</v>
      </c>
      <c r="M1408" s="16">
        <v>776.0</v>
      </c>
      <c r="N1408" s="16">
        <v>6.0</v>
      </c>
      <c r="O1408" s="17"/>
      <c r="P1408" s="18">
        <v>40367.44122685185</v>
      </c>
      <c r="Q1408" s="1" t="s">
        <v>6638</v>
      </c>
      <c r="R1408" s="1" t="s">
        <v>6639</v>
      </c>
      <c r="S1408" s="13" t="s">
        <v>6640</v>
      </c>
      <c r="T1408" s="14"/>
      <c r="U1408" s="19" t="str">
        <f>HYPERLINK("https://pbs.twimg.com/profile_images/964188622135050240/sPLL6NJB.jpg","View")</f>
        <v>View</v>
      </c>
      <c r="V1408" s="14"/>
      <c r="W1408" s="14"/>
      <c r="X1408" s="14"/>
      <c r="Y1408" s="14"/>
      <c r="Z1408" s="14"/>
    </row>
    <row r="1409">
      <c r="A1409" s="11">
        <v>43845.57299768519</v>
      </c>
      <c r="B1409" s="12" t="str">
        <f>HYPERLINK("https://twitter.com/YMLondon","@YMLondon")</f>
        <v>@YMLondon</v>
      </c>
      <c r="C1409" s="1" t="s">
        <v>6641</v>
      </c>
      <c r="D1409" s="1" t="s">
        <v>6642</v>
      </c>
      <c r="E1409" s="12" t="str">
        <f>HYPERLINK("https://twitter.com/YMLondon/status/1217518087743901698","1217518087743901698")</f>
        <v>1217518087743901698</v>
      </c>
      <c r="F1409" s="14"/>
      <c r="G1409" s="13" t="s">
        <v>6643</v>
      </c>
      <c r="H1409" s="14"/>
      <c r="I1409" s="15">
        <v>0.0</v>
      </c>
      <c r="J1409" s="15">
        <v>0.0</v>
      </c>
      <c r="K1409" s="12" t="str">
        <f>HYPERLINK("https://www.hootsuite.com","Hootsuite Inc.")</f>
        <v>Hootsuite Inc.</v>
      </c>
      <c r="L1409" s="16">
        <v>513.0</v>
      </c>
      <c r="M1409" s="16">
        <v>528.0</v>
      </c>
      <c r="N1409" s="16">
        <v>7.0</v>
      </c>
      <c r="O1409" s="17"/>
      <c r="P1409" s="18">
        <v>40200.25934027778</v>
      </c>
      <c r="Q1409" s="1" t="s">
        <v>864</v>
      </c>
      <c r="R1409" s="1" t="s">
        <v>6644</v>
      </c>
      <c r="S1409" s="13" t="s">
        <v>6645</v>
      </c>
      <c r="T1409" s="14"/>
      <c r="U1409" s="19" t="str">
        <f>HYPERLINK("https://pbs.twimg.com/profile_images/492320729451339777/jnBfaO3K.jpeg","View")</f>
        <v>View</v>
      </c>
      <c r="V1409" s="14"/>
      <c r="W1409" s="14"/>
      <c r="X1409" s="14"/>
      <c r="Y1409" s="14"/>
      <c r="Z1409" s="14"/>
    </row>
    <row r="1410">
      <c r="A1410" s="11">
        <v>43845.571018518516</v>
      </c>
      <c r="B1410" s="12" t="str">
        <f>HYPERLINK("https://twitter.com/SuzannLMT_CMLDT","@SuzannLMT_CMLDT")</f>
        <v>@SuzannLMT_CMLDT</v>
      </c>
      <c r="C1410" s="1" t="s">
        <v>6646</v>
      </c>
      <c r="D1410" s="1" t="s">
        <v>6647</v>
      </c>
      <c r="E1410" s="12" t="str">
        <f>HYPERLINK("https://twitter.com/SuzannLMT_CMLDT/status/1217517372216659968","1217517372216659968")</f>
        <v>1217517372216659968</v>
      </c>
      <c r="F1410" s="13" t="s">
        <v>6648</v>
      </c>
      <c r="G1410" s="14"/>
      <c r="H1410" s="14"/>
      <c r="I1410" s="15">
        <v>0.0</v>
      </c>
      <c r="J1410" s="15">
        <v>0.0</v>
      </c>
      <c r="K1410" s="12" t="str">
        <f>HYPERLINK("http://www.linkedin.com/","LinkedIn")</f>
        <v>LinkedIn</v>
      </c>
      <c r="L1410" s="16">
        <v>99.0</v>
      </c>
      <c r="M1410" s="16">
        <v>58.0</v>
      </c>
      <c r="N1410" s="16">
        <v>0.0</v>
      </c>
      <c r="O1410" s="17"/>
      <c r="P1410" s="18">
        <v>42059.733923611115</v>
      </c>
      <c r="Q1410" s="14"/>
      <c r="R1410" s="1" t="s">
        <v>6649</v>
      </c>
      <c r="S1410" s="14"/>
      <c r="T1410" s="14"/>
      <c r="U1410" s="19" t="str">
        <f>HYPERLINK("https://pbs.twimg.com/profile_images/570354915144572928/H_xwmiYx.jpeg","View")</f>
        <v>View</v>
      </c>
      <c r="V1410" s="14"/>
      <c r="W1410" s="14"/>
      <c r="X1410" s="14"/>
      <c r="Y1410" s="14"/>
      <c r="Z1410" s="14"/>
    </row>
    <row r="1411">
      <c r="A1411" s="11">
        <v>43845.57010416666</v>
      </c>
      <c r="B1411" s="12" t="str">
        <f>HYPERLINK("https://twitter.com/BethkazV","@BethkazV")</f>
        <v>@BethkazV</v>
      </c>
      <c r="C1411" s="1" t="s">
        <v>4165</v>
      </c>
      <c r="D1411" s="1" t="s">
        <v>193</v>
      </c>
      <c r="E1411" s="12" t="str">
        <f>HYPERLINK("https://twitter.com/BethkazV/status/1217517040853975042","1217517040853975042")</f>
        <v>1217517040853975042</v>
      </c>
      <c r="F1411" s="13" t="s">
        <v>4166</v>
      </c>
      <c r="G1411" s="14"/>
      <c r="H1411" s="14"/>
      <c r="I1411" s="15">
        <v>0.0</v>
      </c>
      <c r="J1411" s="15">
        <v>0.0</v>
      </c>
      <c r="K1411" s="12" t="str">
        <f>HYPERLINK("http://twitter.com/download/iphone","Twitter for iPhone")</f>
        <v>Twitter for iPhone</v>
      </c>
      <c r="L1411" s="16">
        <v>2932.0</v>
      </c>
      <c r="M1411" s="16">
        <v>4951.0</v>
      </c>
      <c r="N1411" s="16">
        <v>233.0</v>
      </c>
      <c r="O1411" s="17"/>
      <c r="P1411" s="18">
        <v>41752.73159722222</v>
      </c>
      <c r="Q1411" s="1" t="s">
        <v>2987</v>
      </c>
      <c r="R1411" s="14"/>
      <c r="S1411" s="14"/>
      <c r="T1411" s="14"/>
      <c r="U1411" s="19" t="str">
        <f>HYPERLINK("https://pbs.twimg.com/profile_images/1180955750962798594/g6vdWNBM.jpg","View")</f>
        <v>View</v>
      </c>
      <c r="V1411" s="14"/>
      <c r="W1411" s="14"/>
      <c r="X1411" s="14"/>
      <c r="Y1411" s="14"/>
      <c r="Z1411" s="14"/>
    </row>
    <row r="1412">
      <c r="A1412" s="11">
        <v>43845.57005787037</v>
      </c>
      <c r="B1412" s="12" t="str">
        <f>HYPERLINK("https://twitter.com/GarlandVance","@GarlandVance")</f>
        <v>@GarlandVance</v>
      </c>
      <c r="C1412" s="1" t="s">
        <v>2132</v>
      </c>
      <c r="D1412" s="1" t="s">
        <v>6650</v>
      </c>
      <c r="E1412" s="12" t="str">
        <f>HYPERLINK("https://twitter.com/GarlandVance/status/1217517022780760064","1217517022780760064")</f>
        <v>1217517022780760064</v>
      </c>
      <c r="F1412" s="13" t="s">
        <v>6651</v>
      </c>
      <c r="G1412" s="14"/>
      <c r="H1412" s="14"/>
      <c r="I1412" s="15">
        <v>1.0</v>
      </c>
      <c r="J1412" s="15">
        <v>1.0</v>
      </c>
      <c r="K1412" s="12" t="str">
        <f>HYPERLINK("https://coschedule.com","CoSchedule")</f>
        <v>CoSchedule</v>
      </c>
      <c r="L1412" s="16">
        <v>7551.0</v>
      </c>
      <c r="M1412" s="16">
        <v>2894.0</v>
      </c>
      <c r="N1412" s="16">
        <v>34.0</v>
      </c>
      <c r="O1412" s="17"/>
      <c r="P1412" s="18">
        <v>40174.59726851852</v>
      </c>
      <c r="Q1412" s="1" t="s">
        <v>2135</v>
      </c>
      <c r="R1412" s="1" t="s">
        <v>2136</v>
      </c>
      <c r="S1412" s="13" t="s">
        <v>2137</v>
      </c>
      <c r="T1412" s="14"/>
      <c r="U1412" s="19" t="str">
        <f>HYPERLINK("https://pbs.twimg.com/profile_images/723172806058369025/Jz4o6CKX.jpg","View")</f>
        <v>View</v>
      </c>
      <c r="V1412" s="14"/>
      <c r="W1412" s="14"/>
      <c r="X1412" s="14"/>
      <c r="Y1412" s="14"/>
      <c r="Z1412" s="14"/>
    </row>
    <row r="1413">
      <c r="A1413" s="11">
        <v>43845.56947916667</v>
      </c>
      <c r="B1413" s="12" t="str">
        <f>HYPERLINK("https://twitter.com/TMNinja","@TMNinja")</f>
        <v>@TMNinja</v>
      </c>
      <c r="C1413" s="1" t="s">
        <v>558</v>
      </c>
      <c r="D1413" s="1" t="s">
        <v>559</v>
      </c>
      <c r="E1413" s="12" t="str">
        <f>HYPERLINK("https://twitter.com/TMNinja/status/1217516812595793926","1217516812595793926")</f>
        <v>1217516812595793926</v>
      </c>
      <c r="F1413" s="13" t="s">
        <v>560</v>
      </c>
      <c r="G1413" s="13" t="s">
        <v>6652</v>
      </c>
      <c r="H1413" s="14"/>
      <c r="I1413" s="15">
        <v>1.0</v>
      </c>
      <c r="J1413" s="15">
        <v>0.0</v>
      </c>
      <c r="K1413" s="12" t="str">
        <f>HYPERLINK("https://buffer.com","Buffer")</f>
        <v>Buffer</v>
      </c>
      <c r="L1413" s="16">
        <v>34405.0</v>
      </c>
      <c r="M1413" s="16">
        <v>15405.0</v>
      </c>
      <c r="N1413" s="16">
        <v>1884.0</v>
      </c>
      <c r="O1413" s="20" t="s">
        <v>38</v>
      </c>
      <c r="P1413" s="18">
        <v>39982.609548611115</v>
      </c>
      <c r="Q1413" s="1" t="s">
        <v>550</v>
      </c>
      <c r="R1413" s="1" t="s">
        <v>562</v>
      </c>
      <c r="S1413" s="13" t="s">
        <v>563</v>
      </c>
      <c r="T1413" s="14"/>
      <c r="U1413" s="19" t="str">
        <f>HYPERLINK("https://pbs.twimg.com/profile_images/1734246631/Craig_BW_Headshot_small.jpg.jpg","View")</f>
        <v>View</v>
      </c>
      <c r="V1413" s="14"/>
      <c r="W1413" s="14"/>
      <c r="X1413" s="14"/>
      <c r="Y1413" s="14"/>
      <c r="Z1413" s="14"/>
    </row>
    <row r="1414">
      <c r="A1414" s="11">
        <v>43845.569340277776</v>
      </c>
      <c r="B1414" s="12" t="str">
        <f>HYPERLINK("https://twitter.com/AbielJuan","@AbielJuan")</f>
        <v>@AbielJuan</v>
      </c>
      <c r="C1414" s="1" t="s">
        <v>6653</v>
      </c>
      <c r="D1414" s="1" t="s">
        <v>6654</v>
      </c>
      <c r="E1414" s="12" t="str">
        <f>HYPERLINK("https://twitter.com/AbielJuan/status/1217516765208629249","1217516765208629249")</f>
        <v>1217516765208629249</v>
      </c>
      <c r="F1414" s="13" t="s">
        <v>6655</v>
      </c>
      <c r="G1414" s="14"/>
      <c r="H1414" s="14"/>
      <c r="I1414" s="15">
        <v>0.0</v>
      </c>
      <c r="J1414" s="15">
        <v>0.0</v>
      </c>
      <c r="K1414" s="12" t="str">
        <f>HYPERLINK("http://twitter.com","Twitter Web Client")</f>
        <v>Twitter Web Client</v>
      </c>
      <c r="L1414" s="16">
        <v>190.0</v>
      </c>
      <c r="M1414" s="16">
        <v>2227.0</v>
      </c>
      <c r="N1414" s="16">
        <v>1.0</v>
      </c>
      <c r="O1414" s="17"/>
      <c r="P1414" s="18">
        <v>41943.843136574076</v>
      </c>
      <c r="Q1414" s="1" t="s">
        <v>4662</v>
      </c>
      <c r="R1414" s="1" t="s">
        <v>6656</v>
      </c>
      <c r="S1414" s="14"/>
      <c r="T1414" s="14"/>
      <c r="U1414" s="19" t="str">
        <f>HYPERLINK("https://pbs.twimg.com/profile_images/1199559571699896321/nq03SpBb.jpg","View")</f>
        <v>View</v>
      </c>
      <c r="V1414" s="14"/>
      <c r="W1414" s="14"/>
      <c r="X1414" s="14"/>
      <c r="Y1414" s="14"/>
      <c r="Z1414" s="14"/>
    </row>
    <row r="1415">
      <c r="A1415" s="11">
        <v>43845.567245370374</v>
      </c>
      <c r="B1415" s="12" t="str">
        <f>HYPERLINK("https://twitter.com/_weightloss284","@_weightloss284")</f>
        <v>@_weightloss284</v>
      </c>
      <c r="C1415" s="1" t="s">
        <v>1293</v>
      </c>
      <c r="D1415" s="1" t="s">
        <v>6657</v>
      </c>
      <c r="E1415" s="12" t="str">
        <f>HYPERLINK("https://twitter.com/_weightloss284/status/1217516006458974214","1217516006458974214")</f>
        <v>1217516006458974214</v>
      </c>
      <c r="F1415" s="13" t="s">
        <v>6658</v>
      </c>
      <c r="G1415" s="13" t="s">
        <v>6659</v>
      </c>
      <c r="H1415" s="14"/>
      <c r="I1415" s="15">
        <v>0.0</v>
      </c>
      <c r="J1415" s="15">
        <v>0.0</v>
      </c>
      <c r="K1415" s="12" t="str">
        <f>HYPERLINK("http://pachaworld.org/","Pachaworldmain")</f>
        <v>Pachaworldmain</v>
      </c>
      <c r="L1415" s="16">
        <v>30740.0</v>
      </c>
      <c r="M1415" s="16">
        <v>29150.0</v>
      </c>
      <c r="N1415" s="16">
        <v>648.0</v>
      </c>
      <c r="O1415" s="17"/>
      <c r="P1415" s="18">
        <v>40811.433842592596</v>
      </c>
      <c r="Q1415" s="1" t="s">
        <v>1297</v>
      </c>
      <c r="R1415" s="1" t="s">
        <v>1298</v>
      </c>
      <c r="S1415" s="13" t="s">
        <v>1299</v>
      </c>
      <c r="T1415" s="14"/>
      <c r="U1415" s="19" t="str">
        <f>HYPERLINK("https://pbs.twimg.com/profile_images/856213931802710018/G1Ag0eNK.jpg","View")</f>
        <v>View</v>
      </c>
      <c r="V1415" s="14"/>
      <c r="W1415" s="14"/>
      <c r="X1415" s="14"/>
      <c r="Y1415" s="14"/>
      <c r="Z1415" s="14"/>
    </row>
    <row r="1416">
      <c r="A1416" s="11">
        <v>43845.5671875</v>
      </c>
      <c r="B1416" s="12" t="str">
        <f>HYPERLINK("https://twitter.com/FabienCLamaze","@FabienCLamaze")</f>
        <v>@FabienCLamaze</v>
      </c>
      <c r="C1416" s="1" t="s">
        <v>6660</v>
      </c>
      <c r="D1416" s="1" t="s">
        <v>6661</v>
      </c>
      <c r="E1416" s="12" t="str">
        <f>HYPERLINK("https://twitter.com/FabienCLamaze/status/1217515982429835267","1217515982429835267")</f>
        <v>1217515982429835267</v>
      </c>
      <c r="F1416" s="13" t="s">
        <v>3400</v>
      </c>
      <c r="G1416" s="13" t="s">
        <v>6662</v>
      </c>
      <c r="H1416" s="14"/>
      <c r="I1416" s="15">
        <v>0.0</v>
      </c>
      <c r="J1416" s="15">
        <v>0.0</v>
      </c>
      <c r="K1416" s="12" t="str">
        <f>HYPERLINK("https://mobile.twitter.com","Twitter Web App")</f>
        <v>Twitter Web App</v>
      </c>
      <c r="L1416" s="16">
        <v>111.0</v>
      </c>
      <c r="M1416" s="16">
        <v>225.0</v>
      </c>
      <c r="N1416" s="16">
        <v>1.0</v>
      </c>
      <c r="O1416" s="17"/>
      <c r="P1416" s="18">
        <v>42667.04082175926</v>
      </c>
      <c r="Q1416" s="1" t="s">
        <v>727</v>
      </c>
      <c r="R1416" s="1" t="s">
        <v>6663</v>
      </c>
      <c r="S1416" s="14"/>
      <c r="T1416" s="14"/>
      <c r="U1416" s="19" t="str">
        <f>HYPERLINK("https://pbs.twimg.com/profile_images/790435848261017600/3yiNd_Dx.jpg","View")</f>
        <v>View</v>
      </c>
      <c r="V1416" s="14"/>
      <c r="W1416" s="14"/>
      <c r="X1416" s="14"/>
      <c r="Y1416" s="14"/>
      <c r="Z1416" s="14"/>
    </row>
    <row r="1417">
      <c r="A1417" s="11">
        <v>43845.56314814815</v>
      </c>
      <c r="B1417" s="12" t="str">
        <f>HYPERLINK("https://twitter.com/personalzenapp","@personalzenapp")</f>
        <v>@personalzenapp</v>
      </c>
      <c r="C1417" s="1" t="s">
        <v>6664</v>
      </c>
      <c r="D1417" s="1" t="s">
        <v>6665</v>
      </c>
      <c r="E1417" s="12" t="str">
        <f>HYPERLINK("https://twitter.com/personalzenapp/status/1217514520610070530","1217514520610070530")</f>
        <v>1217514520610070530</v>
      </c>
      <c r="F1417" s="13" t="s">
        <v>6666</v>
      </c>
      <c r="G1417" s="13" t="s">
        <v>6667</v>
      </c>
      <c r="H1417" s="14"/>
      <c r="I1417" s="15">
        <v>0.0</v>
      </c>
      <c r="J1417" s="15">
        <v>1.0</v>
      </c>
      <c r="K1417" s="12" t="str">
        <f>HYPERLINK("https://www.later.com","LaterMedia")</f>
        <v>LaterMedia</v>
      </c>
      <c r="L1417" s="16">
        <v>77.0</v>
      </c>
      <c r="M1417" s="16">
        <v>130.0</v>
      </c>
      <c r="N1417" s="16">
        <v>10.0</v>
      </c>
      <c r="O1417" s="17"/>
      <c r="P1417" s="18">
        <v>41765.38822916667</v>
      </c>
      <c r="Q1417" s="1" t="s">
        <v>4281</v>
      </c>
      <c r="R1417" s="1" t="s">
        <v>6668</v>
      </c>
      <c r="S1417" s="13" t="s">
        <v>6669</v>
      </c>
      <c r="T1417" s="14"/>
      <c r="U1417" s="19" t="str">
        <f>HYPERLINK("https://pbs.twimg.com/profile_images/1183789085544108032/sDF0xRHg.jpg","View")</f>
        <v>View</v>
      </c>
      <c r="V1417" s="14"/>
      <c r="W1417" s="14"/>
      <c r="X1417" s="14"/>
      <c r="Y1417" s="14"/>
      <c r="Z1417" s="14"/>
    </row>
    <row r="1418">
      <c r="A1418" s="11">
        <v>43845.562696759254</v>
      </c>
      <c r="B1418" s="12" t="str">
        <f>HYPERLINK("https://twitter.com/Myprofsr","@Myprofsr")</f>
        <v>@Myprofsr</v>
      </c>
      <c r="C1418" s="1" t="s">
        <v>6670</v>
      </c>
      <c r="D1418" s="1" t="s">
        <v>6671</v>
      </c>
      <c r="E1418" s="12" t="str">
        <f>HYPERLINK("https://twitter.com/Myprofsr/status/1217514354314301441","1217514354314301441")</f>
        <v>1217514354314301441</v>
      </c>
      <c r="F1418" s="14"/>
      <c r="G1418" s="13" t="s">
        <v>6672</v>
      </c>
      <c r="H1418" s="14"/>
      <c r="I1418" s="15">
        <v>3.0</v>
      </c>
      <c r="J1418" s="15">
        <v>2.0</v>
      </c>
      <c r="K1418" s="12" t="str">
        <f>HYPERLINK("http://twitter.com/download/android","Twitter for Android")</f>
        <v>Twitter for Android</v>
      </c>
      <c r="L1418" s="16">
        <v>43.0</v>
      </c>
      <c r="M1418" s="16">
        <v>94.0</v>
      </c>
      <c r="N1418" s="16">
        <v>4.0</v>
      </c>
      <c r="O1418" s="17"/>
      <c r="P1418" s="18">
        <v>43333.29300925926</v>
      </c>
      <c r="Q1418" s="1" t="s">
        <v>342</v>
      </c>
      <c r="R1418" s="1" t="s">
        <v>6673</v>
      </c>
      <c r="S1418" s="13" t="s">
        <v>6674</v>
      </c>
      <c r="T1418" s="14"/>
      <c r="U1418" s="19" t="str">
        <f>HYPERLINK("https://pbs.twimg.com/profile_images/1105802710547382272/Gih3jQ6O.jpg","View")</f>
        <v>View</v>
      </c>
      <c r="V1418" s="14"/>
      <c r="W1418" s="14"/>
      <c r="X1418" s="14"/>
      <c r="Y1418" s="14"/>
      <c r="Z1418" s="14"/>
    </row>
    <row r="1419">
      <c r="A1419" s="11">
        <v>43845.56265046296</v>
      </c>
      <c r="B1419" s="12" t="str">
        <f>HYPERLINK("https://twitter.com/KeystreamR","@KeystreamR")</f>
        <v>@KeystreamR</v>
      </c>
      <c r="C1419" s="1" t="s">
        <v>6675</v>
      </c>
      <c r="D1419" s="1" t="s">
        <v>6676</v>
      </c>
      <c r="E1419" s="12" t="str">
        <f>HYPERLINK("https://twitter.com/KeystreamR/status/1217514337927139328","1217514337927139328")</f>
        <v>1217514337927139328</v>
      </c>
      <c r="F1419" s="13" t="s">
        <v>6677</v>
      </c>
      <c r="G1419" s="14"/>
      <c r="H1419" s="14"/>
      <c r="I1419" s="15">
        <v>0.0</v>
      </c>
      <c r="J1419" s="15">
        <v>0.0</v>
      </c>
      <c r="K1419" s="12" t="str">
        <f t="shared" ref="K1419:K1420" si="137">HYPERLINK("https://www.hootsuite.com","Hootsuite Inc.")</f>
        <v>Hootsuite Inc.</v>
      </c>
      <c r="L1419" s="16">
        <v>222.0</v>
      </c>
      <c r="M1419" s="16">
        <v>809.0</v>
      </c>
      <c r="N1419" s="16">
        <v>1.0</v>
      </c>
      <c r="O1419" s="17"/>
      <c r="P1419" s="18">
        <v>43495.48929398148</v>
      </c>
      <c r="Q1419" s="1" t="s">
        <v>6678</v>
      </c>
      <c r="R1419" s="1" t="s">
        <v>6679</v>
      </c>
      <c r="S1419" s="13" t="s">
        <v>6680</v>
      </c>
      <c r="T1419" s="14"/>
      <c r="U1419" s="19" t="str">
        <f>HYPERLINK("https://pbs.twimg.com/profile_images/1131602464204042240/rVdZytSU.png","View")</f>
        <v>View</v>
      </c>
      <c r="V1419" s="14"/>
      <c r="W1419" s="14"/>
      <c r="X1419" s="14"/>
      <c r="Y1419" s="14"/>
      <c r="Z1419" s="14"/>
    </row>
    <row r="1420">
      <c r="A1420" s="11">
        <v>43845.56265046296</v>
      </c>
      <c r="B1420" s="12" t="str">
        <f>HYPERLINK("https://twitter.com/SummitEdGroup","@SummitEdGroup")</f>
        <v>@SummitEdGroup</v>
      </c>
      <c r="C1420" s="1" t="s">
        <v>6681</v>
      </c>
      <c r="D1420" s="1" t="s">
        <v>6682</v>
      </c>
      <c r="E1420" s="12" t="str">
        <f>HYPERLINK("https://twitter.com/SummitEdGroup/status/1217514337872613377","1217514337872613377")</f>
        <v>1217514337872613377</v>
      </c>
      <c r="F1420" s="13" t="s">
        <v>6683</v>
      </c>
      <c r="G1420" s="14"/>
      <c r="H1420" s="14"/>
      <c r="I1420" s="15">
        <v>0.0</v>
      </c>
      <c r="J1420" s="15">
        <v>0.0</v>
      </c>
      <c r="K1420" s="12" t="str">
        <f t="shared" si="137"/>
        <v>Hootsuite Inc.</v>
      </c>
      <c r="L1420" s="16">
        <v>67.0</v>
      </c>
      <c r="M1420" s="16">
        <v>83.0</v>
      </c>
      <c r="N1420" s="16">
        <v>1.0</v>
      </c>
      <c r="O1420" s="17"/>
      <c r="P1420" s="18">
        <v>42402.41853009259</v>
      </c>
      <c r="Q1420" s="1" t="s">
        <v>56</v>
      </c>
      <c r="R1420" s="1" t="s">
        <v>6684</v>
      </c>
      <c r="S1420" s="13" t="s">
        <v>6685</v>
      </c>
      <c r="T1420" s="14"/>
      <c r="U1420" s="19" t="str">
        <f>HYPERLINK("https://pbs.twimg.com/profile_images/982338333073342465/MGMkTW8B.jpg","View")</f>
        <v>View</v>
      </c>
      <c r="V1420" s="14"/>
      <c r="W1420" s="14"/>
      <c r="X1420" s="14"/>
      <c r="Y1420" s="14"/>
      <c r="Z1420" s="14"/>
    </row>
    <row r="1421">
      <c r="A1421" s="11">
        <v>43845.56255787037</v>
      </c>
      <c r="B1421" s="12" t="str">
        <f>HYPERLINK("https://twitter.com/HerbalGardenFL","@HerbalGardenFL")</f>
        <v>@HerbalGardenFL</v>
      </c>
      <c r="C1421" s="1" t="s">
        <v>1803</v>
      </c>
      <c r="D1421" s="1" t="s">
        <v>6686</v>
      </c>
      <c r="E1421" s="12" t="str">
        <f>HYPERLINK("https://twitter.com/HerbalGardenFL/status/1217514305379348480","1217514305379348480")</f>
        <v>1217514305379348480</v>
      </c>
      <c r="F1421" s="1" t="s">
        <v>6687</v>
      </c>
      <c r="G1421" s="14"/>
      <c r="H1421" s="14"/>
      <c r="I1421" s="15">
        <v>0.0</v>
      </c>
      <c r="J1421" s="15">
        <v>1.0</v>
      </c>
      <c r="K1421" s="12" t="str">
        <f>HYPERLINK("https://kuku.io","Link account with KUKU.io")</f>
        <v>Link account with KUKU.io</v>
      </c>
      <c r="L1421" s="16">
        <v>129.0</v>
      </c>
      <c r="M1421" s="16">
        <v>90.0</v>
      </c>
      <c r="N1421" s="16">
        <v>3.0</v>
      </c>
      <c r="O1421" s="17"/>
      <c r="P1421" s="18">
        <v>41130.93263888889</v>
      </c>
      <c r="Q1421" s="1" t="s">
        <v>1806</v>
      </c>
      <c r="R1421" s="1" t="s">
        <v>1807</v>
      </c>
      <c r="S1421" s="13" t="s">
        <v>1808</v>
      </c>
      <c r="T1421" s="14"/>
      <c r="U1421" s="19" t="str">
        <f>HYPERLINK("https://pbs.twimg.com/profile_images/713345260160679936/WZnIHWw4.jpg","View")</f>
        <v>View</v>
      </c>
      <c r="V1421" s="14"/>
      <c r="W1421" s="14"/>
      <c r="X1421" s="14"/>
      <c r="Y1421" s="14"/>
      <c r="Z1421" s="14"/>
    </row>
    <row r="1422">
      <c r="A1422" s="11">
        <v>43845.56236111111</v>
      </c>
      <c r="B1422" s="12" t="str">
        <f>HYPERLINK("https://twitter.com/KKelleyHolland","@KKelleyHolland")</f>
        <v>@KKelleyHolland</v>
      </c>
      <c r="C1422" s="1" t="s">
        <v>6688</v>
      </c>
      <c r="D1422" s="1" t="s">
        <v>6689</v>
      </c>
      <c r="E1422" s="12" t="str">
        <f>HYPERLINK("https://twitter.com/KKelleyHolland/status/1217514235967811585","1217514235967811585")</f>
        <v>1217514235967811585</v>
      </c>
      <c r="F1422" s="13" t="s">
        <v>6690</v>
      </c>
      <c r="G1422" s="13" t="s">
        <v>6691</v>
      </c>
      <c r="H1422" s="14"/>
      <c r="I1422" s="15">
        <v>1.0</v>
      </c>
      <c r="J1422" s="15">
        <v>1.0</v>
      </c>
      <c r="K1422" s="12" t="str">
        <f>HYPERLINK("https://mobile.twitter.com","Twitter Web App")</f>
        <v>Twitter Web App</v>
      </c>
      <c r="L1422" s="16">
        <v>1473.0</v>
      </c>
      <c r="M1422" s="16">
        <v>831.0</v>
      </c>
      <c r="N1422" s="16">
        <v>69.0</v>
      </c>
      <c r="O1422" s="20" t="s">
        <v>38</v>
      </c>
      <c r="P1422" s="18">
        <v>41466.95107638889</v>
      </c>
      <c r="Q1422" s="1" t="s">
        <v>6692</v>
      </c>
      <c r="R1422" s="1" t="s">
        <v>6693</v>
      </c>
      <c r="S1422" s="13" t="s">
        <v>6694</v>
      </c>
      <c r="T1422" s="14"/>
      <c r="U1422" s="19" t="str">
        <f>HYPERLINK("https://pbs.twimg.com/profile_images/788719782497517570/JRTxUN1C.jpg","View")</f>
        <v>View</v>
      </c>
      <c r="V1422" s="14"/>
      <c r="W1422" s="14"/>
      <c r="X1422" s="14"/>
      <c r="Y1422" s="14"/>
      <c r="Z1422" s="14"/>
    </row>
    <row r="1423">
      <c r="A1423" s="11">
        <v>43845.56081018518</v>
      </c>
      <c r="B1423" s="12" t="str">
        <f>HYPERLINK("https://twitter.com/danyogaman","@danyogaman")</f>
        <v>@danyogaman</v>
      </c>
      <c r="C1423" s="1" t="s">
        <v>6695</v>
      </c>
      <c r="D1423" s="1" t="s">
        <v>6696</v>
      </c>
      <c r="E1423" s="12" t="str">
        <f>HYPERLINK("https://twitter.com/danyogaman/status/1217513670936289287","1217513670936289287")</f>
        <v>1217513670936289287</v>
      </c>
      <c r="F1423" s="1" t="s">
        <v>6697</v>
      </c>
      <c r="G1423" s="14"/>
      <c r="H1423" s="14"/>
      <c r="I1423" s="15">
        <v>0.0</v>
      </c>
      <c r="J1423" s="15">
        <v>0.0</v>
      </c>
      <c r="K1423" s="12" t="str">
        <f>HYPERLINK("http://twitter.com/download/iphone","Twitter for iPhone")</f>
        <v>Twitter for iPhone</v>
      </c>
      <c r="L1423" s="16">
        <v>72.0</v>
      </c>
      <c r="M1423" s="16">
        <v>235.0</v>
      </c>
      <c r="N1423" s="16">
        <v>6.0</v>
      </c>
      <c r="O1423" s="17"/>
      <c r="P1423" s="18">
        <v>40234.41184027778</v>
      </c>
      <c r="Q1423" s="1" t="s">
        <v>2987</v>
      </c>
      <c r="R1423" s="1" t="s">
        <v>6698</v>
      </c>
      <c r="S1423" s="14"/>
      <c r="T1423" s="14"/>
      <c r="U1423" s="19" t="str">
        <f>HYPERLINK("https://pbs.twimg.com/profile_images/1040770582164455425/fr-UEWIX.jpg","View")</f>
        <v>View</v>
      </c>
      <c r="V1423" s="14"/>
      <c r="W1423" s="14"/>
      <c r="X1423" s="14"/>
      <c r="Y1423" s="14"/>
      <c r="Z1423" s="14"/>
    </row>
    <row r="1424">
      <c r="A1424" s="11">
        <v>43845.55920138889</v>
      </c>
      <c r="B1424" s="12" t="str">
        <f>HYPERLINK("https://twitter.com/renascencemusic","@renascencemusic")</f>
        <v>@renascencemusic</v>
      </c>
      <c r="C1424" s="1" t="s">
        <v>247</v>
      </c>
      <c r="D1424" s="1" t="s">
        <v>6699</v>
      </c>
      <c r="E1424" s="12" t="str">
        <f>HYPERLINK("https://twitter.com/renascencemusic/status/1217513089287049221","1217513089287049221")</f>
        <v>1217513089287049221</v>
      </c>
      <c r="F1424" s="13" t="s">
        <v>1793</v>
      </c>
      <c r="G1424" s="13" t="s">
        <v>6700</v>
      </c>
      <c r="H1424" s="14"/>
      <c r="I1424" s="15">
        <v>0.0</v>
      </c>
      <c r="J1424" s="15">
        <v>1.0</v>
      </c>
      <c r="K1424" s="12" t="str">
        <f>HYPERLINK("https://www.socialoomph.com","SocialOomph")</f>
        <v>SocialOomph</v>
      </c>
      <c r="L1424" s="16">
        <v>13031.0</v>
      </c>
      <c r="M1424" s="16">
        <v>11650.0</v>
      </c>
      <c r="N1424" s="16">
        <v>219.0</v>
      </c>
      <c r="O1424" s="17"/>
      <c r="P1424" s="18">
        <v>42470.67052083333</v>
      </c>
      <c r="Q1424" s="1" t="s">
        <v>251</v>
      </c>
      <c r="R1424" s="1" t="s">
        <v>252</v>
      </c>
      <c r="S1424" s="13" t="s">
        <v>253</v>
      </c>
      <c r="T1424" s="14"/>
      <c r="U1424" s="19" t="str">
        <f>HYPERLINK("https://pbs.twimg.com/profile_images/1123407512743612416/g721ra2J.png","View")</f>
        <v>View</v>
      </c>
      <c r="V1424" s="14"/>
      <c r="W1424" s="14"/>
      <c r="X1424" s="14"/>
      <c r="Y1424" s="14"/>
      <c r="Z1424" s="14"/>
    </row>
    <row r="1425">
      <c r="A1425" s="11">
        <v>43845.554884259254</v>
      </c>
      <c r="B1425" s="12" t="str">
        <f>HYPERLINK("https://twitter.com/levittmike","@levittmike")</f>
        <v>@levittmike</v>
      </c>
      <c r="C1425" s="1" t="s">
        <v>4235</v>
      </c>
      <c r="D1425" s="1" t="s">
        <v>6701</v>
      </c>
      <c r="E1425" s="12" t="str">
        <f>HYPERLINK("https://twitter.com/levittmike/status/1217511523347783680","1217511523347783680")</f>
        <v>1217511523347783680</v>
      </c>
      <c r="F1425" s="13" t="s">
        <v>6702</v>
      </c>
      <c r="G1425" s="13" t="s">
        <v>6703</v>
      </c>
      <c r="H1425" s="14"/>
      <c r="I1425" s="15">
        <v>0.0</v>
      </c>
      <c r="J1425" s="15">
        <v>0.0</v>
      </c>
      <c r="K1425" s="12" t="str">
        <f>HYPERLINK("https://buffer.com","Buffer")</f>
        <v>Buffer</v>
      </c>
      <c r="L1425" s="16">
        <v>7286.0</v>
      </c>
      <c r="M1425" s="16">
        <v>8010.0</v>
      </c>
      <c r="N1425" s="16">
        <v>156.0</v>
      </c>
      <c r="O1425" s="17"/>
      <c r="P1425" s="18">
        <v>39922.80341435185</v>
      </c>
      <c r="Q1425" s="1" t="s">
        <v>4239</v>
      </c>
      <c r="R1425" s="1" t="s">
        <v>2221</v>
      </c>
      <c r="S1425" s="13" t="s">
        <v>2222</v>
      </c>
      <c r="T1425" s="14"/>
      <c r="U1425" s="19" t="str">
        <f>HYPERLINK("https://pbs.twimg.com/profile_images/914647442481655809/iIzLIZzI.jpg","View")</f>
        <v>View</v>
      </c>
      <c r="V1425" s="14"/>
      <c r="W1425" s="14"/>
      <c r="X1425" s="14"/>
      <c r="Y1425" s="14"/>
      <c r="Z1425" s="14"/>
    </row>
    <row r="1426">
      <c r="A1426" s="11">
        <v>43845.54976851852</v>
      </c>
      <c r="B1426" s="12" t="str">
        <f>HYPERLINK("https://twitter.com/gam_productions","@gam_productions")</f>
        <v>@gam_productions</v>
      </c>
      <c r="C1426" s="1" t="s">
        <v>6704</v>
      </c>
      <c r="D1426" s="1" t="s">
        <v>6705</v>
      </c>
      <c r="E1426" s="12" t="str">
        <f>HYPERLINK("https://twitter.com/gam_productions/status/1217509671034114053","1217509671034114053")</f>
        <v>1217509671034114053</v>
      </c>
      <c r="F1426" s="13" t="s">
        <v>6706</v>
      </c>
      <c r="G1426" s="14"/>
      <c r="H1426" s="14"/>
      <c r="I1426" s="15">
        <v>1.0</v>
      </c>
      <c r="J1426" s="15">
        <v>0.0</v>
      </c>
      <c r="K1426" s="12" t="str">
        <f>HYPERLINK("http://twitter.com/#!/download/ipad","Twitter for iPad")</f>
        <v>Twitter for iPad</v>
      </c>
      <c r="L1426" s="16">
        <v>21.0</v>
      </c>
      <c r="M1426" s="16">
        <v>159.0</v>
      </c>
      <c r="N1426" s="16">
        <v>0.0</v>
      </c>
      <c r="O1426" s="17"/>
      <c r="P1426" s="18">
        <v>43004.555972222224</v>
      </c>
      <c r="Q1426" s="1" t="s">
        <v>6707</v>
      </c>
      <c r="R1426" s="1" t="s">
        <v>6708</v>
      </c>
      <c r="S1426" s="13" t="s">
        <v>6709</v>
      </c>
      <c r="T1426" s="14"/>
      <c r="U1426" s="19" t="str">
        <f>HYPERLINK("https://pbs.twimg.com/profile_images/930217059950178304/MjlXrJ0u.jpg","View")</f>
        <v>View</v>
      </c>
      <c r="V1426" s="14"/>
      <c r="W1426" s="14"/>
      <c r="X1426" s="14"/>
      <c r="Y1426" s="14"/>
      <c r="Z1426" s="14"/>
    </row>
    <row r="1427">
      <c r="A1427" s="11">
        <v>43845.54960648148</v>
      </c>
      <c r="B1427" s="12" t="str">
        <f>HYPERLINK("https://twitter.com/EdiblesZz","@EdiblesZz")</f>
        <v>@EdiblesZz</v>
      </c>
      <c r="C1427" s="1" t="s">
        <v>111</v>
      </c>
      <c r="D1427" s="1" t="s">
        <v>6710</v>
      </c>
      <c r="E1427" s="12" t="str">
        <f>HYPERLINK("https://twitter.com/EdiblesZz/status/1217509612653621248","1217509612653621248")</f>
        <v>1217509612653621248</v>
      </c>
      <c r="F1427" s="13" t="s">
        <v>113</v>
      </c>
      <c r="G1427" s="13" t="s">
        <v>6711</v>
      </c>
      <c r="H1427" s="14"/>
      <c r="I1427" s="15">
        <v>0.0</v>
      </c>
      <c r="J1427" s="15">
        <v>2.0</v>
      </c>
      <c r="K1427" s="12" t="str">
        <f t="shared" ref="K1427:K1428" si="138">HYPERLINK("https://mobile.twitter.com","Twitter Web App")</f>
        <v>Twitter Web App</v>
      </c>
      <c r="L1427" s="16">
        <v>572.0</v>
      </c>
      <c r="M1427" s="16">
        <v>2994.0</v>
      </c>
      <c r="N1427" s="16">
        <v>0.0</v>
      </c>
      <c r="O1427" s="17"/>
      <c r="P1427" s="18">
        <v>43710.57782407408</v>
      </c>
      <c r="Q1427" s="1" t="s">
        <v>115</v>
      </c>
      <c r="R1427" s="1" t="s">
        <v>116</v>
      </c>
      <c r="S1427" s="13" t="s">
        <v>117</v>
      </c>
      <c r="T1427" s="14"/>
      <c r="U1427" s="19" t="str">
        <f>HYPERLINK("https://pbs.twimg.com/profile_images/1168582465058934785/vS2Yhnlj.jpg","View")</f>
        <v>View</v>
      </c>
      <c r="V1427" s="14"/>
      <c r="W1427" s="14"/>
      <c r="X1427" s="14"/>
      <c r="Y1427" s="14"/>
      <c r="Z1427" s="14"/>
    </row>
    <row r="1428">
      <c r="A1428" s="11">
        <v>43845.546805555554</v>
      </c>
      <c r="B1428" s="12" t="str">
        <f>HYPERLINK("https://twitter.com/Newcastlehypno","@Newcastlehypno")</f>
        <v>@Newcastlehypno</v>
      </c>
      <c r="C1428" s="1" t="s">
        <v>6712</v>
      </c>
      <c r="D1428" s="1" t="s">
        <v>6713</v>
      </c>
      <c r="E1428" s="12" t="str">
        <f>HYPERLINK("https://twitter.com/Newcastlehypno/status/1217508599020380160","1217508599020380160")</f>
        <v>1217508599020380160</v>
      </c>
      <c r="F1428" s="13" t="s">
        <v>6714</v>
      </c>
      <c r="G1428" s="13" t="s">
        <v>6715</v>
      </c>
      <c r="H1428" s="14"/>
      <c r="I1428" s="15">
        <v>0.0</v>
      </c>
      <c r="J1428" s="15">
        <v>0.0</v>
      </c>
      <c r="K1428" s="12" t="str">
        <f t="shared" si="138"/>
        <v>Twitter Web App</v>
      </c>
      <c r="L1428" s="16">
        <v>25.0</v>
      </c>
      <c r="M1428" s="16">
        <v>130.0</v>
      </c>
      <c r="N1428" s="16">
        <v>0.0</v>
      </c>
      <c r="O1428" s="17"/>
      <c r="P1428" s="18">
        <v>43163.324849537035</v>
      </c>
      <c r="Q1428" s="1" t="s">
        <v>882</v>
      </c>
      <c r="R1428" s="14"/>
      <c r="S1428" s="13" t="s">
        <v>6716</v>
      </c>
      <c r="T1428" s="14"/>
      <c r="U1428" s="19" t="str">
        <f>HYPERLINK("https://pbs.twimg.com/profile_images/1059154711008501760/iHBeUJyw.jpg","View")</f>
        <v>View</v>
      </c>
      <c r="V1428" s="14"/>
      <c r="W1428" s="14"/>
      <c r="X1428" s="14"/>
      <c r="Y1428" s="14"/>
      <c r="Z1428" s="14"/>
    </row>
    <row r="1429">
      <c r="A1429" s="11">
        <v>43845.54409722222</v>
      </c>
      <c r="B1429" s="12" t="str">
        <f>HYPERLINK("https://twitter.com/LeeHorton","@LeeHorton")</f>
        <v>@LeeHorton</v>
      </c>
      <c r="C1429" s="1" t="s">
        <v>6717</v>
      </c>
      <c r="D1429" s="1" t="s">
        <v>6718</v>
      </c>
      <c r="E1429" s="12" t="str">
        <f>HYPERLINK("https://twitter.com/LeeHorton/status/1217507616760320000","1217507616760320000")</f>
        <v>1217507616760320000</v>
      </c>
      <c r="F1429" s="1" t="s">
        <v>6719</v>
      </c>
      <c r="G1429" s="14"/>
      <c r="H1429" s="14"/>
      <c r="I1429" s="15">
        <v>0.0</v>
      </c>
      <c r="J1429" s="15">
        <v>0.0</v>
      </c>
      <c r="K1429" s="12" t="str">
        <f>HYPERLINK("https://www.serveware.io","ServeWare SocialHub")</f>
        <v>ServeWare SocialHub</v>
      </c>
      <c r="L1429" s="16">
        <v>365.0</v>
      </c>
      <c r="M1429" s="16">
        <v>346.0</v>
      </c>
      <c r="N1429" s="16">
        <v>21.0</v>
      </c>
      <c r="O1429" s="17"/>
      <c r="P1429" s="18">
        <v>39611.84752314815</v>
      </c>
      <c r="Q1429" s="1" t="s">
        <v>6720</v>
      </c>
      <c r="R1429" s="1" t="s">
        <v>6721</v>
      </c>
      <c r="S1429" s="13" t="s">
        <v>6722</v>
      </c>
      <c r="T1429" s="14"/>
      <c r="U1429" s="19" t="str">
        <f>HYPERLINK("https://pbs.twimg.com/profile_images/1054961601495867400/WhYHCci8.jpg","View")</f>
        <v>View</v>
      </c>
      <c r="V1429" s="14"/>
      <c r="W1429" s="14"/>
      <c r="X1429" s="14"/>
      <c r="Y1429" s="14"/>
      <c r="Z1429" s="14"/>
    </row>
    <row r="1430">
      <c r="A1430" s="11">
        <v>43845.54392361111</v>
      </c>
      <c r="B1430" s="12" t="str">
        <f>HYPERLINK("https://twitter.com/Curiosity_Hour","@Curiosity_Hour")</f>
        <v>@Curiosity_Hour</v>
      </c>
      <c r="C1430" s="1" t="s">
        <v>2456</v>
      </c>
      <c r="D1430" s="1" t="s">
        <v>6723</v>
      </c>
      <c r="E1430" s="12" t="str">
        <f>HYPERLINK("https://twitter.com/Curiosity_Hour/status/1217507553560682500","1217507553560682500")</f>
        <v>1217507553560682500</v>
      </c>
      <c r="F1430" s="13" t="s">
        <v>6724</v>
      </c>
      <c r="G1430" s="13" t="s">
        <v>6725</v>
      </c>
      <c r="H1430" s="14"/>
      <c r="I1430" s="15">
        <v>0.0</v>
      </c>
      <c r="J1430" s="15">
        <v>0.0</v>
      </c>
      <c r="K1430" s="12" t="str">
        <f t="shared" ref="K1430:K1431" si="139">HYPERLINK("https://mobile.twitter.com","Twitter Web App")</f>
        <v>Twitter Web App</v>
      </c>
      <c r="L1430" s="16">
        <v>208.0</v>
      </c>
      <c r="M1430" s="16">
        <v>524.0</v>
      </c>
      <c r="N1430" s="16">
        <v>4.0</v>
      </c>
      <c r="O1430" s="17"/>
      <c r="P1430" s="18">
        <v>42781.29787037037</v>
      </c>
      <c r="Q1430" s="14"/>
      <c r="R1430" s="1" t="s">
        <v>2460</v>
      </c>
      <c r="S1430" s="14"/>
      <c r="T1430" s="14"/>
      <c r="U1430" s="19" t="str">
        <f>HYPERLINK("https://pbs.twimg.com/profile_images/1034941312548532224/QkFXAAUV.jpg","View")</f>
        <v>View</v>
      </c>
      <c r="V1430" s="14"/>
      <c r="W1430" s="14"/>
      <c r="X1430" s="14"/>
      <c r="Y1430" s="14"/>
      <c r="Z1430" s="14"/>
    </row>
    <row r="1431">
      <c r="A1431" s="11">
        <v>43845.5434837963</v>
      </c>
      <c r="B1431" s="12" t="str">
        <f>HYPERLINK("https://twitter.com/EdiblesZz","@EdiblesZz")</f>
        <v>@EdiblesZz</v>
      </c>
      <c r="C1431" s="1" t="s">
        <v>111</v>
      </c>
      <c r="D1431" s="1" t="s">
        <v>6726</v>
      </c>
      <c r="E1431" s="12" t="str">
        <f>HYPERLINK("https://twitter.com/EdiblesZz/status/1217507395607441410","1217507395607441410")</f>
        <v>1217507395607441410</v>
      </c>
      <c r="F1431" s="13" t="s">
        <v>113</v>
      </c>
      <c r="G1431" s="13" t="s">
        <v>6727</v>
      </c>
      <c r="H1431" s="14"/>
      <c r="I1431" s="15">
        <v>0.0</v>
      </c>
      <c r="J1431" s="15">
        <v>1.0</v>
      </c>
      <c r="K1431" s="12" t="str">
        <f t="shared" si="139"/>
        <v>Twitter Web App</v>
      </c>
      <c r="L1431" s="16">
        <v>572.0</v>
      </c>
      <c r="M1431" s="16">
        <v>2994.0</v>
      </c>
      <c r="N1431" s="16">
        <v>0.0</v>
      </c>
      <c r="O1431" s="17"/>
      <c r="P1431" s="18">
        <v>43710.57782407408</v>
      </c>
      <c r="Q1431" s="1" t="s">
        <v>115</v>
      </c>
      <c r="R1431" s="1" t="s">
        <v>116</v>
      </c>
      <c r="S1431" s="13" t="s">
        <v>117</v>
      </c>
      <c r="T1431" s="14"/>
      <c r="U1431" s="19" t="str">
        <f>HYPERLINK("https://pbs.twimg.com/profile_images/1168582465058934785/vS2Yhnlj.jpg","View")</f>
        <v>View</v>
      </c>
      <c r="V1431" s="14"/>
      <c r="W1431" s="14"/>
      <c r="X1431" s="14"/>
      <c r="Y1431" s="14"/>
      <c r="Z1431" s="14"/>
    </row>
    <row r="1432">
      <c r="A1432" s="11">
        <v>43845.543078703704</v>
      </c>
      <c r="B1432" s="12" t="str">
        <f>HYPERLINK("https://twitter.com/WerADDICTED","@WerADDICTED")</f>
        <v>@WerADDICTED</v>
      </c>
      <c r="C1432" s="1" t="s">
        <v>6728</v>
      </c>
      <c r="D1432" s="1" t="s">
        <v>6729</v>
      </c>
      <c r="E1432" s="12" t="str">
        <f>HYPERLINK("https://twitter.com/WerADDICTED/status/1217507245862334470","1217507245862334470")</f>
        <v>1217507245862334470</v>
      </c>
      <c r="F1432" s="13" t="s">
        <v>6730</v>
      </c>
      <c r="G1432" s="14"/>
      <c r="H1432" s="14"/>
      <c r="I1432" s="15">
        <v>0.0</v>
      </c>
      <c r="J1432" s="15">
        <v>2.0</v>
      </c>
      <c r="K1432" s="12" t="str">
        <f>HYPERLINK("https://www.hootsuite.com","Hootsuite Inc.")</f>
        <v>Hootsuite Inc.</v>
      </c>
      <c r="L1432" s="16">
        <v>24868.0</v>
      </c>
      <c r="M1432" s="16">
        <v>5351.0</v>
      </c>
      <c r="N1432" s="16">
        <v>393.0</v>
      </c>
      <c r="O1432" s="17"/>
      <c r="P1432" s="18">
        <v>40087.01482638889</v>
      </c>
      <c r="Q1432" s="1" t="s">
        <v>2856</v>
      </c>
      <c r="R1432" s="1" t="s">
        <v>6731</v>
      </c>
      <c r="S1432" s="13" t="s">
        <v>6732</v>
      </c>
      <c r="T1432" s="14"/>
      <c r="U1432" s="19" t="str">
        <f>HYPERLINK("https://pbs.twimg.com/profile_images/1107488105890627584/0aaQqMv-.jpg","View")</f>
        <v>View</v>
      </c>
      <c r="V1432" s="14"/>
      <c r="W1432" s="14"/>
      <c r="X1432" s="14"/>
      <c r="Y1432" s="14"/>
      <c r="Z1432" s="14"/>
    </row>
    <row r="1433">
      <c r="A1433" s="11">
        <v>43845.542546296296</v>
      </c>
      <c r="B1433" s="12" t="str">
        <f>HYPERLINK("https://twitter.com/allhealthmatt","@allhealthmatt")</f>
        <v>@allhealthmatt</v>
      </c>
      <c r="C1433" s="1" t="s">
        <v>6733</v>
      </c>
      <c r="D1433" s="1" t="s">
        <v>6734</v>
      </c>
      <c r="E1433" s="12" t="str">
        <f>HYPERLINK("https://twitter.com/allhealthmatt/status/1217507054648266752","1217507054648266752")</f>
        <v>1217507054648266752</v>
      </c>
      <c r="F1433" s="13" t="s">
        <v>6735</v>
      </c>
      <c r="G1433" s="13" t="s">
        <v>6736</v>
      </c>
      <c r="H1433" s="14"/>
      <c r="I1433" s="15">
        <v>2.0</v>
      </c>
      <c r="J1433" s="15">
        <v>1.0</v>
      </c>
      <c r="K1433" s="12" t="str">
        <f>HYPERLINK("https://www.socialoomph.com","SocialOomph")</f>
        <v>SocialOomph</v>
      </c>
      <c r="L1433" s="16">
        <v>1487.0</v>
      </c>
      <c r="M1433" s="16">
        <v>2964.0</v>
      </c>
      <c r="N1433" s="16">
        <v>30.0</v>
      </c>
      <c r="O1433" s="17"/>
      <c r="P1433" s="18">
        <v>40757.74866898148</v>
      </c>
      <c r="Q1433" s="1" t="s">
        <v>6737</v>
      </c>
      <c r="R1433" s="1" t="s">
        <v>6738</v>
      </c>
      <c r="S1433" s="13" t="s">
        <v>6739</v>
      </c>
      <c r="T1433" s="14"/>
      <c r="U1433" s="19" t="str">
        <f>HYPERLINK("https://pbs.twimg.com/profile_images/576426889469820928/4VyoFAEW.png","View")</f>
        <v>View</v>
      </c>
      <c r="V1433" s="14"/>
      <c r="W1433" s="14"/>
      <c r="X1433" s="14"/>
      <c r="Y1433" s="14"/>
      <c r="Z1433" s="14"/>
    </row>
    <row r="1434">
      <c r="A1434" s="11">
        <v>43845.54237268519</v>
      </c>
      <c r="B1434" s="12" t="str">
        <f>HYPERLINK("https://twitter.com/NDSUExtFood","@NDSUExtFood")</f>
        <v>@NDSUExtFood</v>
      </c>
      <c r="C1434" s="1" t="s">
        <v>6740</v>
      </c>
      <c r="D1434" s="1" t="s">
        <v>6741</v>
      </c>
      <c r="E1434" s="12" t="str">
        <f>HYPERLINK("https://twitter.com/NDSUExtFood/status/1217506989942747136","1217506989942747136")</f>
        <v>1217506989942747136</v>
      </c>
      <c r="F1434" s="13" t="s">
        <v>6742</v>
      </c>
      <c r="G1434" s="13" t="s">
        <v>6743</v>
      </c>
      <c r="H1434" s="14"/>
      <c r="I1434" s="15">
        <v>0.0</v>
      </c>
      <c r="J1434" s="15">
        <v>0.0</v>
      </c>
      <c r="K1434" s="12" t="str">
        <f>HYPERLINK("https://www.hootsuite.com","Hootsuite Inc.")</f>
        <v>Hootsuite Inc.</v>
      </c>
      <c r="L1434" s="16">
        <v>239.0</v>
      </c>
      <c r="M1434" s="16">
        <v>122.0</v>
      </c>
      <c r="N1434" s="16">
        <v>12.0</v>
      </c>
      <c r="O1434" s="17"/>
      <c r="P1434" s="18">
        <v>41674.61096064815</v>
      </c>
      <c r="Q1434" s="1" t="s">
        <v>6744</v>
      </c>
      <c r="R1434" s="1" t="s">
        <v>6745</v>
      </c>
      <c r="S1434" s="13" t="s">
        <v>6746</v>
      </c>
      <c r="T1434" s="14"/>
      <c r="U1434" s="19" t="str">
        <f>HYPERLINK("https://pbs.twimg.com/profile_images/998986171408568320/3hmwRTkV.jpg","View")</f>
        <v>View</v>
      </c>
      <c r="V1434" s="14"/>
      <c r="W1434" s="14"/>
      <c r="X1434" s="14"/>
      <c r="Y1434" s="14"/>
      <c r="Z1434" s="14"/>
    </row>
    <row r="1435">
      <c r="A1435" s="11">
        <v>43845.54179398148</v>
      </c>
      <c r="B1435" s="12" t="str">
        <f>HYPERLINK("https://twitter.com/Treasure_Map","@Treasure_Map")</f>
        <v>@Treasure_Map</v>
      </c>
      <c r="C1435" s="1" t="s">
        <v>3914</v>
      </c>
      <c r="D1435" s="1" t="s">
        <v>6747</v>
      </c>
      <c r="E1435" s="12" t="str">
        <f>HYPERLINK("https://twitter.com/Treasure_Map/status/1217506782710464512","1217506782710464512")</f>
        <v>1217506782710464512</v>
      </c>
      <c r="F1435" s="13" t="s">
        <v>3916</v>
      </c>
      <c r="G1435" s="14"/>
      <c r="H1435" s="14"/>
      <c r="I1435" s="15">
        <v>0.0</v>
      </c>
      <c r="J1435" s="15">
        <v>1.0</v>
      </c>
      <c r="K1435" s="12" t="str">
        <f>HYPERLINK("https://www.socialoomph.com","SocialOomph")</f>
        <v>SocialOomph</v>
      </c>
      <c r="L1435" s="16">
        <v>19519.0</v>
      </c>
      <c r="M1435" s="16">
        <v>22599.0</v>
      </c>
      <c r="N1435" s="16">
        <v>412.0</v>
      </c>
      <c r="O1435" s="17"/>
      <c r="P1435" s="18">
        <v>40427.87326388889</v>
      </c>
      <c r="Q1435" s="1" t="s">
        <v>3917</v>
      </c>
      <c r="R1435" s="1" t="s">
        <v>3918</v>
      </c>
      <c r="S1435" s="14"/>
      <c r="T1435" s="14"/>
      <c r="U1435" s="19" t="str">
        <f>HYPERLINK("https://pbs.twimg.com/profile_images/1118774392/TwitterProfile.jpg","View")</f>
        <v>View</v>
      </c>
      <c r="V1435" s="14"/>
      <c r="W1435" s="14"/>
      <c r="X1435" s="14"/>
      <c r="Y1435" s="14"/>
      <c r="Z1435" s="14"/>
    </row>
    <row r="1436">
      <c r="A1436" s="11">
        <v>43845.54166666667</v>
      </c>
      <c r="B1436" s="12" t="str">
        <f>HYPERLINK("https://twitter.com/WeHearYouZA","@WeHearYouZA")</f>
        <v>@WeHearYouZA</v>
      </c>
      <c r="C1436" s="1" t="s">
        <v>2299</v>
      </c>
      <c r="D1436" s="1" t="s">
        <v>6748</v>
      </c>
      <c r="E1436" s="12" t="str">
        <f>HYPERLINK("https://twitter.com/WeHearYouZA/status/1217506734270447616","1217506734270447616")</f>
        <v>1217506734270447616</v>
      </c>
      <c r="F1436" s="14"/>
      <c r="G1436" s="13" t="s">
        <v>6749</v>
      </c>
      <c r="H1436" s="14"/>
      <c r="I1436" s="15">
        <v>1.0</v>
      </c>
      <c r="J1436" s="15">
        <v>1.0</v>
      </c>
      <c r="K1436" s="12" t="str">
        <f>HYPERLINK("https://about.twitter.com/products/tweetdeck","TweetDeck")</f>
        <v>TweetDeck</v>
      </c>
      <c r="L1436" s="16">
        <v>26.0</v>
      </c>
      <c r="M1436" s="16">
        <v>43.0</v>
      </c>
      <c r="N1436" s="16">
        <v>4.0</v>
      </c>
      <c r="O1436" s="17"/>
      <c r="P1436" s="18">
        <v>43661.22396990741</v>
      </c>
      <c r="Q1436" s="1" t="s">
        <v>2302</v>
      </c>
      <c r="R1436" s="1" t="s">
        <v>2303</v>
      </c>
      <c r="S1436" s="13" t="s">
        <v>2304</v>
      </c>
      <c r="T1436" s="14"/>
      <c r="U1436" s="19" t="str">
        <f>HYPERLINK("https://pbs.twimg.com/profile_images/1153562188415737856/1QVWKhWI.jpg","View")</f>
        <v>View</v>
      </c>
      <c r="V1436" s="14"/>
      <c r="W1436" s="14"/>
      <c r="X1436" s="14"/>
      <c r="Y1436" s="14"/>
      <c r="Z1436" s="14"/>
    </row>
    <row r="1437">
      <c r="A1437" s="11">
        <v>43845.54099537037</v>
      </c>
      <c r="B1437" s="12" t="str">
        <f>HYPERLINK("https://twitter.com/lissamcowan","@lissamcowan")</f>
        <v>@lissamcowan</v>
      </c>
      <c r="C1437" s="1" t="s">
        <v>6750</v>
      </c>
      <c r="D1437" s="1" t="s">
        <v>6751</v>
      </c>
      <c r="E1437" s="12" t="str">
        <f>HYPERLINK("https://twitter.com/lissamcowan/status/1217506490468057089","1217506490468057089")</f>
        <v>1217506490468057089</v>
      </c>
      <c r="F1437" s="13" t="s">
        <v>6752</v>
      </c>
      <c r="G1437" s="14"/>
      <c r="H1437" s="14"/>
      <c r="I1437" s="15">
        <v>0.0</v>
      </c>
      <c r="J1437" s="15">
        <v>0.0</v>
      </c>
      <c r="K1437" s="12" t="str">
        <f>HYPERLINK("http://twitter.com","Twitter Web Client")</f>
        <v>Twitter Web Client</v>
      </c>
      <c r="L1437" s="16">
        <v>4046.0</v>
      </c>
      <c r="M1437" s="16">
        <v>4332.0</v>
      </c>
      <c r="N1437" s="16">
        <v>137.0</v>
      </c>
      <c r="O1437" s="17"/>
      <c r="P1437" s="18">
        <v>39539.11503472222</v>
      </c>
      <c r="Q1437" s="1" t="s">
        <v>6753</v>
      </c>
      <c r="R1437" s="1" t="s">
        <v>6754</v>
      </c>
      <c r="S1437" s="13" t="s">
        <v>6755</v>
      </c>
      <c r="T1437" s="14"/>
      <c r="U1437" s="19" t="str">
        <f>HYPERLINK("https://pbs.twimg.com/profile_images/1102633188298375168/SOL-8vZ5.png","View")</f>
        <v>View</v>
      </c>
      <c r="V1437" s="14"/>
      <c r="W1437" s="14"/>
      <c r="X1437" s="14"/>
      <c r="Y1437" s="14"/>
      <c r="Z1437" s="14"/>
    </row>
    <row r="1438">
      <c r="A1438" s="11">
        <v>43845.54090277778</v>
      </c>
      <c r="B1438" s="12" t="str">
        <f>HYPERLINK("https://twitter.com/TLinsdau","@TLinsdau")</f>
        <v>@TLinsdau</v>
      </c>
      <c r="C1438" s="1" t="s">
        <v>2394</v>
      </c>
      <c r="D1438" s="1" t="s">
        <v>6756</v>
      </c>
      <c r="E1438" s="12" t="str">
        <f>HYPERLINK("https://twitter.com/TLinsdau/status/1217506457714708480","1217506457714708480")</f>
        <v>1217506457714708480</v>
      </c>
      <c r="F1438" s="13" t="s">
        <v>6757</v>
      </c>
      <c r="G1438" s="14"/>
      <c r="H1438" s="14"/>
      <c r="I1438" s="15">
        <v>0.0</v>
      </c>
      <c r="J1438" s="15">
        <v>1.0</v>
      </c>
      <c r="K1438" s="12" t="str">
        <f t="shared" ref="K1438:K1440" si="140">HYPERLINK("https://mobile.twitter.com","Twitter Web App")</f>
        <v>Twitter Web App</v>
      </c>
      <c r="L1438" s="16">
        <v>10.0</v>
      </c>
      <c r="M1438" s="16">
        <v>13.0</v>
      </c>
      <c r="N1438" s="16">
        <v>0.0</v>
      </c>
      <c r="O1438" s="17"/>
      <c r="P1438" s="18">
        <v>41140.749548611115</v>
      </c>
      <c r="Q1438" s="1" t="s">
        <v>2397</v>
      </c>
      <c r="R1438" s="1" t="s">
        <v>2398</v>
      </c>
      <c r="S1438" s="13" t="s">
        <v>2399</v>
      </c>
      <c r="T1438" s="14"/>
      <c r="U1438" s="19" t="str">
        <f>HYPERLINK("https://pbs.twimg.com/profile_images/2522347628/Tim-Biz-Photo-web.jpg","View")</f>
        <v>View</v>
      </c>
      <c r="V1438" s="14"/>
      <c r="W1438" s="14"/>
      <c r="X1438" s="14"/>
      <c r="Y1438" s="14"/>
      <c r="Z1438" s="14"/>
    </row>
    <row r="1439">
      <c r="A1439" s="11">
        <v>43845.54072916666</v>
      </c>
      <c r="B1439" s="12" t="str">
        <f>HYPERLINK("https://twitter.com/Ka_Heil","@Ka_Heil")</f>
        <v>@Ka_Heil</v>
      </c>
      <c r="C1439" s="1" t="s">
        <v>6758</v>
      </c>
      <c r="D1439" s="1" t="s">
        <v>6759</v>
      </c>
      <c r="E1439" s="12" t="str">
        <f>HYPERLINK("https://twitter.com/Ka_Heil/status/1217506396192870400","1217506396192870400")</f>
        <v>1217506396192870400</v>
      </c>
      <c r="F1439" s="14"/>
      <c r="G1439" s="13" t="s">
        <v>6760</v>
      </c>
      <c r="H1439" s="14"/>
      <c r="I1439" s="15">
        <v>5.0</v>
      </c>
      <c r="J1439" s="15">
        <v>13.0</v>
      </c>
      <c r="K1439" s="12" t="str">
        <f t="shared" si="140"/>
        <v>Twitter Web App</v>
      </c>
      <c r="L1439" s="16">
        <v>153.0</v>
      </c>
      <c r="M1439" s="16">
        <v>165.0</v>
      </c>
      <c r="N1439" s="16">
        <v>1.0</v>
      </c>
      <c r="O1439" s="17"/>
      <c r="P1439" s="18">
        <v>41501.4159375</v>
      </c>
      <c r="Q1439" s="1" t="s">
        <v>6761</v>
      </c>
      <c r="R1439" s="1" t="s">
        <v>6762</v>
      </c>
      <c r="S1439" s="14"/>
      <c r="T1439" s="14"/>
      <c r="U1439" s="19" t="str">
        <f>HYPERLINK("https://pbs.twimg.com/profile_images/1146317958840487936/7DGRNIlc.png","View")</f>
        <v>View</v>
      </c>
      <c r="V1439" s="14"/>
      <c r="W1439" s="14"/>
      <c r="X1439" s="14"/>
      <c r="Y1439" s="14"/>
      <c r="Z1439" s="14"/>
    </row>
    <row r="1440">
      <c r="A1440" s="11">
        <v>43845.53945601852</v>
      </c>
      <c r="B1440" s="12" t="str">
        <f>HYPERLINK("https://twitter.com/PsychotherPsych","@PsychotherPsych")</f>
        <v>@PsychotherPsych</v>
      </c>
      <c r="C1440" s="1" t="s">
        <v>6763</v>
      </c>
      <c r="D1440" s="1" t="s">
        <v>6764</v>
      </c>
      <c r="E1440" s="12" t="str">
        <f>HYPERLINK("https://twitter.com/PsychotherPsych/status/1217505932659380225","1217505932659380225")</f>
        <v>1217505932659380225</v>
      </c>
      <c r="F1440" s="13" t="s">
        <v>6765</v>
      </c>
      <c r="G1440" s="13" t="s">
        <v>6766</v>
      </c>
      <c r="H1440" s="14"/>
      <c r="I1440" s="15">
        <v>0.0</v>
      </c>
      <c r="J1440" s="15">
        <v>0.0</v>
      </c>
      <c r="K1440" s="12" t="str">
        <f t="shared" si="140"/>
        <v>Twitter Web App</v>
      </c>
      <c r="L1440" s="16">
        <v>236.0</v>
      </c>
      <c r="M1440" s="16">
        <v>70.0</v>
      </c>
      <c r="N1440" s="16">
        <v>3.0</v>
      </c>
      <c r="O1440" s="17"/>
      <c r="P1440" s="18">
        <v>41432.23684027778</v>
      </c>
      <c r="Q1440" s="14"/>
      <c r="R1440" s="1" t="s">
        <v>6767</v>
      </c>
      <c r="S1440" s="13" t="s">
        <v>6768</v>
      </c>
      <c r="T1440" s="14"/>
      <c r="U1440" s="19" t="str">
        <f>HYPERLINK("https://pbs.twimg.com/profile_images/928401639458922496/PMkOJHwh.jpg","View")</f>
        <v>View</v>
      </c>
      <c r="V1440" s="14"/>
      <c r="W1440" s="14"/>
      <c r="X1440" s="14"/>
      <c r="Y1440" s="14"/>
      <c r="Z1440" s="14"/>
    </row>
    <row r="1441">
      <c r="A1441" s="11">
        <v>43845.53769675926</v>
      </c>
      <c r="B1441" s="12" t="str">
        <f>HYPERLINK("https://twitter.com/Charllouford","@Charllouford")</f>
        <v>@Charllouford</v>
      </c>
      <c r="C1441" s="1" t="s">
        <v>6769</v>
      </c>
      <c r="D1441" s="1" t="s">
        <v>6770</v>
      </c>
      <c r="E1441" s="12" t="str">
        <f>HYPERLINK("https://twitter.com/Charllouford/status/1217505294558908416","1217505294558908416")</f>
        <v>1217505294558908416</v>
      </c>
      <c r="F1441" s="14"/>
      <c r="G1441" s="13" t="s">
        <v>6771</v>
      </c>
      <c r="H1441" s="14"/>
      <c r="I1441" s="15">
        <v>0.0</v>
      </c>
      <c r="J1441" s="15">
        <v>0.0</v>
      </c>
      <c r="K1441" s="12" t="str">
        <f>HYPERLINK("http://twitter.com/download/iphone","Twitter for iPhone")</f>
        <v>Twitter for iPhone</v>
      </c>
      <c r="L1441" s="16">
        <v>112.0</v>
      </c>
      <c r="M1441" s="16">
        <v>229.0</v>
      </c>
      <c r="N1441" s="16">
        <v>8.0</v>
      </c>
      <c r="O1441" s="17"/>
      <c r="P1441" s="18">
        <v>42546.32981481482</v>
      </c>
      <c r="Q1441" s="1" t="s">
        <v>6772</v>
      </c>
      <c r="R1441" s="1" t="s">
        <v>6773</v>
      </c>
      <c r="S1441" s="13" t="s">
        <v>6774</v>
      </c>
      <c r="T1441" s="14"/>
      <c r="U1441" s="19" t="str">
        <f>HYPERLINK("https://pbs.twimg.com/profile_images/1205147441059835904/ft9gHkzb.jpg","View")</f>
        <v>View</v>
      </c>
      <c r="V1441" s="14"/>
      <c r="W1441" s="14"/>
      <c r="X1441" s="14"/>
      <c r="Y1441" s="14"/>
      <c r="Z1441" s="14"/>
    </row>
    <row r="1442">
      <c r="A1442" s="11">
        <v>43845.534780092596</v>
      </c>
      <c r="B1442" s="12" t="str">
        <f>HYPERLINK("https://twitter.com/GabrielConstans","@GabrielConstans")</f>
        <v>@GabrielConstans</v>
      </c>
      <c r="C1442" s="1" t="s">
        <v>6775</v>
      </c>
      <c r="D1442" s="1" t="s">
        <v>6776</v>
      </c>
      <c r="E1442" s="12" t="str">
        <f>HYPERLINK("https://twitter.com/GabrielConstans/status/1217504240349745152","1217504240349745152")</f>
        <v>1217504240349745152</v>
      </c>
      <c r="F1442" s="13" t="s">
        <v>6777</v>
      </c>
      <c r="G1442" s="13" t="s">
        <v>6778</v>
      </c>
      <c r="H1442" s="14"/>
      <c r="I1442" s="15">
        <v>102.0</v>
      </c>
      <c r="J1442" s="15">
        <v>57.0</v>
      </c>
      <c r="K1442" s="12" t="str">
        <f t="shared" ref="K1442:K1444" si="141">HYPERLINK("https://mobile.twitter.com","Twitter Web App")</f>
        <v>Twitter Web App</v>
      </c>
      <c r="L1442" s="16">
        <v>21053.0</v>
      </c>
      <c r="M1442" s="16">
        <v>21078.0</v>
      </c>
      <c r="N1442" s="16">
        <v>802.0</v>
      </c>
      <c r="O1442" s="17"/>
      <c r="P1442" s="18">
        <v>39910.957708333335</v>
      </c>
      <c r="Q1442" s="1" t="s">
        <v>521</v>
      </c>
      <c r="R1442" s="1" t="s">
        <v>6779</v>
      </c>
      <c r="S1442" s="13" t="s">
        <v>6780</v>
      </c>
      <c r="T1442" s="14"/>
      <c r="U1442" s="19" t="str">
        <f>HYPERLINK("https://pbs.twimg.com/profile_images/508717471864344576/zXaOs8W2.png","View")</f>
        <v>View</v>
      </c>
      <c r="V1442" s="14"/>
      <c r="W1442" s="14"/>
      <c r="X1442" s="14"/>
      <c r="Y1442" s="14"/>
      <c r="Z1442" s="14"/>
    </row>
    <row r="1443">
      <c r="A1443" s="11">
        <v>43845.53298611111</v>
      </c>
      <c r="B1443" s="12" t="str">
        <f>HYPERLINK("https://twitter.com/yatinjpatel","@yatinjpatel")</f>
        <v>@yatinjpatel</v>
      </c>
      <c r="C1443" s="1" t="s">
        <v>3897</v>
      </c>
      <c r="D1443" s="1" t="s">
        <v>6781</v>
      </c>
      <c r="E1443" s="12" t="str">
        <f>HYPERLINK("https://twitter.com/yatinjpatel/status/1217503589641392128","1217503589641392128")</f>
        <v>1217503589641392128</v>
      </c>
      <c r="F1443" s="13" t="s">
        <v>3899</v>
      </c>
      <c r="G1443" s="14"/>
      <c r="H1443" s="14"/>
      <c r="I1443" s="15">
        <v>0.0</v>
      </c>
      <c r="J1443" s="15">
        <v>1.0</v>
      </c>
      <c r="K1443" s="12" t="str">
        <f t="shared" si="141"/>
        <v>Twitter Web App</v>
      </c>
      <c r="L1443" s="16">
        <v>23081.0</v>
      </c>
      <c r="M1443" s="16">
        <v>5660.0</v>
      </c>
      <c r="N1443" s="16">
        <v>124.0</v>
      </c>
      <c r="O1443" s="17"/>
      <c r="P1443" s="18">
        <v>39880.04207175926</v>
      </c>
      <c r="Q1443" s="1" t="s">
        <v>3900</v>
      </c>
      <c r="R1443" s="1" t="s">
        <v>3901</v>
      </c>
      <c r="S1443" s="13" t="s">
        <v>3902</v>
      </c>
      <c r="T1443" s="14"/>
      <c r="U1443" s="19" t="str">
        <f>HYPERLINK("https://pbs.twimg.com/profile_images/792429460825972736/WgoEyZ2q.jpg","View")</f>
        <v>View</v>
      </c>
      <c r="V1443" s="14"/>
      <c r="W1443" s="14"/>
      <c r="X1443" s="14"/>
      <c r="Y1443" s="14"/>
      <c r="Z1443" s="14"/>
    </row>
    <row r="1444">
      <c r="A1444" s="11">
        <v>43845.53282407408</v>
      </c>
      <c r="B1444" s="12" t="str">
        <f>HYPERLINK("https://twitter.com/WellnessPurpos1","@WellnessPurpos1")</f>
        <v>@WellnessPurpos1</v>
      </c>
      <c r="C1444" s="1" t="s">
        <v>6782</v>
      </c>
      <c r="D1444" s="1" t="s">
        <v>6783</v>
      </c>
      <c r="E1444" s="12" t="str">
        <f>HYPERLINK("https://twitter.com/WellnessPurpos1/status/1217503530757632000","1217503530757632000")</f>
        <v>1217503530757632000</v>
      </c>
      <c r="F1444" s="14"/>
      <c r="G1444" s="13" t="s">
        <v>6784</v>
      </c>
      <c r="H1444" s="14"/>
      <c r="I1444" s="15">
        <v>0.0</v>
      </c>
      <c r="J1444" s="15">
        <v>2.0</v>
      </c>
      <c r="K1444" s="12" t="str">
        <f t="shared" si="141"/>
        <v>Twitter Web App</v>
      </c>
      <c r="L1444" s="16">
        <v>1.0</v>
      </c>
      <c r="M1444" s="16">
        <v>5.0</v>
      </c>
      <c r="N1444" s="16">
        <v>0.0</v>
      </c>
      <c r="O1444" s="17"/>
      <c r="P1444" s="18">
        <v>43830.348703703705</v>
      </c>
      <c r="Q1444" s="14"/>
      <c r="R1444" s="1" t="s">
        <v>6785</v>
      </c>
      <c r="S1444" s="14"/>
      <c r="T1444" s="14"/>
      <c r="U1444" s="19" t="str">
        <f>HYPERLINK("https://pbs.twimg.com/profile_images/1212001230848962565/VBZBtXll.jpg","View")</f>
        <v>View</v>
      </c>
      <c r="V1444" s="14"/>
      <c r="W1444" s="14"/>
      <c r="X1444" s="14"/>
      <c r="Y1444" s="14"/>
      <c r="Z1444" s="14"/>
    </row>
    <row r="1445">
      <c r="A1445" s="11">
        <v>43845.532696759255</v>
      </c>
      <c r="B1445" s="12" t="str">
        <f>HYPERLINK("https://twitter.com/cieronduggan12","@cieronduggan12")</f>
        <v>@cieronduggan12</v>
      </c>
      <c r="C1445" s="1" t="s">
        <v>6786</v>
      </c>
      <c r="D1445" s="1" t="s">
        <v>6787</v>
      </c>
      <c r="E1445" s="12" t="str">
        <f>HYPERLINK("https://twitter.com/cieronduggan12/status/1217503483898814464","1217503483898814464")</f>
        <v>1217503483898814464</v>
      </c>
      <c r="F1445" s="14"/>
      <c r="G1445" s="14"/>
      <c r="H1445" s="14"/>
      <c r="I1445" s="15">
        <v>0.0</v>
      </c>
      <c r="J1445" s="15">
        <v>0.0</v>
      </c>
      <c r="K1445" s="12" t="str">
        <f>HYPERLINK("http://www.facebook.com/twitter","Facebook")</f>
        <v>Facebook</v>
      </c>
      <c r="L1445" s="16">
        <v>437.0</v>
      </c>
      <c r="M1445" s="16">
        <v>486.0</v>
      </c>
      <c r="N1445" s="16">
        <v>12.0</v>
      </c>
      <c r="O1445" s="17"/>
      <c r="P1445" s="18">
        <v>40934.28585648148</v>
      </c>
      <c r="Q1445" s="1" t="s">
        <v>6788</v>
      </c>
      <c r="R1445" s="1" t="s">
        <v>6789</v>
      </c>
      <c r="S1445" s="13" t="s">
        <v>6790</v>
      </c>
      <c r="T1445" s="14"/>
      <c r="U1445" s="19" t="str">
        <f>HYPERLINK("https://pbs.twimg.com/profile_images/965005913475223552/WQelm-iq.jpg","View")</f>
        <v>View</v>
      </c>
      <c r="V1445" s="14"/>
      <c r="W1445" s="14"/>
      <c r="X1445" s="14"/>
      <c r="Y1445" s="14"/>
      <c r="Z1445" s="14"/>
    </row>
    <row r="1446">
      <c r="A1446" s="11">
        <v>43845.52957175926</v>
      </c>
      <c r="B1446" s="12" t="str">
        <f>HYPERLINK("https://twitter.com/BigBsBrilliance","@BigBsBrilliance")</f>
        <v>@BigBsBrilliance</v>
      </c>
      <c r="C1446" s="1" t="s">
        <v>6791</v>
      </c>
      <c r="D1446" s="1" t="s">
        <v>6792</v>
      </c>
      <c r="E1446" s="12" t="str">
        <f>HYPERLINK("https://twitter.com/BigBsBrilliance/status/1217502350107127810","1217502350107127810")</f>
        <v>1217502350107127810</v>
      </c>
      <c r="F1446" s="13" t="s">
        <v>6793</v>
      </c>
      <c r="G1446" s="14"/>
      <c r="H1446" s="14"/>
      <c r="I1446" s="15">
        <v>0.0</v>
      </c>
      <c r="J1446" s="15">
        <v>0.0</v>
      </c>
      <c r="K1446" s="12" t="str">
        <f>HYPERLINK("https://mobile.twitter.com","Twitter Web App")</f>
        <v>Twitter Web App</v>
      </c>
      <c r="L1446" s="16">
        <v>1884.0</v>
      </c>
      <c r="M1446" s="16">
        <v>994.0</v>
      </c>
      <c r="N1446" s="16">
        <v>58.0</v>
      </c>
      <c r="O1446" s="17"/>
      <c r="P1446" s="18">
        <v>40255.47966435185</v>
      </c>
      <c r="Q1446" s="1" t="s">
        <v>6794</v>
      </c>
      <c r="R1446" s="1" t="s">
        <v>6795</v>
      </c>
      <c r="S1446" s="13" t="s">
        <v>6796</v>
      </c>
      <c r="T1446" s="14"/>
      <c r="U1446" s="19" t="str">
        <f>HYPERLINK("https://pbs.twimg.com/profile_images/1123784505477804034/jDRRb3Sw.jpg","View")</f>
        <v>View</v>
      </c>
      <c r="V1446" s="14"/>
      <c r="W1446" s="14"/>
      <c r="X1446" s="14"/>
      <c r="Y1446" s="14"/>
      <c r="Z1446" s="14"/>
    </row>
    <row r="1447">
      <c r="A1447" s="11">
        <v>43845.5243287037</v>
      </c>
      <c r="B1447" s="12" t="str">
        <f>HYPERLINK("https://twitter.com/Enlivenhemp","@Enlivenhemp")</f>
        <v>@Enlivenhemp</v>
      </c>
      <c r="C1447" s="1" t="s">
        <v>6797</v>
      </c>
      <c r="D1447" s="1" t="s">
        <v>5329</v>
      </c>
      <c r="E1447" s="12" t="str">
        <f>HYPERLINK("https://twitter.com/Enlivenhemp/status/1217500452792696833","1217500452792696833")</f>
        <v>1217500452792696833</v>
      </c>
      <c r="F1447" s="13" t="s">
        <v>5330</v>
      </c>
      <c r="G1447" s="13" t="s">
        <v>6798</v>
      </c>
      <c r="H1447" s="14"/>
      <c r="I1447" s="15">
        <v>0.0</v>
      </c>
      <c r="J1447" s="15">
        <v>2.0</v>
      </c>
      <c r="K1447" s="12" t="str">
        <f>HYPERLINK("https://buffer.com","Buffer")</f>
        <v>Buffer</v>
      </c>
      <c r="L1447" s="16">
        <v>1020.0</v>
      </c>
      <c r="M1447" s="16">
        <v>954.0</v>
      </c>
      <c r="N1447" s="16">
        <v>8.0</v>
      </c>
      <c r="O1447" s="17"/>
      <c r="P1447" s="18">
        <v>42448.61918981481</v>
      </c>
      <c r="Q1447" s="1" t="s">
        <v>6799</v>
      </c>
      <c r="R1447" s="1" t="s">
        <v>6800</v>
      </c>
      <c r="S1447" s="13" t="s">
        <v>6801</v>
      </c>
      <c r="T1447" s="14"/>
      <c r="U1447" s="19" t="str">
        <f>HYPERLINK("https://pbs.twimg.com/profile_images/988261572345769984/L8M8haiF.jpg","View")</f>
        <v>View</v>
      </c>
      <c r="V1447" s="14"/>
      <c r="W1447" s="14"/>
      <c r="X1447" s="14"/>
      <c r="Y1447" s="14"/>
      <c r="Z1447" s="14"/>
    </row>
    <row r="1448">
      <c r="A1448" s="11">
        <v>43845.52232638889</v>
      </c>
      <c r="B1448" s="12" t="str">
        <f>HYPERLINK("https://twitter.com/jessbwr8","@jessbwr8")</f>
        <v>@jessbwr8</v>
      </c>
      <c r="C1448" s="1" t="s">
        <v>6802</v>
      </c>
      <c r="D1448" s="1" t="s">
        <v>6803</v>
      </c>
      <c r="E1448" s="12" t="str">
        <f>HYPERLINK("https://twitter.com/jessbwr8/status/1217499726330892288","1217499726330892288")</f>
        <v>1217499726330892288</v>
      </c>
      <c r="F1448" s="14"/>
      <c r="G1448" s="13" t="s">
        <v>6804</v>
      </c>
      <c r="H1448" s="14"/>
      <c r="I1448" s="15">
        <v>0.0</v>
      </c>
      <c r="J1448" s="15">
        <v>0.0</v>
      </c>
      <c r="K1448" s="12" t="str">
        <f>HYPERLINK("http://twitter.com/download/iphone","Twitter for iPhone")</f>
        <v>Twitter for iPhone</v>
      </c>
      <c r="L1448" s="16">
        <v>1162.0</v>
      </c>
      <c r="M1448" s="16">
        <v>206.0</v>
      </c>
      <c r="N1448" s="16">
        <v>4.0</v>
      </c>
      <c r="O1448" s="17"/>
      <c r="P1448" s="18">
        <v>40620.482303240744</v>
      </c>
      <c r="Q1448" s="1" t="s">
        <v>6805</v>
      </c>
      <c r="R1448" s="1" t="s">
        <v>6806</v>
      </c>
      <c r="S1448" s="13" t="s">
        <v>6807</v>
      </c>
      <c r="T1448" s="14"/>
      <c r="U1448" s="19" t="str">
        <f>HYPERLINK("https://pbs.twimg.com/profile_images/1188821946995281920/pW5NuvIS.jpg","View")</f>
        <v>View</v>
      </c>
      <c r="V1448" s="14"/>
      <c r="W1448" s="14"/>
      <c r="X1448" s="14"/>
      <c r="Y1448" s="14"/>
      <c r="Z1448" s="14"/>
    </row>
    <row r="1449">
      <c r="A1449" s="11">
        <v>43845.522245370375</v>
      </c>
      <c r="B1449" s="12" t="str">
        <f>HYPERLINK("https://twitter.com/fiqueligado_BR","@fiqueligado_BR")</f>
        <v>@fiqueligado_BR</v>
      </c>
      <c r="C1449" s="1" t="s">
        <v>6808</v>
      </c>
      <c r="D1449" s="1" t="s">
        <v>6331</v>
      </c>
      <c r="E1449" s="12" t="str">
        <f>HYPERLINK("https://twitter.com/fiqueligado_BR/status/1217499695091679233","1217499695091679233")</f>
        <v>1217499695091679233</v>
      </c>
      <c r="F1449" s="13" t="s">
        <v>6809</v>
      </c>
      <c r="G1449" s="13" t="s">
        <v>6810</v>
      </c>
      <c r="H1449" s="14"/>
      <c r="I1449" s="15">
        <v>0.0</v>
      </c>
      <c r="J1449" s="15">
        <v>0.0</v>
      </c>
      <c r="K1449" s="12" t="str">
        <f>HYPERLINK("https://buffer.com","Buffer")</f>
        <v>Buffer</v>
      </c>
      <c r="L1449" s="16">
        <v>8.0</v>
      </c>
      <c r="M1449" s="16">
        <v>0.0</v>
      </c>
      <c r="N1449" s="16">
        <v>0.0</v>
      </c>
      <c r="O1449" s="17"/>
      <c r="P1449" s="18">
        <v>43363.68032407407</v>
      </c>
      <c r="Q1449" s="14"/>
      <c r="R1449" s="14"/>
      <c r="S1449" s="14"/>
      <c r="T1449" s="14"/>
      <c r="U1449" s="19" t="str">
        <f>HYPERLINK("https://pbs.twimg.com/profile_images/1043190113981935618/bv3euVZf.jpg","View")</f>
        <v>View</v>
      </c>
      <c r="V1449" s="14"/>
      <c r="W1449" s="14"/>
      <c r="X1449" s="14"/>
      <c r="Y1449" s="14"/>
      <c r="Z1449" s="14"/>
    </row>
    <row r="1450">
      <c r="A1450" s="11">
        <v>43845.52024305555</v>
      </c>
      <c r="B1450" s="12" t="str">
        <f>HYPERLINK("https://twitter.com/BatterseMassage","@BatterseMassage")</f>
        <v>@BatterseMassage</v>
      </c>
      <c r="C1450" s="1" t="s">
        <v>6811</v>
      </c>
      <c r="D1450" s="1" t="s">
        <v>6812</v>
      </c>
      <c r="E1450" s="12" t="str">
        <f>HYPERLINK("https://twitter.com/BatterseMassage/status/1217498970265657349","1217498970265657349")</f>
        <v>1217498970265657349</v>
      </c>
      <c r="F1450" s="14"/>
      <c r="G1450" s="13" t="s">
        <v>6813</v>
      </c>
      <c r="H1450" s="14"/>
      <c r="I1450" s="15">
        <v>0.0</v>
      </c>
      <c r="J1450" s="15">
        <v>1.0</v>
      </c>
      <c r="K1450" s="12" t="str">
        <f>HYPERLINK("http://twitter.com/download/android","Twitter for Android")</f>
        <v>Twitter for Android</v>
      </c>
      <c r="L1450" s="16">
        <v>13.0</v>
      </c>
      <c r="M1450" s="16">
        <v>35.0</v>
      </c>
      <c r="N1450" s="16">
        <v>0.0</v>
      </c>
      <c r="O1450" s="17"/>
      <c r="P1450" s="18">
        <v>43534.45296296296</v>
      </c>
      <c r="Q1450" s="1" t="s">
        <v>268</v>
      </c>
      <c r="R1450" s="1" t="s">
        <v>6814</v>
      </c>
      <c r="S1450" s="13" t="s">
        <v>6815</v>
      </c>
      <c r="T1450" s="14"/>
      <c r="U1450" s="19" t="str">
        <f>HYPERLINK("https://pbs.twimg.com/profile_images/1104758372396658688/DygZcLR6.jpg","View")</f>
        <v>View</v>
      </c>
      <c r="V1450" s="14"/>
      <c r="W1450" s="14"/>
      <c r="X1450" s="14"/>
      <c r="Y1450" s="14"/>
      <c r="Z1450" s="14"/>
    </row>
    <row r="1451">
      <c r="A1451" s="11">
        <v>43845.5174074074</v>
      </c>
      <c r="B1451" s="12" t="str">
        <f>HYPERLINK("https://twitter.com/RuthLRandall","@RuthLRandall")</f>
        <v>@RuthLRandall</v>
      </c>
      <c r="C1451" s="1" t="s">
        <v>6816</v>
      </c>
      <c r="D1451" s="1" t="s">
        <v>6817</v>
      </c>
      <c r="E1451" s="12" t="str">
        <f>HYPERLINK("https://twitter.com/RuthLRandall/status/1217497943881781248","1217497943881781248")</f>
        <v>1217497943881781248</v>
      </c>
      <c r="F1451" s="13" t="s">
        <v>6818</v>
      </c>
      <c r="G1451" s="13" t="s">
        <v>6819</v>
      </c>
      <c r="H1451" s="14"/>
      <c r="I1451" s="15">
        <v>0.0</v>
      </c>
      <c r="J1451" s="15">
        <v>0.0</v>
      </c>
      <c r="K1451" s="12" t="str">
        <f>HYPERLINK("https://buffer.com","Buffer")</f>
        <v>Buffer</v>
      </c>
      <c r="L1451" s="16">
        <v>1436.0</v>
      </c>
      <c r="M1451" s="16">
        <v>520.0</v>
      </c>
      <c r="N1451" s="16">
        <v>70.0</v>
      </c>
      <c r="O1451" s="17"/>
      <c r="P1451" s="18">
        <v>41286.73605324074</v>
      </c>
      <c r="Q1451" s="1" t="s">
        <v>6820</v>
      </c>
      <c r="R1451" s="1" t="s">
        <v>6821</v>
      </c>
      <c r="S1451" s="13" t="s">
        <v>6822</v>
      </c>
      <c r="T1451" s="14"/>
      <c r="U1451" s="19" t="str">
        <f>HYPERLINK("https://pbs.twimg.com/profile_images/1113875416236818433/-zI83n8e.png","View")</f>
        <v>View</v>
      </c>
      <c r="V1451" s="14"/>
      <c r="W1451" s="14"/>
      <c r="X1451" s="14"/>
      <c r="Y1451" s="14"/>
      <c r="Z1451" s="14"/>
    </row>
    <row r="1452">
      <c r="A1452" s="11">
        <v>43845.514375</v>
      </c>
      <c r="B1452" s="12" t="str">
        <f>HYPERLINK("https://twitter.com/DMANfame","@DMANfame")</f>
        <v>@DMANfame</v>
      </c>
      <c r="C1452" s="1" t="s">
        <v>6823</v>
      </c>
      <c r="D1452" s="1" t="s">
        <v>6824</v>
      </c>
      <c r="E1452" s="12" t="str">
        <f>HYPERLINK("https://twitter.com/DMANfame/status/1217496845712101378","1217496845712101378")</f>
        <v>1217496845712101378</v>
      </c>
      <c r="F1452" s="14"/>
      <c r="G1452" s="13" t="s">
        <v>6825</v>
      </c>
      <c r="H1452" s="14"/>
      <c r="I1452" s="15">
        <v>0.0</v>
      </c>
      <c r="J1452" s="15">
        <v>0.0</v>
      </c>
      <c r="K1452" s="12" t="str">
        <f>HYPERLINK("http://twitter.com/download/iphone","Twitter for iPhone")</f>
        <v>Twitter for iPhone</v>
      </c>
      <c r="L1452" s="16">
        <v>1550.0</v>
      </c>
      <c r="M1452" s="16">
        <v>189.0</v>
      </c>
      <c r="N1452" s="16">
        <v>47.0</v>
      </c>
      <c r="O1452" s="17"/>
      <c r="P1452" s="18">
        <v>40442.173622685186</v>
      </c>
      <c r="Q1452" s="1" t="s">
        <v>6826</v>
      </c>
      <c r="R1452" s="1" t="s">
        <v>6827</v>
      </c>
      <c r="S1452" s="14"/>
      <c r="T1452" s="14"/>
      <c r="U1452" s="19" t="str">
        <f>HYPERLINK("https://pbs.twimg.com/profile_images/1201492788585492480/u5bZ2fYA.jpg","View")</f>
        <v>View</v>
      </c>
      <c r="V1452" s="14"/>
      <c r="W1452" s="14"/>
      <c r="X1452" s="14"/>
      <c r="Y1452" s="14"/>
      <c r="Z1452" s="14"/>
    </row>
    <row r="1453">
      <c r="A1453" s="11">
        <v>43845.51402777778</v>
      </c>
      <c r="B1453" s="12" t="str">
        <f>HYPERLINK("https://twitter.com/LeadStartBook","@LeadStartBook")</f>
        <v>@LeadStartBook</v>
      </c>
      <c r="C1453" s="1" t="s">
        <v>6828</v>
      </c>
      <c r="D1453" s="1" t="s">
        <v>6829</v>
      </c>
      <c r="E1453" s="12" t="str">
        <f>HYPERLINK("https://twitter.com/LeadStartBook/status/1217496717534339072","1217496717534339072")</f>
        <v>1217496717534339072</v>
      </c>
      <c r="F1453" s="13" t="s">
        <v>6830</v>
      </c>
      <c r="G1453" s="14"/>
      <c r="H1453" s="14"/>
      <c r="I1453" s="15">
        <v>0.0</v>
      </c>
      <c r="J1453" s="15">
        <v>0.0</v>
      </c>
      <c r="K1453" s="12" t="str">
        <f>HYPERLINK("https://www.hootsuite.com","Hootsuite Inc.")</f>
        <v>Hootsuite Inc.</v>
      </c>
      <c r="L1453" s="16">
        <v>43677.0</v>
      </c>
      <c r="M1453" s="16">
        <v>40472.0</v>
      </c>
      <c r="N1453" s="16">
        <v>569.0</v>
      </c>
      <c r="O1453" s="17"/>
      <c r="P1453" s="18">
        <v>40479.63179398148</v>
      </c>
      <c r="Q1453" s="1" t="s">
        <v>6831</v>
      </c>
      <c r="R1453" s="1" t="s">
        <v>6832</v>
      </c>
      <c r="S1453" s="13" t="s">
        <v>6833</v>
      </c>
      <c r="T1453" s="14"/>
      <c r="U1453" s="19" t="str">
        <f>HYPERLINK("https://pbs.twimg.com/profile_images/517912001046011904/sKQt9gxI.jpeg","View")</f>
        <v>View</v>
      </c>
      <c r="V1453" s="14"/>
      <c r="W1453" s="14"/>
      <c r="X1453" s="14"/>
      <c r="Y1453" s="14"/>
      <c r="Z1453" s="14"/>
    </row>
    <row r="1454">
      <c r="A1454" s="11">
        <v>43845.511145833334</v>
      </c>
      <c r="B1454" s="12" t="str">
        <f>HYPERLINK("https://twitter.com/WisniewskiChiro","@WisniewskiChiro")</f>
        <v>@WisniewskiChiro</v>
      </c>
      <c r="C1454" s="1" t="s">
        <v>6834</v>
      </c>
      <c r="D1454" s="1" t="s">
        <v>6835</v>
      </c>
      <c r="E1454" s="12" t="str">
        <f>HYPERLINK("https://twitter.com/WisniewskiChiro/status/1217495673827995648","1217495673827995648")</f>
        <v>1217495673827995648</v>
      </c>
      <c r="F1454" s="13" t="s">
        <v>6836</v>
      </c>
      <c r="G1454" s="13" t="s">
        <v>6837</v>
      </c>
      <c r="H1454" s="14"/>
      <c r="I1454" s="15">
        <v>0.0</v>
      </c>
      <c r="J1454" s="15">
        <v>0.0</v>
      </c>
      <c r="K1454" s="12" t="str">
        <f>HYPERLINK("http://app.sendblur.com","Social Media Publisher App ")</f>
        <v>Social Media Publisher App </v>
      </c>
      <c r="L1454" s="16">
        <v>397.0</v>
      </c>
      <c r="M1454" s="16">
        <v>1171.0</v>
      </c>
      <c r="N1454" s="16">
        <v>2.0</v>
      </c>
      <c r="O1454" s="17"/>
      <c r="P1454" s="18">
        <v>43108.50409722222</v>
      </c>
      <c r="Q1454" s="1" t="s">
        <v>6838</v>
      </c>
      <c r="R1454" s="1" t="s">
        <v>6839</v>
      </c>
      <c r="S1454" s="13" t="s">
        <v>6840</v>
      </c>
      <c r="T1454" s="14"/>
      <c r="U1454" s="19" t="str">
        <f>HYPERLINK("https://pbs.twimg.com/profile_images/1004728896883851264/bOz7hGVa.jpg","View")</f>
        <v>View</v>
      </c>
      <c r="V1454" s="14"/>
      <c r="W1454" s="14"/>
      <c r="X1454" s="14"/>
      <c r="Y1454" s="14"/>
      <c r="Z1454" s="14"/>
    </row>
    <row r="1455">
      <c r="A1455" s="11">
        <v>43845.508356481485</v>
      </c>
      <c r="B1455" s="12" t="str">
        <f>HYPERLINK("https://twitter.com/evolveNV","@evolveNV")</f>
        <v>@evolveNV</v>
      </c>
      <c r="C1455" s="1" t="s">
        <v>6841</v>
      </c>
      <c r="D1455" s="1" t="s">
        <v>6842</v>
      </c>
      <c r="E1455" s="12" t="str">
        <f>HYPERLINK("https://twitter.com/evolveNV/status/1217494662497349635","1217494662497349635")</f>
        <v>1217494662497349635</v>
      </c>
      <c r="F1455" s="13" t="s">
        <v>6843</v>
      </c>
      <c r="G1455" s="13" t="s">
        <v>6844</v>
      </c>
      <c r="H1455" s="14"/>
      <c r="I1455" s="15">
        <v>0.0</v>
      </c>
      <c r="J1455" s="15">
        <v>1.0</v>
      </c>
      <c r="K1455" s="12" t="str">
        <f>HYPERLINK("https://buffer.com","Buffer")</f>
        <v>Buffer</v>
      </c>
      <c r="L1455" s="16">
        <v>509.0</v>
      </c>
      <c r="M1455" s="16">
        <v>998.0</v>
      </c>
      <c r="N1455" s="16">
        <v>25.0</v>
      </c>
      <c r="O1455" s="17"/>
      <c r="P1455" s="18">
        <v>41285.90331018518</v>
      </c>
      <c r="Q1455" s="1" t="s">
        <v>6845</v>
      </c>
      <c r="R1455" s="1" t="s">
        <v>6846</v>
      </c>
      <c r="S1455" s="13" t="s">
        <v>6847</v>
      </c>
      <c r="T1455" s="14"/>
      <c r="U1455" s="19" t="str">
        <f>HYPERLINK("https://pbs.twimg.com/profile_images/1184930740863041536/v6aksO6Y.jpg","View")</f>
        <v>View</v>
      </c>
      <c r="V1455" s="14"/>
      <c r="W1455" s="14"/>
      <c r="X1455" s="14"/>
      <c r="Y1455" s="14"/>
      <c r="Z1455" s="14"/>
    </row>
    <row r="1456">
      <c r="A1456" s="11">
        <v>43845.50711805555</v>
      </c>
      <c r="B1456" s="12" t="str">
        <f>HYPERLINK("https://twitter.com/ThinkKids","@ThinkKids")</f>
        <v>@ThinkKids</v>
      </c>
      <c r="C1456" s="1" t="s">
        <v>6848</v>
      </c>
      <c r="D1456" s="1" t="s">
        <v>6849</v>
      </c>
      <c r="E1456" s="12" t="str">
        <f>HYPERLINK("https://twitter.com/ThinkKids/status/1217494216223416321","1217494216223416321")</f>
        <v>1217494216223416321</v>
      </c>
      <c r="F1456" s="13" t="s">
        <v>6850</v>
      </c>
      <c r="G1456" s="14"/>
      <c r="H1456" s="14"/>
      <c r="I1456" s="15">
        <v>2.0</v>
      </c>
      <c r="J1456" s="15">
        <v>4.0</v>
      </c>
      <c r="K1456" s="12" t="str">
        <f>HYPERLINK("https://www.hootsuite.com","Hootsuite Inc.")</f>
        <v>Hootsuite Inc.</v>
      </c>
      <c r="L1456" s="16">
        <v>3770.0</v>
      </c>
      <c r="M1456" s="16">
        <v>269.0</v>
      </c>
      <c r="N1456" s="16">
        <v>35.0</v>
      </c>
      <c r="O1456" s="17"/>
      <c r="P1456" s="18">
        <v>39956.31730324074</v>
      </c>
      <c r="Q1456" s="1" t="s">
        <v>6851</v>
      </c>
      <c r="R1456" s="1" t="s">
        <v>6852</v>
      </c>
      <c r="S1456" s="13" t="s">
        <v>6853</v>
      </c>
      <c r="T1456" s="14"/>
      <c r="U1456" s="19" t="str">
        <f>HYPERLINK("https://pbs.twimg.com/profile_images/692373023886831616/Rdthgk4C.jpg","View")</f>
        <v>View</v>
      </c>
      <c r="V1456" s="14"/>
      <c r="W1456" s="14"/>
      <c r="X1456" s="14"/>
      <c r="Y1456" s="14"/>
      <c r="Z1456" s="14"/>
    </row>
    <row r="1457">
      <c r="A1457" s="11">
        <v>43845.50695601852</v>
      </c>
      <c r="B1457" s="12" t="str">
        <f>HYPERLINK("https://twitter.com/CIRP_BC","@CIRP_BC")</f>
        <v>@CIRP_BC</v>
      </c>
      <c r="C1457" s="1" t="s">
        <v>6854</v>
      </c>
      <c r="D1457" s="1" t="s">
        <v>6855</v>
      </c>
      <c r="E1457" s="12" t="str">
        <f>HYPERLINK("https://twitter.com/CIRP_BC/status/1217494156722896896","1217494156722896896")</f>
        <v>1217494156722896896</v>
      </c>
      <c r="F1457" s="14"/>
      <c r="G1457" s="14"/>
      <c r="H1457" s="14"/>
      <c r="I1457" s="15">
        <v>0.0</v>
      </c>
      <c r="J1457" s="15">
        <v>1.0</v>
      </c>
      <c r="K1457" s="12" t="str">
        <f>HYPERLINK("http://twitter.com/download/android","Twitter for Android")</f>
        <v>Twitter for Android</v>
      </c>
      <c r="L1457" s="16">
        <v>114.0</v>
      </c>
      <c r="M1457" s="16">
        <v>115.0</v>
      </c>
      <c r="N1457" s="16">
        <v>0.0</v>
      </c>
      <c r="O1457" s="17"/>
      <c r="P1457" s="18">
        <v>42689.649456018524</v>
      </c>
      <c r="Q1457" s="1" t="s">
        <v>6856</v>
      </c>
      <c r="R1457" s="1" t="s">
        <v>6857</v>
      </c>
      <c r="S1457" s="13" t="s">
        <v>6858</v>
      </c>
      <c r="T1457" s="14"/>
      <c r="U1457" s="19" t="str">
        <f>HYPERLINK("https://pbs.twimg.com/profile_images/908815207970906112/ZHkL9Tjq.jpg","View")</f>
        <v>View</v>
      </c>
      <c r="V1457" s="14"/>
      <c r="W1457" s="14"/>
      <c r="X1457" s="14"/>
      <c r="Y1457" s="14"/>
      <c r="Z1457" s="14"/>
    </row>
    <row r="1458">
      <c r="A1458" s="11">
        <v>43845.502164351856</v>
      </c>
      <c r="B1458" s="12" t="str">
        <f>HYPERLINK("https://twitter.com/HealthyWomen","@HealthyWomen")</f>
        <v>@HealthyWomen</v>
      </c>
      <c r="C1458" s="13" t="s">
        <v>6859</v>
      </c>
      <c r="D1458" s="1" t="s">
        <v>6860</v>
      </c>
      <c r="E1458" s="12" t="str">
        <f>HYPERLINK("https://twitter.com/HealthyWomen/status/1217492418456702976","1217492418456702976")</f>
        <v>1217492418456702976</v>
      </c>
      <c r="F1458" s="13" t="s">
        <v>6861</v>
      </c>
      <c r="G1458" s="14"/>
      <c r="H1458" s="14"/>
      <c r="I1458" s="15">
        <v>0.0</v>
      </c>
      <c r="J1458" s="15">
        <v>0.0</v>
      </c>
      <c r="K1458" s="12" t="str">
        <f>HYPERLINK("https://sproutsocial.com","Sprout Social")</f>
        <v>Sprout Social</v>
      </c>
      <c r="L1458" s="16">
        <v>16610.0</v>
      </c>
      <c r="M1458" s="16">
        <v>2440.0</v>
      </c>
      <c r="N1458" s="16">
        <v>709.0</v>
      </c>
      <c r="O1458" s="17"/>
      <c r="P1458" s="18">
        <v>39812.544432870374</v>
      </c>
      <c r="Q1458" s="14"/>
      <c r="R1458" s="1" t="s">
        <v>6862</v>
      </c>
      <c r="S1458" s="13" t="s">
        <v>6863</v>
      </c>
      <c r="T1458" s="14"/>
      <c r="U1458" s="19" t="str">
        <f>HYPERLINK("https://pbs.twimg.com/profile_images/827371666825154560/WA2COsW-.jpg","View")</f>
        <v>View</v>
      </c>
      <c r="V1458" s="14"/>
      <c r="W1458" s="14"/>
      <c r="X1458" s="14"/>
      <c r="Y1458" s="14"/>
      <c r="Z1458" s="14"/>
    </row>
    <row r="1459">
      <c r="A1459" s="11">
        <v>43845.50158564815</v>
      </c>
      <c r="B1459" s="12" t="str">
        <f>HYPERLINK("https://twitter.com/FinlayGames","@FinlayGames")</f>
        <v>@FinlayGames</v>
      </c>
      <c r="C1459" s="1" t="s">
        <v>6864</v>
      </c>
      <c r="D1459" s="1" t="s">
        <v>6865</v>
      </c>
      <c r="E1459" s="12" t="str">
        <f>HYPERLINK("https://twitter.com/FinlayGames/status/1217492212176621573","1217492212176621573")</f>
        <v>1217492212176621573</v>
      </c>
      <c r="F1459" s="13" t="s">
        <v>6866</v>
      </c>
      <c r="G1459" s="14"/>
      <c r="H1459" s="14"/>
      <c r="I1459" s="15">
        <v>0.0</v>
      </c>
      <c r="J1459" s="15">
        <v>0.0</v>
      </c>
      <c r="K1459" s="12" t="str">
        <f>HYPERLINK("https://www.hootsuite.com","Hootsuite Inc.")</f>
        <v>Hootsuite Inc.</v>
      </c>
      <c r="L1459" s="16">
        <v>3363.0</v>
      </c>
      <c r="M1459" s="16">
        <v>3406.0</v>
      </c>
      <c r="N1459" s="16">
        <v>65.0</v>
      </c>
      <c r="O1459" s="17"/>
      <c r="P1459" s="18">
        <v>39872.698472222226</v>
      </c>
      <c r="Q1459" s="1" t="s">
        <v>6867</v>
      </c>
      <c r="R1459" s="1" t="s">
        <v>6868</v>
      </c>
      <c r="S1459" s="13" t="s">
        <v>6869</v>
      </c>
      <c r="T1459" s="14"/>
      <c r="U1459" s="19" t="str">
        <f>HYPERLINK("https://pbs.twimg.com/profile_images/1205862559611572225/mb8Zll9D.jpg","View")</f>
        <v>View</v>
      </c>
      <c r="V1459" s="14"/>
      <c r="W1459" s="14"/>
      <c r="X1459" s="14"/>
      <c r="Y1459" s="14"/>
      <c r="Z1459" s="14"/>
    </row>
    <row r="1460">
      <c r="A1460" s="11">
        <v>43845.50152777778</v>
      </c>
      <c r="B1460" s="12" t="str">
        <f>HYPERLINK("https://twitter.com/eatforpregnancy","@eatforpregnancy")</f>
        <v>@eatforpregnancy</v>
      </c>
      <c r="C1460" s="1" t="s">
        <v>6870</v>
      </c>
      <c r="D1460" s="1" t="s">
        <v>6871</v>
      </c>
      <c r="E1460" s="12" t="str">
        <f>HYPERLINK("https://twitter.com/eatforpregnancy/status/1217492187832823808","1217492187832823808")</f>
        <v>1217492187832823808</v>
      </c>
      <c r="F1460" s="14"/>
      <c r="G1460" s="13" t="s">
        <v>6872</v>
      </c>
      <c r="H1460" s="14"/>
      <c r="I1460" s="15">
        <v>2.0</v>
      </c>
      <c r="J1460" s="15">
        <v>3.0</v>
      </c>
      <c r="K1460" s="12" t="str">
        <f>HYPERLINK("https://www.later.com","LaterMedia")</f>
        <v>LaterMedia</v>
      </c>
      <c r="L1460" s="16">
        <v>817.0</v>
      </c>
      <c r="M1460" s="16">
        <v>1061.0</v>
      </c>
      <c r="N1460" s="16">
        <v>16.0</v>
      </c>
      <c r="O1460" s="17"/>
      <c r="P1460" s="18">
        <v>42229.43773148148</v>
      </c>
      <c r="Q1460" s="1" t="s">
        <v>6873</v>
      </c>
      <c r="R1460" s="1" t="s">
        <v>6874</v>
      </c>
      <c r="S1460" s="13" t="s">
        <v>6875</v>
      </c>
      <c r="T1460" s="14"/>
      <c r="U1460" s="19" t="str">
        <f>HYPERLINK("https://pbs.twimg.com/profile_images/1144918632503422977/6p6EnLpr.png","View")</f>
        <v>View</v>
      </c>
      <c r="V1460" s="14"/>
      <c r="W1460" s="14"/>
      <c r="X1460" s="14"/>
      <c r="Y1460" s="14"/>
      <c r="Z1460" s="14"/>
    </row>
    <row r="1461">
      <c r="A1461" s="11">
        <v>43845.50063657407</v>
      </c>
      <c r="B1461" s="12" t="str">
        <f>HYPERLINK("https://twitter.com/MedicalMJ_ca","@MedicalMJ_ca")</f>
        <v>@MedicalMJ_ca</v>
      </c>
      <c r="C1461" s="13" t="s">
        <v>6876</v>
      </c>
      <c r="D1461" s="1" t="s">
        <v>6621</v>
      </c>
      <c r="E1461" s="12" t="str">
        <f>HYPERLINK("https://twitter.com/MedicalMJ_ca/status/1217491864753975300","1217491864753975300")</f>
        <v>1217491864753975300</v>
      </c>
      <c r="F1461" s="13" t="s">
        <v>6877</v>
      </c>
      <c r="G1461" s="14"/>
      <c r="H1461" s="14"/>
      <c r="I1461" s="15">
        <v>0.0</v>
      </c>
      <c r="J1461" s="15">
        <v>0.0</v>
      </c>
      <c r="K1461" s="12" t="str">
        <f>HYPERLINK("https://www.hootsuite.com","Hootsuite Inc.")</f>
        <v>Hootsuite Inc.</v>
      </c>
      <c r="L1461" s="16">
        <v>5647.0</v>
      </c>
      <c r="M1461" s="16">
        <v>1402.0</v>
      </c>
      <c r="N1461" s="16">
        <v>68.0</v>
      </c>
      <c r="O1461" s="17"/>
      <c r="P1461" s="18">
        <v>40590.76673611111</v>
      </c>
      <c r="Q1461" s="1" t="s">
        <v>143</v>
      </c>
      <c r="R1461" s="1" t="s">
        <v>6878</v>
      </c>
      <c r="S1461" s="13" t="s">
        <v>6879</v>
      </c>
      <c r="T1461" s="14"/>
      <c r="U1461" s="19" t="str">
        <f>HYPERLINK("https://pbs.twimg.com/profile_images/1246610559/MMJ_vertical.png","View")</f>
        <v>View</v>
      </c>
      <c r="V1461" s="14"/>
      <c r="W1461" s="14"/>
      <c r="X1461" s="14"/>
      <c r="Y1461" s="14"/>
      <c r="Z1461" s="14"/>
    </row>
    <row r="1462">
      <c r="A1462" s="11">
        <v>43845.49974537037</v>
      </c>
      <c r="B1462" s="12" t="str">
        <f>HYPERLINK("https://twitter.com/WorldofCamping","@WorldofCamping")</f>
        <v>@WorldofCamping</v>
      </c>
      <c r="C1462" s="1" t="s">
        <v>6880</v>
      </c>
      <c r="D1462" s="1" t="s">
        <v>6881</v>
      </c>
      <c r="E1462" s="12" t="str">
        <f>HYPERLINK("https://twitter.com/WorldofCamping/status/1217491545470984194","1217491545470984194")</f>
        <v>1217491545470984194</v>
      </c>
      <c r="F1462" s="14"/>
      <c r="G1462" s="14"/>
      <c r="H1462" s="14"/>
      <c r="I1462" s="15">
        <v>0.0</v>
      </c>
      <c r="J1462" s="15">
        <v>0.0</v>
      </c>
      <c r="K1462" s="12" t="str">
        <f>HYPERLINK("http://www.facebook.com/twitter","Facebook")</f>
        <v>Facebook</v>
      </c>
      <c r="L1462" s="16">
        <v>17890.0</v>
      </c>
      <c r="M1462" s="16">
        <v>4910.0</v>
      </c>
      <c r="N1462" s="16">
        <v>164.0</v>
      </c>
      <c r="O1462" s="17"/>
      <c r="P1462" s="18">
        <v>39961.3365625</v>
      </c>
      <c r="Q1462" s="1" t="s">
        <v>3705</v>
      </c>
      <c r="R1462" s="1" t="s">
        <v>6882</v>
      </c>
      <c r="S1462" s="13" t="s">
        <v>6883</v>
      </c>
      <c r="T1462" s="14"/>
      <c r="U1462" s="19" t="str">
        <f>HYPERLINK("https://pbs.twimg.com/profile_images/378800000594785112/47ddebfb3177bb02dabdc382d774d4ba.png","View")</f>
        <v>View</v>
      </c>
      <c r="V1462" s="14"/>
      <c r="W1462" s="14"/>
      <c r="X1462" s="14"/>
      <c r="Y1462" s="14"/>
      <c r="Z1462" s="14"/>
    </row>
    <row r="1463">
      <c r="A1463" s="11">
        <v>43845.49962962963</v>
      </c>
      <c r="B1463" s="12" t="str">
        <f>HYPERLINK("https://twitter.com/TheVentureOut","@TheVentureOut")</f>
        <v>@TheVentureOut</v>
      </c>
      <c r="C1463" s="1" t="s">
        <v>6884</v>
      </c>
      <c r="D1463" s="1" t="s">
        <v>6885</v>
      </c>
      <c r="E1463" s="12" t="str">
        <f>HYPERLINK("https://twitter.com/TheVentureOut/status/1217491502240321537","1217491502240321537")</f>
        <v>1217491502240321537</v>
      </c>
      <c r="F1463" s="13" t="s">
        <v>6886</v>
      </c>
      <c r="G1463" s="14"/>
      <c r="H1463" s="14"/>
      <c r="I1463" s="15">
        <v>2.0</v>
      </c>
      <c r="J1463" s="15">
        <v>0.0</v>
      </c>
      <c r="K1463" s="12" t="str">
        <f>HYPERLINK("http://www.mailchimp.com","Mailchimp")</f>
        <v>Mailchimp</v>
      </c>
      <c r="L1463" s="16">
        <v>2135.0</v>
      </c>
      <c r="M1463" s="16">
        <v>258.0</v>
      </c>
      <c r="N1463" s="16">
        <v>2.0</v>
      </c>
      <c r="O1463" s="17"/>
      <c r="P1463" s="18">
        <v>42005.5225462963</v>
      </c>
      <c r="Q1463" s="1" t="s">
        <v>2546</v>
      </c>
      <c r="R1463" s="1" t="s">
        <v>6887</v>
      </c>
      <c r="S1463" s="13" t="s">
        <v>6888</v>
      </c>
      <c r="T1463" s="14"/>
      <c r="U1463" s="19" t="str">
        <f>HYPERLINK("https://pbs.twimg.com/profile_images/1032289773275295744/J5HzQMKk.jpg","View")</f>
        <v>View</v>
      </c>
      <c r="V1463" s="14"/>
      <c r="W1463" s="14"/>
      <c r="X1463" s="14"/>
      <c r="Y1463" s="14"/>
      <c r="Z1463" s="14"/>
    </row>
    <row r="1464">
      <c r="A1464" s="11">
        <v>43845.49930555555</v>
      </c>
      <c r="B1464" s="12" t="str">
        <f>HYPERLINK("https://twitter.com/madness4charity","@madness4charity")</f>
        <v>@madness4charity</v>
      </c>
      <c r="C1464" s="1" t="s">
        <v>6889</v>
      </c>
      <c r="D1464" s="1" t="s">
        <v>6890</v>
      </c>
      <c r="E1464" s="12" t="str">
        <f>HYPERLINK("https://twitter.com/madness4charity/status/1217491382882971650","1217491382882971650")</f>
        <v>1217491382882971650</v>
      </c>
      <c r="F1464" s="14"/>
      <c r="G1464" s="14"/>
      <c r="H1464" s="14"/>
      <c r="I1464" s="15">
        <v>1.0</v>
      </c>
      <c r="J1464" s="15">
        <v>1.0</v>
      </c>
      <c r="K1464" s="12" t="str">
        <f>HYPERLINK("http://twitter.com/download/iphone","Twitter for iPhone")</f>
        <v>Twitter for iPhone</v>
      </c>
      <c r="L1464" s="16">
        <v>296.0</v>
      </c>
      <c r="M1464" s="16">
        <v>706.0</v>
      </c>
      <c r="N1464" s="16">
        <v>3.0</v>
      </c>
      <c r="O1464" s="17"/>
      <c r="P1464" s="18">
        <v>42325.43855324074</v>
      </c>
      <c r="Q1464" s="14"/>
      <c r="R1464" s="1" t="s">
        <v>6891</v>
      </c>
      <c r="S1464" s="13" t="s">
        <v>6892</v>
      </c>
      <c r="T1464" s="14"/>
      <c r="U1464" s="19" t="str">
        <f>HYPERLINK("https://pbs.twimg.com/profile_images/956066342465146880/z_Sq703z.jpg","View")</f>
        <v>View</v>
      </c>
      <c r="V1464" s="14"/>
      <c r="W1464" s="14"/>
      <c r="X1464" s="14"/>
      <c r="Y1464" s="14"/>
      <c r="Z1464" s="14"/>
    </row>
    <row r="1465">
      <c r="A1465" s="11">
        <v>43845.49797453704</v>
      </c>
      <c r="B1465" s="12" t="str">
        <f>HYPERLINK("https://twitter.com/change_benefits","@change_benefits")</f>
        <v>@change_benefits</v>
      </c>
      <c r="C1465" s="1" t="s">
        <v>6893</v>
      </c>
      <c r="D1465" s="1" t="s">
        <v>6894</v>
      </c>
      <c r="E1465" s="12" t="str">
        <f>HYPERLINK("https://twitter.com/change_benefits/status/1217490902219776000","1217490902219776000")</f>
        <v>1217490902219776000</v>
      </c>
      <c r="F1465" s="1" t="s">
        <v>6895</v>
      </c>
      <c r="G1465" s="13" t="s">
        <v>6896</v>
      </c>
      <c r="H1465" s="14"/>
      <c r="I1465" s="15">
        <v>0.0</v>
      </c>
      <c r="J1465" s="15">
        <v>0.0</v>
      </c>
      <c r="K1465" s="12" t="str">
        <f>HYPERLINK("https://dlvrit.com/","dlvr.it")</f>
        <v>dlvr.it</v>
      </c>
      <c r="L1465" s="16">
        <v>1092.0</v>
      </c>
      <c r="M1465" s="16">
        <v>2120.0</v>
      </c>
      <c r="N1465" s="16">
        <v>13.0</v>
      </c>
      <c r="O1465" s="17"/>
      <c r="P1465" s="18">
        <v>42950.83545138889</v>
      </c>
      <c r="Q1465" s="1" t="s">
        <v>6897</v>
      </c>
      <c r="R1465" s="1" t="s">
        <v>6898</v>
      </c>
      <c r="S1465" s="13" t="s">
        <v>6899</v>
      </c>
      <c r="T1465" s="14"/>
      <c r="U1465" s="19" t="str">
        <f>HYPERLINK("https://pbs.twimg.com/profile_images/895268662390771712/ZrcLAdvw.jpg","View")</f>
        <v>View</v>
      </c>
      <c r="V1465" s="14"/>
      <c r="W1465" s="14"/>
      <c r="X1465" s="14"/>
      <c r="Y1465" s="14"/>
      <c r="Z1465" s="14"/>
    </row>
    <row r="1466">
      <c r="A1466" s="11">
        <v>43845.49711805556</v>
      </c>
      <c r="B1466" s="12" t="str">
        <f>HYPERLINK("https://twitter.com/kimmietainment","@kimmietainment")</f>
        <v>@kimmietainment</v>
      </c>
      <c r="C1466" s="1" t="s">
        <v>6900</v>
      </c>
      <c r="D1466" s="1" t="s">
        <v>6901</v>
      </c>
      <c r="E1466" s="12" t="str">
        <f>HYPERLINK("https://twitter.com/kimmietainment/status/1217490590914564098","1217490590914564098")</f>
        <v>1217490590914564098</v>
      </c>
      <c r="F1466" s="13" t="s">
        <v>6902</v>
      </c>
      <c r="G1466" s="14"/>
      <c r="H1466" s="14"/>
      <c r="I1466" s="15">
        <v>0.0</v>
      </c>
      <c r="J1466" s="15">
        <v>0.0</v>
      </c>
      <c r="K1466" s="12" t="str">
        <f>HYPERLINK("http://twitter.com","Twitter Web Client")</f>
        <v>Twitter Web Client</v>
      </c>
      <c r="L1466" s="16">
        <v>609.0</v>
      </c>
      <c r="M1466" s="16">
        <v>1023.0</v>
      </c>
      <c r="N1466" s="16">
        <v>59.0</v>
      </c>
      <c r="O1466" s="17"/>
      <c r="P1466" s="18">
        <v>39548.824224537035</v>
      </c>
      <c r="Q1466" s="1" t="s">
        <v>6903</v>
      </c>
      <c r="R1466" s="1" t="s">
        <v>6904</v>
      </c>
      <c r="S1466" s="13" t="s">
        <v>6905</v>
      </c>
      <c r="T1466" s="14"/>
      <c r="U1466" s="19" t="str">
        <f>HYPERLINK("https://pbs.twimg.com/profile_images/1123705631498809345/-HD42COZ.jpg","View")</f>
        <v>View</v>
      </c>
      <c r="V1466" s="14"/>
      <c r="W1466" s="14"/>
      <c r="X1466" s="14"/>
      <c r="Y1466" s="14"/>
      <c r="Z1466" s="14"/>
    </row>
    <row r="1467">
      <c r="A1467" s="11">
        <v>43845.496354166666</v>
      </c>
      <c r="B1467" s="12" t="str">
        <f>HYPERLINK("https://twitter.com/beckigibson87","@beckigibson87")</f>
        <v>@beckigibson87</v>
      </c>
      <c r="C1467" s="1" t="s">
        <v>6906</v>
      </c>
      <c r="D1467" s="1" t="s">
        <v>6907</v>
      </c>
      <c r="E1467" s="12" t="str">
        <f>HYPERLINK("https://twitter.com/beckigibson87/status/1217490315327741958","1217490315327741958")</f>
        <v>1217490315327741958</v>
      </c>
      <c r="F1467" s="14"/>
      <c r="G1467" s="14"/>
      <c r="H1467" s="14"/>
      <c r="I1467" s="15">
        <v>0.0</v>
      </c>
      <c r="J1467" s="15">
        <v>1.0</v>
      </c>
      <c r="K1467" s="12" t="str">
        <f>HYPERLINK("http://twitter.com/download/iphone","Twitter for iPhone")</f>
        <v>Twitter for iPhone</v>
      </c>
      <c r="L1467" s="16">
        <v>366.0</v>
      </c>
      <c r="M1467" s="16">
        <v>231.0</v>
      </c>
      <c r="N1467" s="16">
        <v>8.0</v>
      </c>
      <c r="O1467" s="17"/>
      <c r="P1467" s="18">
        <v>41102.39644675926</v>
      </c>
      <c r="Q1467" s="1" t="s">
        <v>6908</v>
      </c>
      <c r="R1467" s="1" t="s">
        <v>6909</v>
      </c>
      <c r="S1467" s="14"/>
      <c r="T1467" s="14"/>
      <c r="U1467" s="19" t="str">
        <f>HYPERLINK("https://pbs.twimg.com/profile_images/1217528276769525761/AiXUfklN.jpg","View")</f>
        <v>View</v>
      </c>
      <c r="V1467" s="14"/>
      <c r="W1467" s="14"/>
      <c r="X1467" s="14"/>
      <c r="Y1467" s="14"/>
      <c r="Z1467" s="14"/>
    </row>
    <row r="1468">
      <c r="A1468" s="11">
        <v>43845.49616898148</v>
      </c>
      <c r="B1468" s="12" t="str">
        <f>HYPERLINK("https://twitter.com/Jaro_Hasek","@Jaro_Hasek")</f>
        <v>@Jaro_Hasek</v>
      </c>
      <c r="C1468" s="1" t="s">
        <v>6910</v>
      </c>
      <c r="D1468" s="1" t="s">
        <v>6911</v>
      </c>
      <c r="E1468" s="12" t="str">
        <f>HYPERLINK("https://twitter.com/Jaro_Hasek/status/1217490249124843528","1217490249124843528")</f>
        <v>1217490249124843528</v>
      </c>
      <c r="F1468" s="13" t="s">
        <v>6912</v>
      </c>
      <c r="G1468" s="14"/>
      <c r="H1468" s="14"/>
      <c r="I1468" s="15">
        <v>4.0</v>
      </c>
      <c r="J1468" s="15">
        <v>5.0</v>
      </c>
      <c r="K1468" s="12" t="str">
        <f>HYPERLINK("https://mobile.twitter.com","Twitter Web App")</f>
        <v>Twitter Web App</v>
      </c>
      <c r="L1468" s="16">
        <v>389.0</v>
      </c>
      <c r="M1468" s="16">
        <v>402.0</v>
      </c>
      <c r="N1468" s="16">
        <v>4.0</v>
      </c>
      <c r="O1468" s="17"/>
      <c r="P1468" s="18">
        <v>43196.64849537037</v>
      </c>
      <c r="Q1468" s="1" t="s">
        <v>6913</v>
      </c>
      <c r="R1468" s="1" t="s">
        <v>6914</v>
      </c>
      <c r="S1468" s="13" t="s">
        <v>6915</v>
      </c>
      <c r="T1468" s="14"/>
      <c r="U1468" s="19" t="str">
        <f>HYPERLINK("https://pbs.twimg.com/profile_images/982355335263506433/6HFsi0ZG.jpg","View")</f>
        <v>View</v>
      </c>
      <c r="V1468" s="14"/>
      <c r="W1468" s="14"/>
      <c r="X1468" s="14"/>
      <c r="Y1468" s="14"/>
      <c r="Z1468" s="14"/>
    </row>
    <row r="1469">
      <c r="A1469" s="11">
        <v>43845.49118055556</v>
      </c>
      <c r="B1469" s="12" t="str">
        <f>HYPERLINK("https://twitter.com/bizbookpr","@bizbookpr")</f>
        <v>@bizbookpr</v>
      </c>
      <c r="C1469" s="1" t="s">
        <v>6916</v>
      </c>
      <c r="D1469" s="1" t="s">
        <v>6917</v>
      </c>
      <c r="E1469" s="12" t="str">
        <f>HYPERLINK("https://twitter.com/bizbookpr/status/1217488439786049538","1217488439786049538")</f>
        <v>1217488439786049538</v>
      </c>
      <c r="F1469" s="13" t="s">
        <v>6918</v>
      </c>
      <c r="G1469" s="14"/>
      <c r="H1469" s="14"/>
      <c r="I1469" s="15">
        <v>0.0</v>
      </c>
      <c r="J1469" s="15">
        <v>0.0</v>
      </c>
      <c r="K1469" s="12" t="str">
        <f>HYPERLINK("http://twitter.com","Twitter Web Client")</f>
        <v>Twitter Web Client</v>
      </c>
      <c r="L1469" s="16">
        <v>1993.0</v>
      </c>
      <c r="M1469" s="16">
        <v>2910.0</v>
      </c>
      <c r="N1469" s="16">
        <v>123.0</v>
      </c>
      <c r="O1469" s="17"/>
      <c r="P1469" s="18">
        <v>39714.48096064815</v>
      </c>
      <c r="Q1469" s="1" t="s">
        <v>921</v>
      </c>
      <c r="R1469" s="1" t="s">
        <v>6919</v>
      </c>
      <c r="S1469" s="13" t="s">
        <v>6920</v>
      </c>
      <c r="T1469" s="14"/>
      <c r="U1469" s="19" t="str">
        <f>HYPERLINK("https://pbs.twimg.com/profile_images/1500947146/mark_photo_by_JC.jpg","View")</f>
        <v>View</v>
      </c>
      <c r="V1469" s="14"/>
      <c r="W1469" s="14"/>
      <c r="X1469" s="14"/>
      <c r="Y1469" s="14"/>
      <c r="Z1469" s="14"/>
    </row>
    <row r="1470">
      <c r="A1470" s="11">
        <v>43845.49077546297</v>
      </c>
      <c r="B1470" s="12" t="str">
        <f>HYPERLINK("https://twitter.com/MikeThomasCEO","@MikeThomasCEO")</f>
        <v>@MikeThomasCEO</v>
      </c>
      <c r="C1470" s="1" t="s">
        <v>6921</v>
      </c>
      <c r="D1470" s="1" t="s">
        <v>6922</v>
      </c>
      <c r="E1470" s="12" t="str">
        <f>HYPERLINK("https://twitter.com/MikeThomasCEO/status/1217488293064896512","1217488293064896512")</f>
        <v>1217488293064896512</v>
      </c>
      <c r="F1470" s="13" t="s">
        <v>6923</v>
      </c>
      <c r="G1470" s="14"/>
      <c r="H1470" s="14"/>
      <c r="I1470" s="15">
        <v>0.0</v>
      </c>
      <c r="J1470" s="15">
        <v>0.0</v>
      </c>
      <c r="K1470" s="12" t="str">
        <f>HYPERLINK("http://www.linkedin.com/","LinkedIn")</f>
        <v>LinkedIn</v>
      </c>
      <c r="L1470" s="16">
        <v>540.0</v>
      </c>
      <c r="M1470" s="16">
        <v>420.0</v>
      </c>
      <c r="N1470" s="16">
        <v>22.0</v>
      </c>
      <c r="O1470" s="17"/>
      <c r="P1470" s="18">
        <v>41556.381203703706</v>
      </c>
      <c r="Q1470" s="1" t="s">
        <v>6924</v>
      </c>
      <c r="R1470" s="1" t="s">
        <v>6925</v>
      </c>
      <c r="S1470" s="13" t="s">
        <v>6926</v>
      </c>
      <c r="T1470" s="14"/>
      <c r="U1470" s="19" t="str">
        <f>HYPERLINK("https://pbs.twimg.com/profile_images/507862341161975808/66OjjDGE.jpeg","View")</f>
        <v>View</v>
      </c>
      <c r="V1470" s="14"/>
      <c r="W1470" s="14"/>
      <c r="X1470" s="14"/>
      <c r="Y1470" s="14"/>
      <c r="Z1470" s="14"/>
    </row>
    <row r="1471">
      <c r="A1471" s="11">
        <v>43845.48987268518</v>
      </c>
      <c r="B1471" s="12" t="str">
        <f>HYPERLINK("https://twitter.com/LivingOrderSA","@LivingOrderSA")</f>
        <v>@LivingOrderSA</v>
      </c>
      <c r="C1471" s="1" t="s">
        <v>6927</v>
      </c>
      <c r="D1471" s="1" t="s">
        <v>6928</v>
      </c>
      <c r="E1471" s="12" t="str">
        <f>HYPERLINK("https://twitter.com/LivingOrderSA/status/1217487964206522371","1217487964206522371")</f>
        <v>1217487964206522371</v>
      </c>
      <c r="F1471" s="13" t="s">
        <v>6929</v>
      </c>
      <c r="G1471" s="14"/>
      <c r="H1471" s="14"/>
      <c r="I1471" s="15">
        <v>0.0</v>
      </c>
      <c r="J1471" s="15">
        <v>0.0</v>
      </c>
      <c r="K1471" s="12" t="str">
        <f>HYPERLINK("https://www.hootsuite.com","Hootsuite Inc.")</f>
        <v>Hootsuite Inc.</v>
      </c>
      <c r="L1471" s="16">
        <v>4829.0</v>
      </c>
      <c r="M1471" s="16">
        <v>3989.0</v>
      </c>
      <c r="N1471" s="16">
        <v>272.0</v>
      </c>
      <c r="O1471" s="17"/>
      <c r="P1471" s="18">
        <v>39937.70297453704</v>
      </c>
      <c r="Q1471" s="1" t="s">
        <v>691</v>
      </c>
      <c r="R1471" s="1" t="s">
        <v>6930</v>
      </c>
      <c r="S1471" s="13" t="s">
        <v>6931</v>
      </c>
      <c r="T1471" s="14"/>
      <c r="U1471" s="19" t="str">
        <f>HYPERLINK("https://pbs.twimg.com/profile_images/512229719043887104/ih8_Gh7B.jpeg","View")</f>
        <v>View</v>
      </c>
      <c r="V1471" s="14"/>
      <c r="W1471" s="14"/>
      <c r="X1471" s="14"/>
      <c r="Y1471" s="14"/>
      <c r="Z1471" s="14"/>
    </row>
    <row r="1472">
      <c r="A1472" s="11">
        <v>43845.489641203705</v>
      </c>
      <c r="B1472" s="12" t="str">
        <f>HYPERLINK("https://twitter.com/TrainingMindful","@TrainingMindful")</f>
        <v>@TrainingMindful</v>
      </c>
      <c r="C1472" s="1" t="s">
        <v>94</v>
      </c>
      <c r="D1472" s="1" t="s">
        <v>1866</v>
      </c>
      <c r="E1472" s="12" t="str">
        <f>HYPERLINK("https://twitter.com/TrainingMindful/status/1217487883134754817","1217487883134754817")</f>
        <v>1217487883134754817</v>
      </c>
      <c r="F1472" s="13" t="s">
        <v>1867</v>
      </c>
      <c r="G1472" s="14"/>
      <c r="H1472" s="14"/>
      <c r="I1472" s="15">
        <v>0.0</v>
      </c>
      <c r="J1472" s="15">
        <v>1.0</v>
      </c>
      <c r="K1472" s="12" t="str">
        <f>HYPERLINK("https://www.socialoomph.com","SocialOomph")</f>
        <v>SocialOomph</v>
      </c>
      <c r="L1472" s="16">
        <v>185303.0</v>
      </c>
      <c r="M1472" s="16">
        <v>43980.0</v>
      </c>
      <c r="N1472" s="16">
        <v>2800.0</v>
      </c>
      <c r="O1472" s="17"/>
      <c r="P1472" s="18">
        <v>41286.039305555554</v>
      </c>
      <c r="Q1472" s="1" t="s">
        <v>97</v>
      </c>
      <c r="R1472" s="1" t="s">
        <v>98</v>
      </c>
      <c r="S1472" s="13" t="s">
        <v>99</v>
      </c>
      <c r="T1472" s="14"/>
      <c r="U1472" s="19" t="str">
        <f>HYPERLINK("https://pbs.twimg.com/profile_images/566526924059459584/gdMxDA9x.jpeg","View")</f>
        <v>View</v>
      </c>
      <c r="V1472" s="14"/>
      <c r="W1472" s="14"/>
      <c r="X1472" s="14"/>
      <c r="Y1472" s="14"/>
      <c r="Z1472" s="14"/>
    </row>
    <row r="1473">
      <c r="A1473" s="11">
        <v>43845.48961805555</v>
      </c>
      <c r="B1473" s="12" t="str">
        <f>HYPERLINK("https://twitter.com/BambooAuctions","@BambooAuctions")</f>
        <v>@BambooAuctions</v>
      </c>
      <c r="C1473" s="1" t="s">
        <v>6932</v>
      </c>
      <c r="D1473" s="1" t="s">
        <v>6933</v>
      </c>
      <c r="E1473" s="12" t="str">
        <f>HYPERLINK("https://twitter.com/BambooAuctions/status/1217487873857019904","1217487873857019904")</f>
        <v>1217487873857019904</v>
      </c>
      <c r="F1473" s="13" t="s">
        <v>6934</v>
      </c>
      <c r="G1473" s="14"/>
      <c r="H1473" s="14"/>
      <c r="I1473" s="15">
        <v>0.0</v>
      </c>
      <c r="J1473" s="15">
        <v>0.0</v>
      </c>
      <c r="K1473" s="12" t="str">
        <f t="shared" ref="K1473:K1474" si="142">HYPERLINK("https://buffer.com","Buffer")</f>
        <v>Buffer</v>
      </c>
      <c r="L1473" s="16">
        <v>1324.0</v>
      </c>
      <c r="M1473" s="16">
        <v>1407.0</v>
      </c>
      <c r="N1473" s="16">
        <v>56.0</v>
      </c>
      <c r="O1473" s="17"/>
      <c r="P1473" s="18">
        <v>41701.43958333333</v>
      </c>
      <c r="Q1473" s="1" t="s">
        <v>263</v>
      </c>
      <c r="R1473" s="1" t="s">
        <v>6935</v>
      </c>
      <c r="S1473" s="13" t="s">
        <v>6936</v>
      </c>
      <c r="T1473" s="14"/>
      <c r="U1473" s="19" t="str">
        <f>HYPERLINK("https://pbs.twimg.com/profile_images/573199069302034432/ZBSEXWde.png","View")</f>
        <v>View</v>
      </c>
      <c r="V1473" s="14"/>
      <c r="W1473" s="14"/>
      <c r="X1473" s="14"/>
      <c r="Y1473" s="14"/>
      <c r="Z1473" s="14"/>
    </row>
    <row r="1474">
      <c r="A1474" s="11">
        <v>43845.48960648148</v>
      </c>
      <c r="B1474" s="12" t="str">
        <f>HYPERLINK("https://twitter.com/TMNinja","@TMNinja")</f>
        <v>@TMNinja</v>
      </c>
      <c r="C1474" s="1" t="s">
        <v>558</v>
      </c>
      <c r="D1474" s="1" t="s">
        <v>559</v>
      </c>
      <c r="E1474" s="12" t="str">
        <f>HYPERLINK("https://twitter.com/TMNinja/status/1217487867481657345","1217487867481657345")</f>
        <v>1217487867481657345</v>
      </c>
      <c r="F1474" s="13" t="s">
        <v>560</v>
      </c>
      <c r="G1474" s="13" t="s">
        <v>6937</v>
      </c>
      <c r="H1474" s="14"/>
      <c r="I1474" s="15">
        <v>1.0</v>
      </c>
      <c r="J1474" s="15">
        <v>1.0</v>
      </c>
      <c r="K1474" s="12" t="str">
        <f t="shared" si="142"/>
        <v>Buffer</v>
      </c>
      <c r="L1474" s="16">
        <v>34405.0</v>
      </c>
      <c r="M1474" s="16">
        <v>15405.0</v>
      </c>
      <c r="N1474" s="16">
        <v>1884.0</v>
      </c>
      <c r="O1474" s="20" t="s">
        <v>38</v>
      </c>
      <c r="P1474" s="18">
        <v>39982.609548611115</v>
      </c>
      <c r="Q1474" s="1" t="s">
        <v>550</v>
      </c>
      <c r="R1474" s="1" t="s">
        <v>562</v>
      </c>
      <c r="S1474" s="13" t="s">
        <v>563</v>
      </c>
      <c r="T1474" s="14"/>
      <c r="U1474" s="19" t="str">
        <f>HYPERLINK("https://pbs.twimg.com/profile_images/1734246631/Craig_BW_Headshot_small.jpg.jpg","View")</f>
        <v>View</v>
      </c>
      <c r="V1474" s="14"/>
      <c r="W1474" s="14"/>
      <c r="X1474" s="14"/>
      <c r="Y1474" s="14"/>
      <c r="Z1474" s="14"/>
    </row>
    <row r="1475">
      <c r="A1475" s="11">
        <v>43845.48908564815</v>
      </c>
      <c r="B1475" s="12" t="str">
        <f>HYPERLINK("https://twitter.com/LevelUpCoachMM","@LevelUpCoachMM")</f>
        <v>@LevelUpCoachMM</v>
      </c>
      <c r="C1475" s="1" t="s">
        <v>6938</v>
      </c>
      <c r="D1475" s="1" t="s">
        <v>6939</v>
      </c>
      <c r="E1475" s="12" t="str">
        <f>HYPERLINK("https://twitter.com/LevelUpCoachMM/status/1217487680776417280","1217487680776417280")</f>
        <v>1217487680776417280</v>
      </c>
      <c r="F1475" s="13" t="s">
        <v>6940</v>
      </c>
      <c r="G1475" s="13" t="s">
        <v>6941</v>
      </c>
      <c r="H1475" s="14"/>
      <c r="I1475" s="15">
        <v>0.0</v>
      </c>
      <c r="J1475" s="15">
        <v>1.0</v>
      </c>
      <c r="K1475" s="12" t="str">
        <f>HYPERLINK("https://www.socialjukebox.com","The Social Jukebox")</f>
        <v>The Social Jukebox</v>
      </c>
      <c r="L1475" s="16">
        <v>16036.0</v>
      </c>
      <c r="M1475" s="16">
        <v>15170.0</v>
      </c>
      <c r="N1475" s="16">
        <v>41.0</v>
      </c>
      <c r="O1475" s="17"/>
      <c r="P1475" s="18">
        <v>43373.499560185184</v>
      </c>
      <c r="Q1475" s="14"/>
      <c r="R1475" s="1" t="s">
        <v>6942</v>
      </c>
      <c r="S1475" s="13" t="s">
        <v>6943</v>
      </c>
      <c r="T1475" s="14"/>
      <c r="U1475" s="19" t="str">
        <f>HYPERLINK("https://pbs.twimg.com/profile_images/1046430948126912512/IhV8ux7j.jpg","View")</f>
        <v>View</v>
      </c>
      <c r="V1475" s="14"/>
      <c r="W1475" s="14"/>
      <c r="X1475" s="14"/>
      <c r="Y1475" s="14"/>
      <c r="Z1475" s="14"/>
    </row>
    <row r="1476">
      <c r="A1476" s="11">
        <v>43845.48834490741</v>
      </c>
      <c r="B1476" s="12" t="str">
        <f>HYPERLINK("https://twitter.com/NEDHHS","@NEDHHS")</f>
        <v>@NEDHHS</v>
      </c>
      <c r="C1476" s="1" t="s">
        <v>6944</v>
      </c>
      <c r="D1476" s="1" t="s">
        <v>6945</v>
      </c>
      <c r="E1476" s="12" t="str">
        <f>HYPERLINK("https://twitter.com/NEDHHS/status/1217487410159869953","1217487410159869953")</f>
        <v>1217487410159869953</v>
      </c>
      <c r="F1476" s="1" t="s">
        <v>6946</v>
      </c>
      <c r="G1476" s="13" t="s">
        <v>6947</v>
      </c>
      <c r="H1476" s="14"/>
      <c r="I1476" s="15">
        <v>1.0</v>
      </c>
      <c r="J1476" s="15">
        <v>1.0</v>
      </c>
      <c r="K1476" s="12" t="str">
        <f>HYPERLINK("https://mobile.twitter.com","Twitter Web App")</f>
        <v>Twitter Web App</v>
      </c>
      <c r="L1476" s="16">
        <v>4834.0</v>
      </c>
      <c r="M1476" s="16">
        <v>1277.0</v>
      </c>
      <c r="N1476" s="16">
        <v>205.0</v>
      </c>
      <c r="O1476" s="17"/>
      <c r="P1476" s="18">
        <v>40039.53481481482</v>
      </c>
      <c r="Q1476" s="1" t="s">
        <v>4628</v>
      </c>
      <c r="R1476" s="1" t="s">
        <v>6948</v>
      </c>
      <c r="S1476" s="13" t="s">
        <v>6949</v>
      </c>
      <c r="T1476" s="14"/>
      <c r="U1476" s="19" t="str">
        <f>HYPERLINK("https://pbs.twimg.com/profile_images/1156593924154245121/RwxHG0vy.jpg","View")</f>
        <v>View</v>
      </c>
      <c r="V1476" s="14"/>
      <c r="W1476" s="14"/>
      <c r="X1476" s="14"/>
      <c r="Y1476" s="14"/>
      <c r="Z1476" s="14"/>
    </row>
    <row r="1477">
      <c r="A1477" s="11">
        <v>43845.48759259259</v>
      </c>
      <c r="B1477" s="12" t="str">
        <f>HYPERLINK("https://twitter.com/timbauer28","@timbauer28")</f>
        <v>@timbauer28</v>
      </c>
      <c r="C1477" s="1" t="s">
        <v>6950</v>
      </c>
      <c r="D1477" s="1" t="s">
        <v>193</v>
      </c>
      <c r="E1477" s="12" t="str">
        <f>HYPERLINK("https://twitter.com/timbauer28/status/1217487139962806273","1217487139962806273")</f>
        <v>1217487139962806273</v>
      </c>
      <c r="F1477" s="13" t="s">
        <v>6951</v>
      </c>
      <c r="G1477" s="14"/>
      <c r="H1477" s="14"/>
      <c r="I1477" s="15">
        <v>0.0</v>
      </c>
      <c r="J1477" s="15">
        <v>0.0</v>
      </c>
      <c r="K1477" s="12" t="str">
        <f>HYPERLINK("http://twitter.com/#!/download/ipad","Twitter for iPad")</f>
        <v>Twitter for iPad</v>
      </c>
      <c r="L1477" s="16">
        <v>101.0</v>
      </c>
      <c r="M1477" s="16">
        <v>1197.0</v>
      </c>
      <c r="N1477" s="16">
        <v>6.0</v>
      </c>
      <c r="O1477" s="17"/>
      <c r="P1477" s="18">
        <v>41600.6583912037</v>
      </c>
      <c r="Q1477" s="1" t="s">
        <v>4674</v>
      </c>
      <c r="R1477" s="14"/>
      <c r="S1477" s="14"/>
      <c r="T1477" s="14"/>
      <c r="U1477" s="19" t="str">
        <f>HYPERLINK("https://pbs.twimg.com/profile_images/1208064289925402626/M5Q2RQhm.jpg","View")</f>
        <v>View</v>
      </c>
      <c r="V1477" s="14"/>
      <c r="W1477" s="14"/>
      <c r="X1477" s="14"/>
      <c r="Y1477" s="14"/>
      <c r="Z1477" s="14"/>
    </row>
    <row r="1478">
      <c r="A1478" s="11">
        <v>43845.4875</v>
      </c>
      <c r="B1478" s="12" t="str">
        <f>HYPERLINK("https://twitter.com/starsvcs","@starsvcs")</f>
        <v>@starsvcs</v>
      </c>
      <c r="C1478" s="1" t="s">
        <v>6952</v>
      </c>
      <c r="D1478" s="1" t="s">
        <v>6953</v>
      </c>
      <c r="E1478" s="12" t="str">
        <f>HYPERLINK("https://twitter.com/starsvcs/status/1217487107121389572","1217487107121389572")</f>
        <v>1217487107121389572</v>
      </c>
      <c r="F1478" s="13" t="s">
        <v>6954</v>
      </c>
      <c r="G1478" s="14"/>
      <c r="H1478" s="14"/>
      <c r="I1478" s="15">
        <v>0.0</v>
      </c>
      <c r="J1478" s="15">
        <v>0.0</v>
      </c>
      <c r="K1478" s="12" t="str">
        <f>HYPERLINK("https://mobile.twitter.com","Twitter Web App")</f>
        <v>Twitter Web App</v>
      </c>
      <c r="L1478" s="16">
        <v>344.0</v>
      </c>
      <c r="M1478" s="16">
        <v>401.0</v>
      </c>
      <c r="N1478" s="16">
        <v>9.0</v>
      </c>
      <c r="O1478" s="17"/>
      <c r="P1478" s="18">
        <v>40569.738750000004</v>
      </c>
      <c r="Q1478" s="1" t="s">
        <v>6955</v>
      </c>
      <c r="R1478" s="1" t="s">
        <v>6956</v>
      </c>
      <c r="S1478" s="13" t="s">
        <v>6957</v>
      </c>
      <c r="T1478" s="14"/>
      <c r="U1478" s="19" t="str">
        <f>HYPERLINK("https://pbs.twimg.com/profile_images/973584458824671233/Z-Ir4Ctd.jpg","View")</f>
        <v>View</v>
      </c>
      <c r="V1478" s="14"/>
      <c r="W1478" s="14"/>
      <c r="X1478" s="14"/>
      <c r="Y1478" s="14"/>
      <c r="Z1478" s="14"/>
    </row>
    <row r="1479">
      <c r="A1479" s="11">
        <v>43845.48613425926</v>
      </c>
      <c r="B1479" s="12" t="str">
        <f>HYPERLINK("https://twitter.com/HealthyandFitn6","@HealthyandFitn6")</f>
        <v>@HealthyandFitn6</v>
      </c>
      <c r="C1479" s="1" t="s">
        <v>787</v>
      </c>
      <c r="D1479" s="1" t="s">
        <v>6958</v>
      </c>
      <c r="E1479" s="12" t="str">
        <f>HYPERLINK("https://twitter.com/HealthyandFitn6/status/1217486612004851712","1217486612004851712")</f>
        <v>1217486612004851712</v>
      </c>
      <c r="F1479" s="13" t="s">
        <v>6959</v>
      </c>
      <c r="G1479" s="13" t="s">
        <v>6960</v>
      </c>
      <c r="H1479" s="14"/>
      <c r="I1479" s="15">
        <v>2.0</v>
      </c>
      <c r="J1479" s="15">
        <v>1.0</v>
      </c>
      <c r="K1479" s="12" t="str">
        <f>HYPERLINK("https://crowdfireapp.com","Crowdfire App")</f>
        <v>Crowdfire App</v>
      </c>
      <c r="L1479" s="16">
        <v>121.0</v>
      </c>
      <c r="M1479" s="16">
        <v>51.0</v>
      </c>
      <c r="N1479" s="16">
        <v>0.0</v>
      </c>
      <c r="O1479" s="17"/>
      <c r="P1479" s="18">
        <v>43752.99784722222</v>
      </c>
      <c r="Q1479" s="14"/>
      <c r="R1479" s="1" t="s">
        <v>791</v>
      </c>
      <c r="S1479" s="13" t="s">
        <v>792</v>
      </c>
      <c r="T1479" s="14"/>
      <c r="U1479" s="19" t="str">
        <f>HYPERLINK("https://pbs.twimg.com/profile_images/1183954983550513152/LlRQvdFF.jpg","View")</f>
        <v>View</v>
      </c>
      <c r="V1479" s="14"/>
      <c r="W1479" s="14"/>
      <c r="X1479" s="14"/>
      <c r="Y1479" s="14"/>
      <c r="Z1479" s="14"/>
    </row>
    <row r="1480">
      <c r="A1480" s="11">
        <v>43845.48403935185</v>
      </c>
      <c r="B1480" s="12" t="str">
        <f>HYPERLINK("https://twitter.com/BedfordPavilion","@BedfordPavilion")</f>
        <v>@BedfordPavilion</v>
      </c>
      <c r="C1480" s="1" t="s">
        <v>6961</v>
      </c>
      <c r="D1480" s="1" t="s">
        <v>6962</v>
      </c>
      <c r="E1480" s="12" t="str">
        <f>HYPERLINK("https://twitter.com/BedfordPavilion/status/1217485853221703680","1217485853221703680")</f>
        <v>1217485853221703680</v>
      </c>
      <c r="F1480" s="13" t="s">
        <v>6963</v>
      </c>
      <c r="G1480" s="13" t="s">
        <v>6964</v>
      </c>
      <c r="H1480" s="14"/>
      <c r="I1480" s="15">
        <v>4.0</v>
      </c>
      <c r="J1480" s="15">
        <v>6.0</v>
      </c>
      <c r="K1480" s="12" t="str">
        <f>HYPERLINK("http://twitter.com/download/iphone","Twitter for iPhone")</f>
        <v>Twitter for iPhone</v>
      </c>
      <c r="L1480" s="16">
        <v>4210.0</v>
      </c>
      <c r="M1480" s="16">
        <v>1802.0</v>
      </c>
      <c r="N1480" s="16">
        <v>133.0</v>
      </c>
      <c r="O1480" s="17"/>
      <c r="P1480" s="18">
        <v>41709.845625</v>
      </c>
      <c r="Q1480" s="1" t="s">
        <v>6965</v>
      </c>
      <c r="R1480" s="1" t="s">
        <v>6966</v>
      </c>
      <c r="S1480" s="13" t="s">
        <v>6967</v>
      </c>
      <c r="T1480" s="14"/>
      <c r="U1480" s="19" t="str">
        <f>HYPERLINK("https://pbs.twimg.com/profile_images/1211411403711627266/NzYdV925.jpg","View")</f>
        <v>View</v>
      </c>
      <c r="V1480" s="14"/>
      <c r="W1480" s="14"/>
      <c r="X1480" s="14"/>
      <c r="Y1480" s="14"/>
      <c r="Z1480" s="14"/>
    </row>
    <row r="1481">
      <c r="A1481" s="11">
        <v>43845.4828125</v>
      </c>
      <c r="B1481" s="12" t="str">
        <f>HYPERLINK("https://twitter.com/hypnosis_wow","@hypnosis_wow")</f>
        <v>@hypnosis_wow</v>
      </c>
      <c r="C1481" s="1" t="s">
        <v>6968</v>
      </c>
      <c r="D1481" s="1" t="s">
        <v>6969</v>
      </c>
      <c r="E1481" s="12" t="str">
        <f>HYPERLINK("https://twitter.com/hypnosis_wow/status/1217485408830922752","1217485408830922752")</f>
        <v>1217485408830922752</v>
      </c>
      <c r="F1481" s="14"/>
      <c r="G1481" s="13" t="s">
        <v>6970</v>
      </c>
      <c r="H1481" s="14"/>
      <c r="I1481" s="15">
        <v>0.0</v>
      </c>
      <c r="J1481" s="15">
        <v>0.0</v>
      </c>
      <c r="K1481" s="12" t="str">
        <f>HYPERLINK("https://www.hootsuite.com","Hootsuite Inc.")</f>
        <v>Hootsuite Inc.</v>
      </c>
      <c r="L1481" s="16">
        <v>7.0</v>
      </c>
      <c r="M1481" s="16">
        <v>6.0</v>
      </c>
      <c r="N1481" s="16">
        <v>0.0</v>
      </c>
      <c r="O1481" s="17"/>
      <c r="P1481" s="18">
        <v>41804.72724537037</v>
      </c>
      <c r="Q1481" s="1" t="s">
        <v>6971</v>
      </c>
      <c r="R1481" s="1" t="s">
        <v>6972</v>
      </c>
      <c r="S1481" s="13" t="s">
        <v>6973</v>
      </c>
      <c r="T1481" s="14"/>
      <c r="U1481" s="19" t="str">
        <f>HYPERLINK("https://pbs.twimg.com/profile_images/1140741012777652224/kE-gbalw.png","View")</f>
        <v>View</v>
      </c>
      <c r="V1481" s="14"/>
      <c r="W1481" s="14"/>
      <c r="X1481" s="14"/>
      <c r="Y1481" s="14"/>
      <c r="Z1481" s="14"/>
    </row>
    <row r="1482">
      <c r="A1482" s="11">
        <v>43845.482037037036</v>
      </c>
      <c r="B1482" s="12" t="str">
        <f>HYPERLINK("https://twitter.com/BGraceBullock","@BGraceBullock")</f>
        <v>@BGraceBullock</v>
      </c>
      <c r="C1482" s="1" t="s">
        <v>6974</v>
      </c>
      <c r="D1482" s="1" t="s">
        <v>6975</v>
      </c>
      <c r="E1482" s="12" t="str">
        <f>HYPERLINK("https://twitter.com/BGraceBullock/status/1217485127460118528","1217485127460118528")</f>
        <v>1217485127460118528</v>
      </c>
      <c r="F1482" s="13" t="s">
        <v>6976</v>
      </c>
      <c r="G1482" s="14"/>
      <c r="H1482" s="14"/>
      <c r="I1482" s="15">
        <v>0.0</v>
      </c>
      <c r="J1482" s="15">
        <v>0.0</v>
      </c>
      <c r="K1482" s="12" t="str">
        <f>HYPERLINK("https://mobile.twitter.com","Twitter Web App")</f>
        <v>Twitter Web App</v>
      </c>
      <c r="L1482" s="16">
        <v>554.0</v>
      </c>
      <c r="M1482" s="16">
        <v>524.0</v>
      </c>
      <c r="N1482" s="16">
        <v>19.0</v>
      </c>
      <c r="O1482" s="17"/>
      <c r="P1482" s="18">
        <v>40988.98679398148</v>
      </c>
      <c r="Q1482" s="1" t="s">
        <v>56</v>
      </c>
      <c r="R1482" s="1" t="s">
        <v>6977</v>
      </c>
      <c r="S1482" s="13" t="s">
        <v>6978</v>
      </c>
      <c r="T1482" s="14"/>
      <c r="U1482" s="19" t="str">
        <f>HYPERLINK("https://pbs.twimg.com/profile_images/1174787786349481984/xv2ydkHi.jpg","View")</f>
        <v>View</v>
      </c>
      <c r="V1482" s="14"/>
      <c r="W1482" s="14"/>
      <c r="X1482" s="14"/>
      <c r="Y1482" s="14"/>
      <c r="Z1482" s="14"/>
    </row>
    <row r="1483">
      <c r="A1483" s="11">
        <v>43845.481944444444</v>
      </c>
      <c r="B1483" s="12" t="str">
        <f>HYPERLINK("https://twitter.com/edu_kaci","@edu_kaci")</f>
        <v>@edu_kaci</v>
      </c>
      <c r="C1483" s="1" t="s">
        <v>6979</v>
      </c>
      <c r="D1483" s="1" t="s">
        <v>6980</v>
      </c>
      <c r="E1483" s="12" t="str">
        <f>HYPERLINK("https://twitter.com/edu_kaci/status/1217485091460415489","1217485091460415489")</f>
        <v>1217485091460415489</v>
      </c>
      <c r="F1483" s="1" t="s">
        <v>6981</v>
      </c>
      <c r="G1483" s="14"/>
      <c r="H1483" s="14"/>
      <c r="I1483" s="15">
        <v>0.0</v>
      </c>
      <c r="J1483" s="15">
        <v>2.0</v>
      </c>
      <c r="K1483" s="12" t="str">
        <f>HYPERLINK("https://about.twitter.com/products/tweetdeck","TweetDeck")</f>
        <v>TweetDeck</v>
      </c>
      <c r="L1483" s="16">
        <v>120.0</v>
      </c>
      <c r="M1483" s="16">
        <v>592.0</v>
      </c>
      <c r="N1483" s="16">
        <v>0.0</v>
      </c>
      <c r="O1483" s="17"/>
      <c r="P1483" s="18">
        <v>43698.717210648145</v>
      </c>
      <c r="Q1483" s="14"/>
      <c r="R1483" s="1" t="s">
        <v>6982</v>
      </c>
      <c r="S1483" s="14"/>
      <c r="T1483" s="14"/>
      <c r="U1483" s="19" t="str">
        <f>HYPERLINK("https://pbs.twimg.com/profile_images/1164284613990260737/xa7dXxWQ.jpg","View")</f>
        <v>View</v>
      </c>
      <c r="V1483" s="14"/>
      <c r="W1483" s="14"/>
      <c r="X1483" s="14"/>
      <c r="Y1483" s="14"/>
      <c r="Z1483" s="14"/>
    </row>
    <row r="1484">
      <c r="A1484" s="11">
        <v>43845.479837962965</v>
      </c>
      <c r="B1484" s="12" t="str">
        <f>HYPERLINK("https://twitter.com/ZKidsTherapy","@ZKidsTherapy")</f>
        <v>@ZKidsTherapy</v>
      </c>
      <c r="C1484" s="1" t="s">
        <v>4297</v>
      </c>
      <c r="D1484" s="1" t="s">
        <v>6983</v>
      </c>
      <c r="E1484" s="12" t="str">
        <f>HYPERLINK("https://twitter.com/ZKidsTherapy/status/1217484328726409218","1217484328726409218")</f>
        <v>1217484328726409218</v>
      </c>
      <c r="F1484" s="13" t="s">
        <v>6984</v>
      </c>
      <c r="G1484" s="13" t="s">
        <v>6985</v>
      </c>
      <c r="H1484" s="14"/>
      <c r="I1484" s="15">
        <v>0.0</v>
      </c>
      <c r="J1484" s="15">
        <v>1.0</v>
      </c>
      <c r="K1484" s="12" t="str">
        <f>HYPERLINK("http://twitter.com/download/android","Twitter for Android")</f>
        <v>Twitter for Android</v>
      </c>
      <c r="L1484" s="16">
        <v>55.0</v>
      </c>
      <c r="M1484" s="16">
        <v>40.0</v>
      </c>
      <c r="N1484" s="16">
        <v>0.0</v>
      </c>
      <c r="O1484" s="17"/>
      <c r="P1484" s="18">
        <v>42857.601747685185</v>
      </c>
      <c r="Q1484" s="1" t="s">
        <v>4301</v>
      </c>
      <c r="R1484" s="1" t="s">
        <v>4302</v>
      </c>
      <c r="S1484" s="13" t="s">
        <v>4303</v>
      </c>
      <c r="T1484" s="14"/>
      <c r="U1484" s="19" t="str">
        <f>HYPERLINK("https://pbs.twimg.com/profile_images/859476053877809153/8OVidRN7.jpg","View")</f>
        <v>View</v>
      </c>
      <c r="V1484" s="14"/>
      <c r="W1484" s="14"/>
      <c r="X1484" s="14"/>
      <c r="Y1484" s="14"/>
      <c r="Z1484" s="14"/>
    </row>
    <row r="1485">
      <c r="A1485" s="11">
        <v>43845.47971064815</v>
      </c>
      <c r="B1485" s="12" t="str">
        <f>HYPERLINK("https://twitter.com/islandsportspt","@islandsportspt")</f>
        <v>@islandsportspt</v>
      </c>
      <c r="C1485" s="1" t="s">
        <v>6986</v>
      </c>
      <c r="D1485" s="1" t="s">
        <v>6987</v>
      </c>
      <c r="E1485" s="12" t="str">
        <f>HYPERLINK("https://twitter.com/islandsportspt/status/1217484284937764865","1217484284937764865")</f>
        <v>1217484284937764865</v>
      </c>
      <c r="F1485" s="13" t="s">
        <v>6988</v>
      </c>
      <c r="G1485" s="13" t="s">
        <v>6989</v>
      </c>
      <c r="H1485" s="14"/>
      <c r="I1485" s="15">
        <v>0.0</v>
      </c>
      <c r="J1485" s="15">
        <v>0.0</v>
      </c>
      <c r="K1485" s="12" t="str">
        <f>HYPERLINK("https://www.hootsuite.com","Hootsuite Inc.")</f>
        <v>Hootsuite Inc.</v>
      </c>
      <c r="L1485" s="16">
        <v>319.0</v>
      </c>
      <c r="M1485" s="16">
        <v>1406.0</v>
      </c>
      <c r="N1485" s="16">
        <v>3.0</v>
      </c>
      <c r="O1485" s="17"/>
      <c r="P1485" s="18">
        <v>41919.47796296296</v>
      </c>
      <c r="Q1485" s="1" t="s">
        <v>6990</v>
      </c>
      <c r="R1485" s="14"/>
      <c r="S1485" s="13" t="s">
        <v>6991</v>
      </c>
      <c r="T1485" s="14"/>
      <c r="U1485" s="19" t="str">
        <f>HYPERLINK("https://pbs.twimg.com/profile_images/1113134655870586882/LdifgqcI.png","View")</f>
        <v>View</v>
      </c>
      <c r="V1485" s="14"/>
      <c r="W1485" s="14"/>
      <c r="X1485" s="14"/>
      <c r="Y1485" s="14"/>
      <c r="Z1485" s="14"/>
    </row>
    <row r="1486">
      <c r="A1486" s="11">
        <v>43845.47938657408</v>
      </c>
      <c r="B1486" s="12" t="str">
        <f>HYPERLINK("https://twitter.com/sanvellohealth","@sanvellohealth")</f>
        <v>@sanvellohealth</v>
      </c>
      <c r="C1486" s="1" t="s">
        <v>293</v>
      </c>
      <c r="D1486" s="1" t="s">
        <v>6992</v>
      </c>
      <c r="E1486" s="12" t="str">
        <f>HYPERLINK("https://twitter.com/sanvellohealth/status/1217484166826287105","1217484166826287105")</f>
        <v>1217484166826287105</v>
      </c>
      <c r="F1486" s="13" t="s">
        <v>6993</v>
      </c>
      <c r="G1486" s="14"/>
      <c r="H1486" s="14"/>
      <c r="I1486" s="15">
        <v>1.0</v>
      </c>
      <c r="J1486" s="15">
        <v>2.0</v>
      </c>
      <c r="K1486" s="12" t="str">
        <f>HYPERLINK("https://sproutsocial.com","Sprout Social")</f>
        <v>Sprout Social</v>
      </c>
      <c r="L1486" s="16">
        <v>1908.0</v>
      </c>
      <c r="M1486" s="16">
        <v>346.0</v>
      </c>
      <c r="N1486" s="16">
        <v>4.0</v>
      </c>
      <c r="O1486" s="17"/>
      <c r="P1486" s="18">
        <v>43536.42626157407</v>
      </c>
      <c r="Q1486" s="1" t="s">
        <v>297</v>
      </c>
      <c r="R1486" s="1" t="s">
        <v>298</v>
      </c>
      <c r="S1486" s="13" t="s">
        <v>299</v>
      </c>
      <c r="T1486" s="14"/>
      <c r="U1486" s="19" t="str">
        <f>HYPERLINK("https://pbs.twimg.com/profile_images/1125468638545313792/F1uy7Sq5.png","View")</f>
        <v>View</v>
      </c>
      <c r="V1486" s="14"/>
      <c r="W1486" s="14"/>
      <c r="X1486" s="14"/>
      <c r="Y1486" s="14"/>
      <c r="Z1486" s="14"/>
    </row>
    <row r="1487">
      <c r="A1487" s="11">
        <v>43845.47931712963</v>
      </c>
      <c r="B1487" s="12" t="str">
        <f>HYPERLINK("https://twitter.com/KarlSharman","@KarlSharman")</f>
        <v>@KarlSharman</v>
      </c>
      <c r="C1487" s="1" t="s">
        <v>6994</v>
      </c>
      <c r="D1487" s="1" t="s">
        <v>6995</v>
      </c>
      <c r="E1487" s="12" t="str">
        <f>HYPERLINK("https://twitter.com/KarlSharman/status/1217484140704124928","1217484140704124928")</f>
        <v>1217484140704124928</v>
      </c>
      <c r="F1487" s="13" t="s">
        <v>6996</v>
      </c>
      <c r="G1487" s="14"/>
      <c r="H1487" s="14"/>
      <c r="I1487" s="15">
        <v>0.0</v>
      </c>
      <c r="J1487" s="15">
        <v>2.0</v>
      </c>
      <c r="K1487" s="12" t="str">
        <f>HYPERLINK("https://buffer.com","Buffer")</f>
        <v>Buffer</v>
      </c>
      <c r="L1487" s="16">
        <v>2938.0</v>
      </c>
      <c r="M1487" s="16">
        <v>1699.0</v>
      </c>
      <c r="N1487" s="16">
        <v>107.0</v>
      </c>
      <c r="O1487" s="17"/>
      <c r="P1487" s="18">
        <v>40509.30886574074</v>
      </c>
      <c r="Q1487" s="1" t="s">
        <v>6997</v>
      </c>
      <c r="R1487" s="1" t="s">
        <v>6998</v>
      </c>
      <c r="S1487" s="13" t="s">
        <v>6999</v>
      </c>
      <c r="T1487" s="14"/>
      <c r="U1487" s="19" t="str">
        <f>HYPERLINK("https://pbs.twimg.com/profile_images/779721196661313536/x6P-G2ck.jpg","View")</f>
        <v>View</v>
      </c>
      <c r="V1487" s="14"/>
      <c r="W1487" s="14"/>
      <c r="X1487" s="14"/>
      <c r="Y1487" s="14"/>
      <c r="Z1487" s="14"/>
    </row>
    <row r="1488">
      <c r="A1488" s="11">
        <v>43845.47922453703</v>
      </c>
      <c r="B1488" s="12" t="str">
        <f>HYPERLINK("https://twitter.com/IntlFinAdvGrpIn","@IntlFinAdvGrpIn")</f>
        <v>@IntlFinAdvGrpIn</v>
      </c>
      <c r="C1488" s="1" t="s">
        <v>7000</v>
      </c>
      <c r="D1488" s="1" t="s">
        <v>4800</v>
      </c>
      <c r="E1488" s="12" t="str">
        <f>HYPERLINK("https://twitter.com/IntlFinAdvGrpIn/status/1217484106440826884","1217484106440826884")</f>
        <v>1217484106440826884</v>
      </c>
      <c r="F1488" s="13" t="s">
        <v>7001</v>
      </c>
      <c r="G1488" s="14"/>
      <c r="H1488" s="14"/>
      <c r="I1488" s="15">
        <v>0.0</v>
      </c>
      <c r="J1488" s="15">
        <v>0.0</v>
      </c>
      <c r="K1488" s="12" t="str">
        <f>HYPERLINK("https://secure.fmgsuite.com","FMG Social")</f>
        <v>FMG Social</v>
      </c>
      <c r="L1488" s="16">
        <v>25.0</v>
      </c>
      <c r="M1488" s="16">
        <v>2.0</v>
      </c>
      <c r="N1488" s="16">
        <v>5.0</v>
      </c>
      <c r="O1488" s="17"/>
      <c r="P1488" s="18">
        <v>41575.41025462963</v>
      </c>
      <c r="Q1488" s="14"/>
      <c r="R1488" s="1" t="s">
        <v>7002</v>
      </c>
      <c r="S1488" s="14"/>
      <c r="T1488" s="14"/>
      <c r="U1488" s="19" t="str">
        <f>HYPERLINK("https://pbs.twimg.com/profile_images/427828670414090240/u1UXA5IT.jpeg","View")</f>
        <v>View</v>
      </c>
      <c r="V1488" s="14"/>
      <c r="W1488" s="14"/>
      <c r="X1488" s="14"/>
      <c r="Y1488" s="14"/>
      <c r="Z1488" s="14"/>
    </row>
    <row r="1489">
      <c r="A1489" s="11">
        <v>43845.4775462963</v>
      </c>
      <c r="B1489" s="12" t="str">
        <f>HYPERLINK("https://twitter.com/SquishSupport","@SquishSupport")</f>
        <v>@SquishSupport</v>
      </c>
      <c r="C1489" s="1" t="s">
        <v>799</v>
      </c>
      <c r="D1489" s="1" t="s">
        <v>7003</v>
      </c>
      <c r="E1489" s="12" t="str">
        <f>HYPERLINK("https://twitter.com/SquishSupport/status/1217483496882692096","1217483496882692096")</f>
        <v>1217483496882692096</v>
      </c>
      <c r="F1489" s="14"/>
      <c r="G1489" s="13" t="s">
        <v>7004</v>
      </c>
      <c r="H1489" s="14"/>
      <c r="I1489" s="15">
        <v>2.0</v>
      </c>
      <c r="J1489" s="15">
        <v>2.0</v>
      </c>
      <c r="K1489" s="12" t="str">
        <f>HYPERLINK("http://twitter.com/download/android","Twitter for Android")</f>
        <v>Twitter for Android</v>
      </c>
      <c r="L1489" s="16">
        <v>24.0</v>
      </c>
      <c r="M1489" s="16">
        <v>109.0</v>
      </c>
      <c r="N1489" s="16">
        <v>0.0</v>
      </c>
      <c r="O1489" s="17"/>
      <c r="P1489" s="18">
        <v>43790.01303240741</v>
      </c>
      <c r="Q1489" s="1" t="s">
        <v>802</v>
      </c>
      <c r="R1489" s="1" t="s">
        <v>803</v>
      </c>
      <c r="S1489" s="13" t="s">
        <v>804</v>
      </c>
      <c r="T1489" s="14"/>
      <c r="U1489" s="19" t="str">
        <f>HYPERLINK("https://pbs.twimg.com/profile_images/1197383912084905984/1yZnevKP.png","View")</f>
        <v>View</v>
      </c>
      <c r="V1489" s="14"/>
      <c r="W1489" s="14"/>
      <c r="X1489" s="14"/>
      <c r="Y1489" s="14"/>
      <c r="Z1489" s="14"/>
    </row>
    <row r="1490">
      <c r="A1490" s="11">
        <v>43845.47708333333</v>
      </c>
      <c r="B1490" s="12" t="str">
        <f>HYPERLINK("https://twitter.com/DoctorQCBDOil","@DoctorQCBDOil")</f>
        <v>@DoctorQCBDOil</v>
      </c>
      <c r="C1490" s="13" t="s">
        <v>7005</v>
      </c>
      <c r="D1490" s="1" t="s">
        <v>7006</v>
      </c>
      <c r="E1490" s="12" t="str">
        <f>HYPERLINK("https://twitter.com/DoctorQCBDOil/status/1217483329966084099","1217483329966084099")</f>
        <v>1217483329966084099</v>
      </c>
      <c r="F1490" s="13" t="s">
        <v>7007</v>
      </c>
      <c r="G1490" s="13" t="s">
        <v>7008</v>
      </c>
      <c r="H1490" s="14"/>
      <c r="I1490" s="15">
        <v>0.0</v>
      </c>
      <c r="J1490" s="15">
        <v>1.0</v>
      </c>
      <c r="K1490" s="12" t="str">
        <f>HYPERLINK("https://about.twitter.com/products/tweetdeck","TweetDeck")</f>
        <v>TweetDeck</v>
      </c>
      <c r="L1490" s="16">
        <v>241.0</v>
      </c>
      <c r="M1490" s="16">
        <v>547.0</v>
      </c>
      <c r="N1490" s="16">
        <v>0.0</v>
      </c>
      <c r="O1490" s="17"/>
      <c r="P1490" s="18">
        <v>42341.36633101852</v>
      </c>
      <c r="Q1490" s="1" t="s">
        <v>56</v>
      </c>
      <c r="R1490" s="1" t="s">
        <v>7009</v>
      </c>
      <c r="S1490" s="13" t="s">
        <v>7010</v>
      </c>
      <c r="T1490" s="14"/>
      <c r="U1490" s="19" t="str">
        <f>HYPERLINK("https://pbs.twimg.com/profile_images/1200150520071172100/Wt0LlVaj.jpg","View")</f>
        <v>View</v>
      </c>
      <c r="V1490" s="14"/>
      <c r="W1490" s="14"/>
      <c r="X1490" s="14"/>
      <c r="Y1490" s="14"/>
      <c r="Z1490" s="14"/>
    </row>
    <row r="1491">
      <c r="A1491" s="11">
        <v>43845.47678240741</v>
      </c>
      <c r="B1491" s="12" t="str">
        <f>HYPERLINK("https://twitter.com/iKevaMack","@iKevaMack")</f>
        <v>@iKevaMack</v>
      </c>
      <c r="C1491" s="1" t="s">
        <v>7011</v>
      </c>
      <c r="D1491" s="1" t="s">
        <v>7012</v>
      </c>
      <c r="E1491" s="12" t="str">
        <f>HYPERLINK("https://twitter.com/iKevaMack/status/1217483223623720961","1217483223623720961")</f>
        <v>1217483223623720961</v>
      </c>
      <c r="F1491" s="14"/>
      <c r="G1491" s="13" t="s">
        <v>7013</v>
      </c>
      <c r="H1491" s="14"/>
      <c r="I1491" s="15">
        <v>0.0</v>
      </c>
      <c r="J1491" s="15">
        <v>0.0</v>
      </c>
      <c r="K1491" s="12" t="str">
        <f>HYPERLINK("https://www.hootsuite.com","Hootsuite Inc.")</f>
        <v>Hootsuite Inc.</v>
      </c>
      <c r="L1491" s="16">
        <v>831.0</v>
      </c>
      <c r="M1491" s="16">
        <v>823.0</v>
      </c>
      <c r="N1491" s="16">
        <v>26.0</v>
      </c>
      <c r="O1491" s="17"/>
      <c r="P1491" s="18">
        <v>39737.42107638889</v>
      </c>
      <c r="Q1491" s="1" t="s">
        <v>7014</v>
      </c>
      <c r="R1491" s="1" t="s">
        <v>7015</v>
      </c>
      <c r="S1491" s="13" t="s">
        <v>7016</v>
      </c>
      <c r="T1491" s="14"/>
      <c r="U1491" s="19" t="str">
        <f>HYPERLINK("https://pbs.twimg.com/profile_images/1047581000962736128/8w2e73yD.jpg","View")</f>
        <v>View</v>
      </c>
      <c r="V1491" s="14"/>
      <c r="W1491" s="14"/>
      <c r="X1491" s="14"/>
      <c r="Y1491" s="14"/>
      <c r="Z1491" s="14"/>
    </row>
    <row r="1492">
      <c r="A1492" s="11">
        <v>43845.47267361111</v>
      </c>
      <c r="B1492" s="12" t="str">
        <f>HYPERLINK("https://twitter.com/Dramantram","@Dramantram")</f>
        <v>@Dramantram</v>
      </c>
      <c r="C1492" s="1" t="s">
        <v>7017</v>
      </c>
      <c r="D1492" s="1" t="s">
        <v>7018</v>
      </c>
      <c r="E1492" s="12" t="str">
        <f>HYPERLINK("https://twitter.com/Dramantram/status/1217481734037487616","1217481734037487616")</f>
        <v>1217481734037487616</v>
      </c>
      <c r="F1492" s="14"/>
      <c r="G1492" s="13" t="s">
        <v>7019</v>
      </c>
      <c r="H1492" s="14"/>
      <c r="I1492" s="15">
        <v>0.0</v>
      </c>
      <c r="J1492" s="15">
        <v>2.0</v>
      </c>
      <c r="K1492" s="12" t="str">
        <f>HYPERLINK("https://mobile.twitter.com","Twitter Web App")</f>
        <v>Twitter Web App</v>
      </c>
      <c r="L1492" s="16">
        <v>165.0</v>
      </c>
      <c r="M1492" s="16">
        <v>5.0</v>
      </c>
      <c r="N1492" s="16">
        <v>1.0</v>
      </c>
      <c r="O1492" s="17"/>
      <c r="P1492" s="18">
        <v>42134.27503472222</v>
      </c>
      <c r="Q1492" s="1" t="s">
        <v>7020</v>
      </c>
      <c r="R1492" s="1" t="s">
        <v>7021</v>
      </c>
      <c r="S1492" s="13" t="s">
        <v>7022</v>
      </c>
      <c r="T1492" s="14"/>
      <c r="U1492" s="19" t="str">
        <f>HYPERLINK("https://pbs.twimg.com/profile_images/902426221861945344/7eM1EDMR.jpg","View")</f>
        <v>View</v>
      </c>
      <c r="V1492" s="14"/>
      <c r="W1492" s="14"/>
      <c r="X1492" s="14"/>
      <c r="Y1492" s="14"/>
      <c r="Z1492" s="14"/>
    </row>
    <row r="1493">
      <c r="A1493" s="11">
        <v>43845.46791666667</v>
      </c>
      <c r="B1493" s="12" t="str">
        <f>HYPERLINK("https://twitter.com/IndianaChamber","@IndianaChamber")</f>
        <v>@IndianaChamber</v>
      </c>
      <c r="C1493" s="1" t="s">
        <v>7023</v>
      </c>
      <c r="D1493" s="1" t="s">
        <v>7024</v>
      </c>
      <c r="E1493" s="12" t="str">
        <f>HYPERLINK("https://twitter.com/IndianaChamber/status/1217480009062977543","1217480009062977543")</f>
        <v>1217480009062977543</v>
      </c>
      <c r="F1493" s="13" t="s">
        <v>7025</v>
      </c>
      <c r="G1493" s="13" t="s">
        <v>7026</v>
      </c>
      <c r="H1493" s="14"/>
      <c r="I1493" s="15">
        <v>0.0</v>
      </c>
      <c r="J1493" s="15">
        <v>0.0</v>
      </c>
      <c r="K1493" s="12" t="str">
        <f>HYPERLINK("https://about.twitter.com/products/tweetdeck","TweetDeck")</f>
        <v>TweetDeck</v>
      </c>
      <c r="L1493" s="16">
        <v>19347.0</v>
      </c>
      <c r="M1493" s="16">
        <v>2043.0</v>
      </c>
      <c r="N1493" s="16">
        <v>456.0</v>
      </c>
      <c r="O1493" s="20" t="s">
        <v>38</v>
      </c>
      <c r="P1493" s="18">
        <v>39793.669537037036</v>
      </c>
      <c r="Q1493" s="14"/>
      <c r="R1493" s="1" t="s">
        <v>7027</v>
      </c>
      <c r="S1493" s="13" t="s">
        <v>7028</v>
      </c>
      <c r="T1493" s="14"/>
      <c r="U1493" s="19" t="str">
        <f>HYPERLINK("https://pbs.twimg.com/profile_images/3192389359/53ba7b15985973bd8c4178610412247a.jpeg","View")</f>
        <v>View</v>
      </c>
      <c r="V1493" s="14"/>
      <c r="W1493" s="14"/>
      <c r="X1493" s="14"/>
      <c r="Y1493" s="14"/>
      <c r="Z1493" s="14"/>
    </row>
    <row r="1494">
      <c r="A1494" s="11">
        <v>43845.466562500005</v>
      </c>
      <c r="B1494" s="12" t="str">
        <f>HYPERLINK("https://twitter.com/neuroflowlive","@neuroflowlive")</f>
        <v>@neuroflowlive</v>
      </c>
      <c r="C1494" s="1" t="s">
        <v>2288</v>
      </c>
      <c r="D1494" s="1" t="s">
        <v>7029</v>
      </c>
      <c r="E1494" s="12" t="str">
        <f>HYPERLINK("https://twitter.com/neuroflowlive/status/1217479518199468033","1217479518199468033")</f>
        <v>1217479518199468033</v>
      </c>
      <c r="F1494" s="13" t="s">
        <v>7030</v>
      </c>
      <c r="G1494" s="14"/>
      <c r="H1494" s="14"/>
      <c r="I1494" s="15">
        <v>0.0</v>
      </c>
      <c r="J1494" s="15">
        <v>0.0</v>
      </c>
      <c r="K1494" s="12" t="str">
        <f>HYPERLINK("http://www.hubspot.com/","HubSpot")</f>
        <v>HubSpot</v>
      </c>
      <c r="L1494" s="16">
        <v>888.0</v>
      </c>
      <c r="M1494" s="16">
        <v>1447.0</v>
      </c>
      <c r="N1494" s="16">
        <v>16.0</v>
      </c>
      <c r="O1494" s="17"/>
      <c r="P1494" s="18">
        <v>42802.66462962963</v>
      </c>
      <c r="Q1494" s="1" t="s">
        <v>2015</v>
      </c>
      <c r="R1494" s="1" t="s">
        <v>2291</v>
      </c>
      <c r="S1494" s="13" t="s">
        <v>2292</v>
      </c>
      <c r="T1494" s="14"/>
      <c r="U1494" s="19" t="str">
        <f>HYPERLINK("https://pbs.twimg.com/profile_images/1048386258378973184/mkvdztzj.jpg","View")</f>
        <v>View</v>
      </c>
      <c r="V1494" s="14"/>
      <c r="W1494" s="14"/>
      <c r="X1494" s="14"/>
      <c r="Y1494" s="14"/>
      <c r="Z1494" s="14"/>
    </row>
    <row r="1495">
      <c r="A1495" s="11">
        <v>43845.46528935185</v>
      </c>
      <c r="B1495" s="12" t="str">
        <f>HYPERLINK("https://twitter.com/MistralKDawn","@MistralKDawn")</f>
        <v>@MistralKDawn</v>
      </c>
      <c r="C1495" s="1" t="s">
        <v>7031</v>
      </c>
      <c r="D1495" s="1" t="s">
        <v>7032</v>
      </c>
      <c r="E1495" s="12" t="str">
        <f>HYPERLINK("https://twitter.com/MistralKDawn/status/1217479058646360069","1217479058646360069")</f>
        <v>1217479058646360069</v>
      </c>
      <c r="F1495" s="13" t="s">
        <v>7033</v>
      </c>
      <c r="G1495" s="13" t="s">
        <v>7034</v>
      </c>
      <c r="H1495" s="14"/>
      <c r="I1495" s="15">
        <v>0.0</v>
      </c>
      <c r="J1495" s="15">
        <v>0.0</v>
      </c>
      <c r="K1495" s="12" t="str">
        <f>HYPERLINK("http://twuffer.com","Twuffer")</f>
        <v>Twuffer</v>
      </c>
      <c r="L1495" s="16">
        <v>56154.0</v>
      </c>
      <c r="M1495" s="16">
        <v>31945.0</v>
      </c>
      <c r="N1495" s="16">
        <v>2058.0</v>
      </c>
      <c r="O1495" s="17"/>
      <c r="P1495" s="18">
        <v>41898.722187499996</v>
      </c>
      <c r="Q1495" s="1" t="s">
        <v>7035</v>
      </c>
      <c r="R1495" s="1" t="s">
        <v>7036</v>
      </c>
      <c r="S1495" s="13" t="s">
        <v>7037</v>
      </c>
      <c r="T1495" s="14"/>
      <c r="U1495" s="19" t="str">
        <f>HYPERLINK("https://pbs.twimg.com/profile_images/511989044645855232/ZD2ROE-q.jpeg","View")</f>
        <v>View</v>
      </c>
      <c r="V1495" s="14"/>
      <c r="W1495" s="14"/>
      <c r="X1495" s="14"/>
      <c r="Y1495" s="14"/>
      <c r="Z1495" s="14"/>
    </row>
    <row r="1496">
      <c r="A1496" s="11">
        <v>43845.46497685185</v>
      </c>
      <c r="B1496" s="12" t="str">
        <f>HYPERLINK("https://twitter.com/LivingBetter50","@LivingBetter50")</f>
        <v>@LivingBetter50</v>
      </c>
      <c r="C1496" s="1" t="s">
        <v>7038</v>
      </c>
      <c r="D1496" s="1" t="s">
        <v>7039</v>
      </c>
      <c r="E1496" s="12" t="str">
        <f>HYPERLINK("https://twitter.com/LivingBetter50/status/1217478943357505537","1217478943357505537")</f>
        <v>1217478943357505537</v>
      </c>
      <c r="F1496" s="13" t="s">
        <v>7040</v>
      </c>
      <c r="G1496" s="14"/>
      <c r="H1496" s="14"/>
      <c r="I1496" s="15">
        <v>0.0</v>
      </c>
      <c r="J1496" s="15">
        <v>0.0</v>
      </c>
      <c r="K1496" s="12" t="str">
        <f>HYPERLINK("https://www.hootsuite.com","Hootsuite Inc.")</f>
        <v>Hootsuite Inc.</v>
      </c>
      <c r="L1496" s="16">
        <v>7925.0</v>
      </c>
      <c r="M1496" s="16">
        <v>5682.0</v>
      </c>
      <c r="N1496" s="16">
        <v>436.0</v>
      </c>
      <c r="O1496" s="17"/>
      <c r="P1496" s="18">
        <v>40449.65020833333</v>
      </c>
      <c r="Q1496" s="1" t="s">
        <v>56</v>
      </c>
      <c r="R1496" s="1" t="s">
        <v>7041</v>
      </c>
      <c r="S1496" s="13" t="s">
        <v>7042</v>
      </c>
      <c r="T1496" s="14"/>
      <c r="U1496" s="19" t="str">
        <f>HYPERLINK("https://pbs.twimg.com/profile_images/3718829393/3c61b41bd60c4a49beb5c92a2f1e9585.png","View")</f>
        <v>View</v>
      </c>
      <c r="V1496" s="14"/>
      <c r="W1496" s="14"/>
      <c r="X1496" s="14"/>
      <c r="Y1496" s="14"/>
      <c r="Z1496" s="14"/>
    </row>
    <row r="1497">
      <c r="A1497" s="11">
        <v>43845.46240740741</v>
      </c>
      <c r="B1497" s="12" t="str">
        <f>HYPERLINK("https://twitter.com/EvetteRose1","@EvetteRose1")</f>
        <v>@EvetteRose1</v>
      </c>
      <c r="C1497" s="1" t="s">
        <v>7043</v>
      </c>
      <c r="D1497" s="1" t="s">
        <v>7044</v>
      </c>
      <c r="E1497" s="12" t="str">
        <f>HYPERLINK("https://twitter.com/EvetteRose1/status/1217478013668843521","1217478013668843521")</f>
        <v>1217478013668843521</v>
      </c>
      <c r="F1497" s="13" t="s">
        <v>7045</v>
      </c>
      <c r="G1497" s="14"/>
      <c r="H1497" s="14"/>
      <c r="I1497" s="15">
        <v>0.0</v>
      </c>
      <c r="J1497" s="15">
        <v>0.0</v>
      </c>
      <c r="K1497" s="12" t="str">
        <f>HYPERLINK("http://twitter.com","Twitter Web Client")</f>
        <v>Twitter Web Client</v>
      </c>
      <c r="L1497" s="16">
        <v>737.0</v>
      </c>
      <c r="M1497" s="16">
        <v>100.0</v>
      </c>
      <c r="N1497" s="16">
        <v>8.0</v>
      </c>
      <c r="O1497" s="17"/>
      <c r="P1497" s="18">
        <v>41373.52165509259</v>
      </c>
      <c r="Q1497" s="1" t="s">
        <v>7046</v>
      </c>
      <c r="R1497" s="1" t="s">
        <v>7047</v>
      </c>
      <c r="S1497" s="13" t="s">
        <v>7048</v>
      </c>
      <c r="T1497" s="14"/>
      <c r="U1497" s="19" t="str">
        <f>HYPERLINK("https://pbs.twimg.com/profile_images/1210831337436745728/vFL7pFox.jpg","View")</f>
        <v>View</v>
      </c>
      <c r="V1497" s="14"/>
      <c r="W1497" s="14"/>
      <c r="X1497" s="14"/>
      <c r="Y1497" s="14"/>
      <c r="Z1497" s="14"/>
    </row>
    <row r="1498">
      <c r="A1498" s="11">
        <v>43845.46128472222</v>
      </c>
      <c r="B1498" s="12" t="str">
        <f>HYPERLINK("https://twitter.com/BeingWellWithin","@BeingWellWithin")</f>
        <v>@BeingWellWithin</v>
      </c>
      <c r="C1498" s="1" t="s">
        <v>105</v>
      </c>
      <c r="D1498" s="1" t="s">
        <v>7049</v>
      </c>
      <c r="E1498" s="12" t="str">
        <f>HYPERLINK("https://twitter.com/BeingWellWithin/status/1217477604825014275","1217477604825014275")</f>
        <v>1217477604825014275</v>
      </c>
      <c r="F1498" s="13" t="s">
        <v>7050</v>
      </c>
      <c r="G1498" s="14"/>
      <c r="H1498" s="14"/>
      <c r="I1498" s="15">
        <v>0.0</v>
      </c>
      <c r="J1498" s="15">
        <v>0.0</v>
      </c>
      <c r="K1498" s="12" t="str">
        <f>HYPERLINK("https://www.socialoomph.com","SocialOomph")</f>
        <v>SocialOomph</v>
      </c>
      <c r="L1498" s="16">
        <v>229.0</v>
      </c>
      <c r="M1498" s="16">
        <v>193.0</v>
      </c>
      <c r="N1498" s="16">
        <v>6.0</v>
      </c>
      <c r="O1498" s="17"/>
      <c r="P1498" s="18">
        <v>40755.445381944446</v>
      </c>
      <c r="Q1498" s="1" t="s">
        <v>108</v>
      </c>
      <c r="R1498" s="1" t="s">
        <v>109</v>
      </c>
      <c r="S1498" s="13" t="s">
        <v>110</v>
      </c>
      <c r="T1498" s="14"/>
      <c r="U1498" s="19" t="str">
        <f>HYPERLINK("https://pbs.twimg.com/profile_images/786742235631087616/ngdp9x1y.jpg","View")</f>
        <v>View</v>
      </c>
      <c r="V1498" s="14"/>
      <c r="W1498" s="14"/>
      <c r="X1498" s="14"/>
      <c r="Y1498" s="14"/>
      <c r="Z1498" s="14"/>
    </row>
    <row r="1499">
      <c r="A1499" s="11">
        <v>43845.461134259254</v>
      </c>
      <c r="B1499" s="12" t="str">
        <f>HYPERLINK("https://twitter.com/k10wilson","@k10wilson")</f>
        <v>@k10wilson</v>
      </c>
      <c r="C1499" s="1" t="s">
        <v>7051</v>
      </c>
      <c r="D1499" s="1" t="s">
        <v>7052</v>
      </c>
      <c r="E1499" s="12" t="str">
        <f>HYPERLINK("https://twitter.com/k10wilson/status/1217477550433275904","1217477550433275904")</f>
        <v>1217477550433275904</v>
      </c>
      <c r="F1499" s="13" t="s">
        <v>7053</v>
      </c>
      <c r="G1499" s="13" t="s">
        <v>7054</v>
      </c>
      <c r="H1499" s="14"/>
      <c r="I1499" s="15">
        <v>0.0</v>
      </c>
      <c r="J1499" s="15">
        <v>0.0</v>
      </c>
      <c r="K1499" s="12" t="str">
        <f>HYPERLINK("https://buffer.com","Buffer")</f>
        <v>Buffer</v>
      </c>
      <c r="L1499" s="16">
        <v>20754.0</v>
      </c>
      <c r="M1499" s="16">
        <v>17479.0</v>
      </c>
      <c r="N1499" s="16">
        <v>764.0</v>
      </c>
      <c r="O1499" s="17"/>
      <c r="P1499" s="18">
        <v>40568.507835648146</v>
      </c>
      <c r="Q1499" s="1" t="s">
        <v>226</v>
      </c>
      <c r="R1499" s="1" t="s">
        <v>7055</v>
      </c>
      <c r="S1499" s="13" t="s">
        <v>7056</v>
      </c>
      <c r="T1499" s="14"/>
      <c r="U1499" s="19" t="str">
        <f>HYPERLINK("https://pbs.twimg.com/profile_images/994677503791849474/iNrXSzYd.jpg","View")</f>
        <v>View</v>
      </c>
      <c r="V1499" s="14"/>
      <c r="W1499" s="14"/>
      <c r="X1499" s="14"/>
      <c r="Y1499" s="14"/>
      <c r="Z1499" s="14"/>
    </row>
    <row r="1500">
      <c r="A1500" s="11">
        <v>43845.460625</v>
      </c>
      <c r="B1500" s="12" t="str">
        <f>HYPERLINK("https://twitter.com/AllanRogers10","@AllanRogers10")</f>
        <v>@AllanRogers10</v>
      </c>
      <c r="C1500" s="1" t="s">
        <v>7057</v>
      </c>
      <c r="D1500" s="1" t="s">
        <v>7058</v>
      </c>
      <c r="E1500" s="12" t="str">
        <f>HYPERLINK("https://twitter.com/AllanRogers10/status/1217477365137334272","1217477365137334272")</f>
        <v>1217477365137334272</v>
      </c>
      <c r="F1500" s="13" t="s">
        <v>7059</v>
      </c>
      <c r="G1500" s="14"/>
      <c r="H1500" s="14"/>
      <c r="I1500" s="15">
        <v>0.0</v>
      </c>
      <c r="J1500" s="15">
        <v>0.0</v>
      </c>
      <c r="K1500" s="12" t="str">
        <f>HYPERLINK("http://twitter.com","Twitty4Allan")</f>
        <v>Twitty4Allan</v>
      </c>
      <c r="L1500" s="16">
        <v>8775.0</v>
      </c>
      <c r="M1500" s="16">
        <v>3894.0</v>
      </c>
      <c r="N1500" s="16">
        <v>190.0</v>
      </c>
      <c r="O1500" s="17"/>
      <c r="P1500" s="18">
        <v>41611.290659722225</v>
      </c>
      <c r="Q1500" s="1" t="s">
        <v>2232</v>
      </c>
      <c r="R1500" s="1" t="s">
        <v>7060</v>
      </c>
      <c r="S1500" s="13" t="s">
        <v>7061</v>
      </c>
      <c r="T1500" s="14"/>
      <c r="U1500" s="19" t="str">
        <f>HYPERLINK("https://pbs.twimg.com/profile_images/378800000824156439/97c448bf86f24c9c381e2cdc310a4912.jpeg","View")</f>
        <v>View</v>
      </c>
      <c r="V1500" s="14"/>
      <c r="W1500" s="14"/>
      <c r="X1500" s="14"/>
      <c r="Y1500" s="14"/>
      <c r="Z1500" s="14"/>
    </row>
    <row r="1501">
      <c r="A1501" s="11">
        <v>43845.46003472222</v>
      </c>
      <c r="B1501" s="12" t="str">
        <f>HYPERLINK("https://twitter.com/mindmojoco","@mindmojoco")</f>
        <v>@mindmojoco</v>
      </c>
      <c r="C1501" s="1" t="s">
        <v>7062</v>
      </c>
      <c r="D1501" s="1" t="s">
        <v>7063</v>
      </c>
      <c r="E1501" s="12" t="str">
        <f>HYPERLINK("https://twitter.com/mindmojoco/status/1217477153698340864","1217477153698340864")</f>
        <v>1217477153698340864</v>
      </c>
      <c r="F1501" s="13" t="s">
        <v>7064</v>
      </c>
      <c r="G1501" s="13" t="s">
        <v>7065</v>
      </c>
      <c r="H1501" s="14"/>
      <c r="I1501" s="15">
        <v>0.0</v>
      </c>
      <c r="J1501" s="15">
        <v>1.0</v>
      </c>
      <c r="K1501" s="12" t="str">
        <f>HYPERLINK("https://www.hootsuite.com","Hootsuite Inc.")</f>
        <v>Hootsuite Inc.</v>
      </c>
      <c r="L1501" s="16">
        <v>35.0</v>
      </c>
      <c r="M1501" s="16">
        <v>23.0</v>
      </c>
      <c r="N1501" s="16">
        <v>1.0</v>
      </c>
      <c r="O1501" s="17"/>
      <c r="P1501" s="18">
        <v>42880.52851851852</v>
      </c>
      <c r="Q1501" s="1" t="s">
        <v>268</v>
      </c>
      <c r="R1501" s="1" t="s">
        <v>7066</v>
      </c>
      <c r="S1501" s="13" t="s">
        <v>7067</v>
      </c>
      <c r="T1501" s="14"/>
      <c r="U1501" s="19" t="str">
        <f>HYPERLINK("https://pbs.twimg.com/profile_images/874187974585569280/uXYWIPSk.jpg","View")</f>
        <v>View</v>
      </c>
      <c r="V1501" s="14"/>
      <c r="W1501" s="14"/>
      <c r="X1501" s="14"/>
      <c r="Y1501" s="14"/>
      <c r="Z1501" s="14"/>
    </row>
    <row r="1502">
      <c r="A1502" s="11">
        <v>43845.459386574075</v>
      </c>
      <c r="B1502" s="12" t="str">
        <f>HYPERLINK("https://twitter.com/talk2lauren","@talk2lauren")</f>
        <v>@talk2lauren</v>
      </c>
      <c r="C1502" s="1" t="s">
        <v>7068</v>
      </c>
      <c r="D1502" s="1" t="s">
        <v>7069</v>
      </c>
      <c r="E1502" s="12" t="str">
        <f>HYPERLINK("https://twitter.com/talk2lauren/status/1217476915801600000","1217476915801600000")</f>
        <v>1217476915801600000</v>
      </c>
      <c r="F1502" s="14"/>
      <c r="G1502" s="13" t="s">
        <v>7070</v>
      </c>
      <c r="H1502" s="14"/>
      <c r="I1502" s="15">
        <v>0.0</v>
      </c>
      <c r="J1502" s="15">
        <v>0.0</v>
      </c>
      <c r="K1502" s="12" t="str">
        <f>HYPERLINK("https://www.later.com","LaterMedia")</f>
        <v>LaterMedia</v>
      </c>
      <c r="L1502" s="16">
        <v>21.0</v>
      </c>
      <c r="M1502" s="16">
        <v>22.0</v>
      </c>
      <c r="N1502" s="16">
        <v>0.0</v>
      </c>
      <c r="O1502" s="17"/>
      <c r="P1502" s="18">
        <v>43780.329780092594</v>
      </c>
      <c r="Q1502" s="1" t="s">
        <v>7071</v>
      </c>
      <c r="R1502" s="1" t="s">
        <v>7072</v>
      </c>
      <c r="S1502" s="13" t="s">
        <v>7073</v>
      </c>
      <c r="T1502" s="14"/>
      <c r="U1502" s="19" t="str">
        <f>HYPERLINK("https://pbs.twimg.com/profile_images/1197296201957163008/xNA2L0B6.jpg","View")</f>
        <v>View</v>
      </c>
      <c r="V1502" s="14"/>
      <c r="W1502" s="14"/>
      <c r="X1502" s="14"/>
      <c r="Y1502" s="14"/>
      <c r="Z1502" s="14"/>
    </row>
    <row r="1503">
      <c r="A1503" s="11">
        <v>43845.4591550926</v>
      </c>
      <c r="B1503" s="12" t="str">
        <f>HYPERLINK("https://twitter.com/happyhandstoys","@happyhandstoys")</f>
        <v>@happyhandstoys</v>
      </c>
      <c r="C1503" s="1" t="s">
        <v>1795</v>
      </c>
      <c r="D1503" s="1" t="s">
        <v>2178</v>
      </c>
      <c r="E1503" s="12" t="str">
        <f>HYPERLINK("https://twitter.com/happyhandstoys/status/1217476835640008709","1217476835640008709")</f>
        <v>1217476835640008709</v>
      </c>
      <c r="F1503" s="13" t="s">
        <v>2179</v>
      </c>
      <c r="G1503" s="13" t="s">
        <v>7074</v>
      </c>
      <c r="H1503" s="14"/>
      <c r="I1503" s="15">
        <v>0.0</v>
      </c>
      <c r="J1503" s="15">
        <v>0.0</v>
      </c>
      <c r="K1503" s="12" t="str">
        <f>HYPERLINK("https://www.hootsuite.com","Hootsuite Inc.")</f>
        <v>Hootsuite Inc.</v>
      </c>
      <c r="L1503" s="16">
        <v>2541.0</v>
      </c>
      <c r="M1503" s="16">
        <v>4752.0</v>
      </c>
      <c r="N1503" s="16">
        <v>34.0</v>
      </c>
      <c r="O1503" s="17"/>
      <c r="P1503" s="18">
        <v>42817.57172453703</v>
      </c>
      <c r="Q1503" s="1" t="s">
        <v>1798</v>
      </c>
      <c r="R1503" s="1" t="s">
        <v>1799</v>
      </c>
      <c r="S1503" s="13" t="s">
        <v>1800</v>
      </c>
      <c r="T1503" s="14"/>
      <c r="U1503" s="19" t="str">
        <f>HYPERLINK("https://pbs.twimg.com/profile_images/845839282770100224/2YEak1EB.jpg","View")</f>
        <v>View</v>
      </c>
      <c r="V1503" s="14"/>
      <c r="W1503" s="14"/>
      <c r="X1503" s="14"/>
      <c r="Y1503" s="14"/>
      <c r="Z1503" s="14"/>
    </row>
    <row r="1504">
      <c r="A1504" s="11">
        <v>43845.459027777775</v>
      </c>
      <c r="B1504" s="12" t="str">
        <f>HYPERLINK("https://twitter.com/harrymadden14","@harrymadden14")</f>
        <v>@harrymadden14</v>
      </c>
      <c r="C1504" s="1" t="s">
        <v>7075</v>
      </c>
      <c r="D1504" s="1" t="s">
        <v>7076</v>
      </c>
      <c r="E1504" s="12" t="str">
        <f>HYPERLINK("https://twitter.com/harrymadden14/status/1217476789771079683","1217476789771079683")</f>
        <v>1217476789771079683</v>
      </c>
      <c r="F1504" s="13" t="s">
        <v>7077</v>
      </c>
      <c r="G1504" s="13" t="s">
        <v>7078</v>
      </c>
      <c r="H1504" s="14"/>
      <c r="I1504" s="15">
        <v>1.0</v>
      </c>
      <c r="J1504" s="15">
        <v>1.0</v>
      </c>
      <c r="K1504" s="12" t="str">
        <f>HYPERLINK("https://mobile.twitter.com","Twitter Web App")</f>
        <v>Twitter Web App</v>
      </c>
      <c r="L1504" s="16">
        <v>14.0</v>
      </c>
      <c r="M1504" s="16">
        <v>9.0</v>
      </c>
      <c r="N1504" s="16">
        <v>0.0</v>
      </c>
      <c r="O1504" s="17"/>
      <c r="P1504" s="18">
        <v>43749.7725462963</v>
      </c>
      <c r="Q1504" s="1" t="s">
        <v>7079</v>
      </c>
      <c r="R1504" s="14"/>
      <c r="S1504" s="14"/>
      <c r="T1504" s="14"/>
      <c r="U1504" s="19" t="str">
        <f>HYPERLINK("https://pbs.twimg.com/profile_images/1183136444241600513/Aa3bzXMF.jpg","View")</f>
        <v>View</v>
      </c>
      <c r="V1504" s="14"/>
      <c r="W1504" s="14"/>
      <c r="X1504" s="14"/>
      <c r="Y1504" s="14"/>
      <c r="Z1504" s="14"/>
    </row>
    <row r="1505">
      <c r="A1505" s="11">
        <v>43845.45866898148</v>
      </c>
      <c r="B1505" s="12" t="str">
        <f>HYPERLINK("https://twitter.com/meetpie","@meetpie")</f>
        <v>@meetpie</v>
      </c>
      <c r="C1505" s="1" t="s">
        <v>7080</v>
      </c>
      <c r="D1505" s="1" t="s">
        <v>7081</v>
      </c>
      <c r="E1505" s="12" t="str">
        <f>HYPERLINK("https://twitter.com/meetpie/status/1217476658179006464","1217476658179006464")</f>
        <v>1217476658179006464</v>
      </c>
      <c r="F1505" s="13" t="s">
        <v>7082</v>
      </c>
      <c r="G1505" s="14"/>
      <c r="H1505" s="14"/>
      <c r="I1505" s="15">
        <v>0.0</v>
      </c>
      <c r="J1505" s="15">
        <v>2.0</v>
      </c>
      <c r="K1505" s="12" t="str">
        <f>HYPERLINK("https://www.socialreport.com","SocialReport.com")</f>
        <v>SocialReport.com</v>
      </c>
      <c r="L1505" s="16">
        <v>20589.0</v>
      </c>
      <c r="M1505" s="16">
        <v>1659.0</v>
      </c>
      <c r="N1505" s="16">
        <v>460.0</v>
      </c>
      <c r="O1505" s="17"/>
      <c r="P1505" s="18">
        <v>39902.37230324074</v>
      </c>
      <c r="Q1505" s="1" t="s">
        <v>263</v>
      </c>
      <c r="R1505" s="1" t="s">
        <v>7083</v>
      </c>
      <c r="S1505" s="13" t="s">
        <v>7084</v>
      </c>
      <c r="T1505" s="14"/>
      <c r="U1505" s="19" t="str">
        <f>HYPERLINK("https://pbs.twimg.com/profile_images/893499579890634753/j-jEmpNK.jpg","View")</f>
        <v>View</v>
      </c>
      <c r="V1505" s="14"/>
      <c r="W1505" s="14"/>
      <c r="X1505" s="14"/>
      <c r="Y1505" s="14"/>
      <c r="Z1505" s="14"/>
    </row>
    <row r="1506">
      <c r="A1506" s="11">
        <v>43845.458402777775</v>
      </c>
      <c r="B1506" s="12" t="str">
        <f>HYPERLINK("https://twitter.com/ProfileTree","@ProfileTree")</f>
        <v>@ProfileTree</v>
      </c>
      <c r="C1506" s="1" t="s">
        <v>7085</v>
      </c>
      <c r="D1506" s="1" t="s">
        <v>7086</v>
      </c>
      <c r="E1506" s="12" t="str">
        <f>HYPERLINK("https://twitter.com/ProfileTree/status/1217476560938307586","1217476560938307586")</f>
        <v>1217476560938307586</v>
      </c>
      <c r="F1506" s="13" t="s">
        <v>7087</v>
      </c>
      <c r="G1506" s="14"/>
      <c r="H1506" s="14"/>
      <c r="I1506" s="15">
        <v>0.0</v>
      </c>
      <c r="J1506" s="15">
        <v>0.0</v>
      </c>
      <c r="K1506" s="12" t="str">
        <f>HYPERLINK("https://www.socialoomph.com","SocialOomph")</f>
        <v>SocialOomph</v>
      </c>
      <c r="L1506" s="16">
        <v>48395.0</v>
      </c>
      <c r="M1506" s="16">
        <v>47296.0</v>
      </c>
      <c r="N1506" s="16">
        <v>590.0</v>
      </c>
      <c r="O1506" s="17"/>
      <c r="P1506" s="18">
        <v>40720.19652777778</v>
      </c>
      <c r="Q1506" s="1" t="s">
        <v>7088</v>
      </c>
      <c r="R1506" s="1" t="s">
        <v>7089</v>
      </c>
      <c r="S1506" s="13" t="s">
        <v>7090</v>
      </c>
      <c r="T1506" s="14"/>
      <c r="U1506" s="19" t="str">
        <f>HYPERLINK("https://pbs.twimg.com/profile_images/1052917897054617600/xgAMk11W.jpg","View")</f>
        <v>View</v>
      </c>
      <c r="V1506" s="14"/>
      <c r="W1506" s="14"/>
      <c r="X1506" s="14"/>
      <c r="Y1506" s="14"/>
      <c r="Z1506" s="14"/>
    </row>
    <row r="1507">
      <c r="A1507" s="11">
        <v>43845.45833333333</v>
      </c>
      <c r="B1507" s="12" t="str">
        <f>HYPERLINK("https://twitter.com/WeHearYouZA","@WeHearYouZA")</f>
        <v>@WeHearYouZA</v>
      </c>
      <c r="C1507" s="1" t="s">
        <v>2299</v>
      </c>
      <c r="D1507" s="1" t="s">
        <v>7091</v>
      </c>
      <c r="E1507" s="12" t="str">
        <f>HYPERLINK("https://twitter.com/WeHearYouZA/status/1217476536229482496","1217476536229482496")</f>
        <v>1217476536229482496</v>
      </c>
      <c r="F1507" s="14"/>
      <c r="G1507" s="13" t="s">
        <v>7092</v>
      </c>
      <c r="H1507" s="14"/>
      <c r="I1507" s="15">
        <v>0.0</v>
      </c>
      <c r="J1507" s="15">
        <v>1.0</v>
      </c>
      <c r="K1507" s="12" t="str">
        <f>HYPERLINK("https://about.twitter.com/products/tweetdeck","TweetDeck")</f>
        <v>TweetDeck</v>
      </c>
      <c r="L1507" s="16">
        <v>26.0</v>
      </c>
      <c r="M1507" s="16">
        <v>43.0</v>
      </c>
      <c r="N1507" s="16">
        <v>4.0</v>
      </c>
      <c r="O1507" s="17"/>
      <c r="P1507" s="18">
        <v>43661.22396990741</v>
      </c>
      <c r="Q1507" s="1" t="s">
        <v>2302</v>
      </c>
      <c r="R1507" s="1" t="s">
        <v>2303</v>
      </c>
      <c r="S1507" s="13" t="s">
        <v>2304</v>
      </c>
      <c r="T1507" s="14"/>
      <c r="U1507" s="19" t="str">
        <f>HYPERLINK("https://pbs.twimg.com/profile_images/1153562188415737856/1QVWKhWI.jpg","View")</f>
        <v>View</v>
      </c>
      <c r="V1507" s="14"/>
      <c r="W1507" s="14"/>
      <c r="X1507" s="14"/>
      <c r="Y1507" s="14"/>
      <c r="Z1507" s="14"/>
    </row>
    <row r="1508">
      <c r="A1508" s="11">
        <v>43845.45726851852</v>
      </c>
      <c r="B1508" s="12" t="str">
        <f t="shared" ref="B1508:B1509" si="143">HYPERLINK("https://twitter.com/harrymadden14","@harrymadden14")</f>
        <v>@harrymadden14</v>
      </c>
      <c r="C1508" s="1" t="s">
        <v>7075</v>
      </c>
      <c r="D1508" s="1" t="s">
        <v>7093</v>
      </c>
      <c r="E1508" s="12" t="str">
        <f>HYPERLINK("https://twitter.com/harrymadden14/status/1217476150588518400","1217476150588518400")</f>
        <v>1217476150588518400</v>
      </c>
      <c r="F1508" s="13" t="s">
        <v>7094</v>
      </c>
      <c r="G1508" s="13" t="s">
        <v>7095</v>
      </c>
      <c r="H1508" s="14"/>
      <c r="I1508" s="15">
        <v>1.0</v>
      </c>
      <c r="J1508" s="15">
        <v>1.0</v>
      </c>
      <c r="K1508" s="12" t="str">
        <f t="shared" ref="K1508:K1509" si="144">HYPERLINK("https://mobile.twitter.com","Twitter Web App")</f>
        <v>Twitter Web App</v>
      </c>
      <c r="L1508" s="16">
        <v>14.0</v>
      </c>
      <c r="M1508" s="16">
        <v>9.0</v>
      </c>
      <c r="N1508" s="16">
        <v>0.0</v>
      </c>
      <c r="O1508" s="17"/>
      <c r="P1508" s="18">
        <v>43749.7725462963</v>
      </c>
      <c r="Q1508" s="1" t="s">
        <v>7079</v>
      </c>
      <c r="R1508" s="14"/>
      <c r="S1508" s="14"/>
      <c r="T1508" s="14"/>
      <c r="U1508" s="19" t="str">
        <f t="shared" ref="U1508:U1509" si="145">HYPERLINK("https://pbs.twimg.com/profile_images/1183136444241600513/Aa3bzXMF.jpg","View")</f>
        <v>View</v>
      </c>
      <c r="V1508" s="14"/>
      <c r="W1508" s="14"/>
      <c r="X1508" s="14"/>
      <c r="Y1508" s="14"/>
      <c r="Z1508" s="14"/>
    </row>
    <row r="1509">
      <c r="A1509" s="11">
        <v>43845.455289351856</v>
      </c>
      <c r="B1509" s="12" t="str">
        <f t="shared" si="143"/>
        <v>@harrymadden14</v>
      </c>
      <c r="C1509" s="1" t="s">
        <v>7075</v>
      </c>
      <c r="D1509" s="1" t="s">
        <v>7096</v>
      </c>
      <c r="E1509" s="12" t="str">
        <f>HYPERLINK("https://twitter.com/harrymadden14/status/1217475434713096194","1217475434713096194")</f>
        <v>1217475434713096194</v>
      </c>
      <c r="F1509" s="13" t="s">
        <v>7097</v>
      </c>
      <c r="G1509" s="13" t="s">
        <v>7098</v>
      </c>
      <c r="H1509" s="14"/>
      <c r="I1509" s="15">
        <v>1.0</v>
      </c>
      <c r="J1509" s="15">
        <v>1.0</v>
      </c>
      <c r="K1509" s="12" t="str">
        <f t="shared" si="144"/>
        <v>Twitter Web App</v>
      </c>
      <c r="L1509" s="16">
        <v>14.0</v>
      </c>
      <c r="M1509" s="16">
        <v>9.0</v>
      </c>
      <c r="N1509" s="16">
        <v>0.0</v>
      </c>
      <c r="O1509" s="17"/>
      <c r="P1509" s="18">
        <v>43749.7725462963</v>
      </c>
      <c r="Q1509" s="1" t="s">
        <v>7079</v>
      </c>
      <c r="R1509" s="14"/>
      <c r="S1509" s="14"/>
      <c r="T1509" s="14"/>
      <c r="U1509" s="19" t="str">
        <f t="shared" si="145"/>
        <v>View</v>
      </c>
      <c r="V1509" s="14"/>
      <c r="W1509" s="14"/>
      <c r="X1509" s="14"/>
      <c r="Y1509" s="14"/>
      <c r="Z1509" s="14"/>
    </row>
    <row r="1510">
      <c r="A1510" s="11">
        <v>43845.45486111111</v>
      </c>
      <c r="B1510" s="12" t="str">
        <f>HYPERLINK("https://twitter.com/melino_G","@melino_G")</f>
        <v>@melino_G</v>
      </c>
      <c r="C1510" s="1" t="s">
        <v>7099</v>
      </c>
      <c r="D1510" s="1" t="s">
        <v>7100</v>
      </c>
      <c r="E1510" s="12" t="str">
        <f>HYPERLINK("https://twitter.com/melino_G/status/1217475276747075586","1217475276747075586")</f>
        <v>1217475276747075586</v>
      </c>
      <c r="F1510" s="13" t="s">
        <v>7101</v>
      </c>
      <c r="G1510" s="13" t="s">
        <v>7102</v>
      </c>
      <c r="H1510" s="14"/>
      <c r="I1510" s="15">
        <v>1.0</v>
      </c>
      <c r="J1510" s="15">
        <v>2.0</v>
      </c>
      <c r="K1510" s="12" t="str">
        <f>HYPERLINK("https://about.twitter.com/products/tweetdeck","TweetDeck")</f>
        <v>TweetDeck</v>
      </c>
      <c r="L1510" s="16">
        <v>6996.0</v>
      </c>
      <c r="M1510" s="16">
        <v>2695.0</v>
      </c>
      <c r="N1510" s="16">
        <v>16.0</v>
      </c>
      <c r="O1510" s="17"/>
      <c r="P1510" s="18">
        <v>43195.39357638889</v>
      </c>
      <c r="Q1510" s="14"/>
      <c r="R1510" s="1" t="s">
        <v>7103</v>
      </c>
      <c r="S1510" s="14"/>
      <c r="T1510" s="14"/>
      <c r="U1510" s="19" t="str">
        <f>HYPERLINK("https://pbs.twimg.com/profile_images/982653669517807616/ndy9AOOZ.jpg","View")</f>
        <v>View</v>
      </c>
      <c r="V1510" s="14"/>
      <c r="W1510" s="14"/>
      <c r="X1510" s="14"/>
      <c r="Y1510" s="14"/>
      <c r="Z1510" s="14"/>
    </row>
    <row r="1511">
      <c r="A1511" s="11">
        <v>43845.454780092594</v>
      </c>
      <c r="B1511" s="12" t="str">
        <f>HYPERLINK("https://twitter.com/stevek_jones","@stevek_jones")</f>
        <v>@stevek_jones</v>
      </c>
      <c r="C1511" s="1" t="s">
        <v>7104</v>
      </c>
      <c r="D1511" s="1" t="s">
        <v>7105</v>
      </c>
      <c r="E1511" s="12" t="str">
        <f>HYPERLINK("https://twitter.com/stevek_jones/status/1217475247965949952","1217475247965949952")</f>
        <v>1217475247965949952</v>
      </c>
      <c r="F1511" s="13" t="s">
        <v>7106</v>
      </c>
      <c r="G1511" s="13" t="s">
        <v>7107</v>
      </c>
      <c r="H1511" s="14"/>
      <c r="I1511" s="15">
        <v>0.0</v>
      </c>
      <c r="J1511" s="15">
        <v>0.0</v>
      </c>
      <c r="K1511" s="12" t="str">
        <f>HYPERLINK("https://mobile.twitter.com","Twitter Web App")</f>
        <v>Twitter Web App</v>
      </c>
      <c r="L1511" s="16">
        <v>1824.0</v>
      </c>
      <c r="M1511" s="16">
        <v>1548.0</v>
      </c>
      <c r="N1511" s="16">
        <v>260.0</v>
      </c>
      <c r="O1511" s="17"/>
      <c r="P1511" s="18">
        <v>39898.24480324074</v>
      </c>
      <c r="Q1511" s="1" t="s">
        <v>7108</v>
      </c>
      <c r="R1511" s="1" t="s">
        <v>7109</v>
      </c>
      <c r="S1511" s="13" t="s">
        <v>7110</v>
      </c>
      <c r="T1511" s="14"/>
      <c r="U1511" s="19" t="str">
        <f>HYPERLINK("https://pbs.twimg.com/profile_images/917295442098118656/fNMOZQYE.jpg","View")</f>
        <v>View</v>
      </c>
      <c r="V1511" s="14"/>
      <c r="W1511" s="14"/>
      <c r="X1511" s="14"/>
      <c r="Y1511" s="14"/>
      <c r="Z1511" s="14"/>
    </row>
    <row r="1512">
      <c r="A1512" s="11">
        <v>43845.451840277776</v>
      </c>
      <c r="B1512" s="12" t="str">
        <f>HYPERLINK("https://twitter.com/crowd_ranger","@crowd_ranger")</f>
        <v>@crowd_ranger</v>
      </c>
      <c r="C1512" s="1" t="s">
        <v>7111</v>
      </c>
      <c r="D1512" s="1" t="s">
        <v>7112</v>
      </c>
      <c r="E1512" s="12" t="str">
        <f>HYPERLINK("https://twitter.com/crowd_ranger/status/1217474181618716676","1217474181618716676")</f>
        <v>1217474181618716676</v>
      </c>
      <c r="F1512" s="13" t="s">
        <v>7113</v>
      </c>
      <c r="G1512" s="14"/>
      <c r="H1512" s="14"/>
      <c r="I1512" s="15">
        <v>4.0</v>
      </c>
      <c r="J1512" s="15">
        <v>0.0</v>
      </c>
      <c r="K1512" s="12" t="str">
        <f>HYPERLINK("http://tweepsmap.com","Tweepsmap")</f>
        <v>Tweepsmap</v>
      </c>
      <c r="L1512" s="16">
        <v>80.0</v>
      </c>
      <c r="M1512" s="16">
        <v>32.0</v>
      </c>
      <c r="N1512" s="16">
        <v>2.0</v>
      </c>
      <c r="O1512" s="17"/>
      <c r="P1512" s="18">
        <v>43735.41412037037</v>
      </c>
      <c r="Q1512" s="1" t="s">
        <v>7114</v>
      </c>
      <c r="R1512" s="1" t="s">
        <v>7115</v>
      </c>
      <c r="S1512" s="13" t="s">
        <v>7116</v>
      </c>
      <c r="T1512" s="14"/>
      <c r="U1512" s="19" t="str">
        <f>HYPERLINK("https://pbs.twimg.com/profile_images/1177583157878480896/T6enyfO7.jpg","View")</f>
        <v>View</v>
      </c>
      <c r="V1512" s="14"/>
      <c r="W1512" s="14"/>
      <c r="X1512" s="14"/>
      <c r="Y1512" s="14"/>
      <c r="Z1512" s="14"/>
    </row>
    <row r="1513">
      <c r="A1513" s="11">
        <v>43845.448692129634</v>
      </c>
      <c r="B1513" s="12" t="str">
        <f>HYPERLINK("https://twitter.com/harrymadden14","@harrymadden14")</f>
        <v>@harrymadden14</v>
      </c>
      <c r="C1513" s="1" t="s">
        <v>7075</v>
      </c>
      <c r="D1513" s="1" t="s">
        <v>7117</v>
      </c>
      <c r="E1513" s="12" t="str">
        <f>HYPERLINK("https://twitter.com/harrymadden14/status/1217473041401290753","1217473041401290753")</f>
        <v>1217473041401290753</v>
      </c>
      <c r="F1513" s="14"/>
      <c r="G1513" s="13" t="s">
        <v>7118</v>
      </c>
      <c r="H1513" s="14"/>
      <c r="I1513" s="15">
        <v>1.0</v>
      </c>
      <c r="J1513" s="15">
        <v>1.0</v>
      </c>
      <c r="K1513" s="12" t="str">
        <f>HYPERLINK("https://mobile.twitter.com","Twitter Web App")</f>
        <v>Twitter Web App</v>
      </c>
      <c r="L1513" s="16">
        <v>14.0</v>
      </c>
      <c r="M1513" s="16">
        <v>9.0</v>
      </c>
      <c r="N1513" s="16">
        <v>0.0</v>
      </c>
      <c r="O1513" s="17"/>
      <c r="P1513" s="18">
        <v>43749.7725462963</v>
      </c>
      <c r="Q1513" s="1" t="s">
        <v>7079</v>
      </c>
      <c r="R1513" s="14"/>
      <c r="S1513" s="14"/>
      <c r="T1513" s="14"/>
      <c r="U1513" s="19" t="str">
        <f>HYPERLINK("https://pbs.twimg.com/profile_images/1183136444241600513/Aa3bzXMF.jpg","View")</f>
        <v>View</v>
      </c>
      <c r="V1513" s="14"/>
      <c r="W1513" s="14"/>
      <c r="X1513" s="14"/>
      <c r="Y1513" s="14"/>
      <c r="Z1513" s="14"/>
    </row>
    <row r="1514">
      <c r="A1514" s="11">
        <v>43845.448217592595</v>
      </c>
      <c r="B1514" s="12" t="str">
        <f>HYPERLINK("https://twitter.com/renascencemusic","@renascencemusic")</f>
        <v>@renascencemusic</v>
      </c>
      <c r="C1514" s="1" t="s">
        <v>247</v>
      </c>
      <c r="D1514" s="1" t="s">
        <v>1991</v>
      </c>
      <c r="E1514" s="12" t="str">
        <f>HYPERLINK("https://twitter.com/renascencemusic/status/1217472870743511041","1217472870743511041")</f>
        <v>1217472870743511041</v>
      </c>
      <c r="F1514" s="13" t="s">
        <v>1992</v>
      </c>
      <c r="G1514" s="13" t="s">
        <v>7119</v>
      </c>
      <c r="H1514" s="14"/>
      <c r="I1514" s="15">
        <v>0.0</v>
      </c>
      <c r="J1514" s="15">
        <v>0.0</v>
      </c>
      <c r="K1514" s="12" t="str">
        <f>HYPERLINK("https://www.socialoomph.com","SocialOomph")</f>
        <v>SocialOomph</v>
      </c>
      <c r="L1514" s="16">
        <v>13031.0</v>
      </c>
      <c r="M1514" s="16">
        <v>11650.0</v>
      </c>
      <c r="N1514" s="16">
        <v>219.0</v>
      </c>
      <c r="O1514" s="17"/>
      <c r="P1514" s="18">
        <v>42470.67052083333</v>
      </c>
      <c r="Q1514" s="1" t="s">
        <v>251</v>
      </c>
      <c r="R1514" s="1" t="s">
        <v>252</v>
      </c>
      <c r="S1514" s="13" t="s">
        <v>253</v>
      </c>
      <c r="T1514" s="14"/>
      <c r="U1514" s="19" t="str">
        <f>HYPERLINK("https://pbs.twimg.com/profile_images/1123407512743612416/g721ra2J.png","View")</f>
        <v>View</v>
      </c>
      <c r="V1514" s="14"/>
      <c r="W1514" s="14"/>
      <c r="X1514" s="14"/>
      <c r="Y1514" s="14"/>
      <c r="Z1514" s="14"/>
    </row>
    <row r="1515">
      <c r="A1515" s="11">
        <v>43845.44800925926</v>
      </c>
      <c r="B1515" s="12" t="str">
        <f>HYPERLINK("https://twitter.com/fejrobinson","@fejrobinson")</f>
        <v>@fejrobinson</v>
      </c>
      <c r="C1515" s="1" t="s">
        <v>7120</v>
      </c>
      <c r="D1515" s="1" t="s">
        <v>7121</v>
      </c>
      <c r="E1515" s="12" t="str">
        <f>HYPERLINK("https://twitter.com/fejrobinson/status/1217472793085906945","1217472793085906945")</f>
        <v>1217472793085906945</v>
      </c>
      <c r="F1515" s="13" t="s">
        <v>7122</v>
      </c>
      <c r="G1515" s="14"/>
      <c r="H1515" s="14"/>
      <c r="I1515" s="15">
        <v>0.0</v>
      </c>
      <c r="J1515" s="15">
        <v>0.0</v>
      </c>
      <c r="K1515" s="12" t="str">
        <f>HYPERLINK("https://www.hootsuite.com","Hootsuite Inc.")</f>
        <v>Hootsuite Inc.</v>
      </c>
      <c r="L1515" s="16">
        <v>984.0</v>
      </c>
      <c r="M1515" s="16">
        <v>1055.0</v>
      </c>
      <c r="N1515" s="16">
        <v>17.0</v>
      </c>
      <c r="O1515" s="17"/>
      <c r="P1515" s="18">
        <v>41360.38339120371</v>
      </c>
      <c r="Q1515" s="1" t="s">
        <v>7123</v>
      </c>
      <c r="R1515" s="1" t="s">
        <v>7124</v>
      </c>
      <c r="S1515" s="13" t="s">
        <v>7125</v>
      </c>
      <c r="T1515" s="14"/>
      <c r="U1515" s="19" t="str">
        <f>HYPERLINK("https://pbs.twimg.com/profile_images/1159200086800379905/MTfRDpEs.jpg","View")</f>
        <v>View</v>
      </c>
      <c r="V1515" s="14"/>
      <c r="W1515" s="14"/>
      <c r="X1515" s="14"/>
      <c r="Y1515" s="14"/>
      <c r="Z1515" s="14"/>
    </row>
    <row r="1516">
      <c r="A1516" s="11">
        <v>43845.44384259259</v>
      </c>
      <c r="B1516" s="12" t="str">
        <f>HYPERLINK("https://twitter.com/dapinkiiee","@dapinkiiee")</f>
        <v>@dapinkiiee</v>
      </c>
      <c r="C1516" s="1" t="s">
        <v>7126</v>
      </c>
      <c r="D1516" s="1" t="s">
        <v>7127</v>
      </c>
      <c r="E1516" s="12" t="str">
        <f>HYPERLINK("https://twitter.com/dapinkiiee/status/1217471286789541888","1217471286789541888")</f>
        <v>1217471286789541888</v>
      </c>
      <c r="F1516" s="13" t="s">
        <v>7128</v>
      </c>
      <c r="G1516" s="14"/>
      <c r="H1516" s="14"/>
      <c r="I1516" s="15">
        <v>0.0</v>
      </c>
      <c r="J1516" s="15">
        <v>0.0</v>
      </c>
      <c r="K1516" s="12" t="str">
        <f>HYPERLINK("http://twitter.com","Twitter Web Client")</f>
        <v>Twitter Web Client</v>
      </c>
      <c r="L1516" s="16">
        <v>192.0</v>
      </c>
      <c r="M1516" s="16">
        <v>105.0</v>
      </c>
      <c r="N1516" s="16">
        <v>5.0</v>
      </c>
      <c r="O1516" s="17"/>
      <c r="P1516" s="18">
        <v>39920.958148148144</v>
      </c>
      <c r="Q1516" s="1" t="s">
        <v>7129</v>
      </c>
      <c r="R1516" s="1" t="s">
        <v>7130</v>
      </c>
      <c r="S1516" s="13" t="s">
        <v>7131</v>
      </c>
      <c r="T1516" s="14"/>
      <c r="U1516" s="19" t="str">
        <f>HYPERLINK("https://pbs.twimg.com/profile_images/702234119053246464/06v2rBzY.jpg","View")</f>
        <v>View</v>
      </c>
      <c r="V1516" s="14"/>
      <c r="W1516" s="14"/>
      <c r="X1516" s="14"/>
      <c r="Y1516" s="14"/>
      <c r="Z1516" s="14"/>
    </row>
    <row r="1517">
      <c r="A1517" s="11">
        <v>43845.44113425926</v>
      </c>
      <c r="B1517" s="12" t="str">
        <f>HYPERLINK("https://twitter.com/pfyouthnb","@pfyouthnb")</f>
        <v>@pfyouthnb</v>
      </c>
      <c r="C1517" s="1" t="s">
        <v>7132</v>
      </c>
      <c r="D1517" s="1" t="s">
        <v>7133</v>
      </c>
      <c r="E1517" s="12" t="str">
        <f>HYPERLINK("https://twitter.com/pfyouthnb/status/1217470305024847872","1217470305024847872")</f>
        <v>1217470305024847872</v>
      </c>
      <c r="F1517" s="13" t="s">
        <v>7134</v>
      </c>
      <c r="G1517" s="13" t="s">
        <v>7135</v>
      </c>
      <c r="H1517" s="14"/>
      <c r="I1517" s="15">
        <v>1.0</v>
      </c>
      <c r="J1517" s="15">
        <v>1.0</v>
      </c>
      <c r="K1517" s="12" t="str">
        <f>HYPERLINK("https://mobile.twitter.com","Twitter Web App")</f>
        <v>Twitter Web App</v>
      </c>
      <c r="L1517" s="16">
        <v>1527.0</v>
      </c>
      <c r="M1517" s="16">
        <v>1250.0</v>
      </c>
      <c r="N1517" s="16">
        <v>25.0</v>
      </c>
      <c r="O1517" s="17"/>
      <c r="P1517" s="18">
        <v>40576.33479166667</v>
      </c>
      <c r="Q1517" s="1" t="s">
        <v>7136</v>
      </c>
      <c r="R1517" s="1" t="s">
        <v>7137</v>
      </c>
      <c r="S1517" s="13" t="s">
        <v>7138</v>
      </c>
      <c r="T1517" s="14"/>
      <c r="U1517" s="19" t="str">
        <f>HYPERLINK("https://pbs.twimg.com/profile_images/1062314855582064640/9r6XrPMU.jpg","View")</f>
        <v>View</v>
      </c>
      <c r="V1517" s="14"/>
      <c r="W1517" s="14"/>
      <c r="X1517" s="14"/>
      <c r="Y1517" s="14"/>
      <c r="Z1517" s="14"/>
    </row>
    <row r="1518">
      <c r="A1518" s="11">
        <v>43845.4408912037</v>
      </c>
      <c r="B1518" s="12" t="str">
        <f>HYPERLINK("https://twitter.com/sostostress","@sostostress")</f>
        <v>@sostostress</v>
      </c>
      <c r="C1518" s="1" t="s">
        <v>1042</v>
      </c>
      <c r="D1518" s="1" t="s">
        <v>7139</v>
      </c>
      <c r="E1518" s="12" t="str">
        <f>HYPERLINK("https://twitter.com/sostostress/status/1217470216906498049","1217470216906498049")</f>
        <v>1217470216906498049</v>
      </c>
      <c r="F1518" s="13" t="s">
        <v>7140</v>
      </c>
      <c r="G1518" s="14"/>
      <c r="H1518" s="14"/>
      <c r="I1518" s="15">
        <v>0.0</v>
      </c>
      <c r="J1518" s="15">
        <v>1.0</v>
      </c>
      <c r="K1518" s="12" t="str">
        <f>HYPERLINK("http://twitter.com","Twitter Web Client")</f>
        <v>Twitter Web Client</v>
      </c>
      <c r="L1518" s="16">
        <v>333.0</v>
      </c>
      <c r="M1518" s="16">
        <v>171.0</v>
      </c>
      <c r="N1518" s="16">
        <v>46.0</v>
      </c>
      <c r="O1518" s="17"/>
      <c r="P1518" s="18">
        <v>40529.642071759255</v>
      </c>
      <c r="Q1518" s="1" t="s">
        <v>143</v>
      </c>
      <c r="R1518" s="1" t="s">
        <v>1046</v>
      </c>
      <c r="S1518" s="13" t="s">
        <v>1047</v>
      </c>
      <c r="T1518" s="14"/>
      <c r="U1518" s="19" t="str">
        <f>HYPERLINK("https://pbs.twimg.com/profile_images/1192953737/image006_pp_-_2__2_.jpg","View")</f>
        <v>View</v>
      </c>
      <c r="V1518" s="14"/>
      <c r="W1518" s="14"/>
      <c r="X1518" s="14"/>
      <c r="Y1518" s="14"/>
      <c r="Z1518" s="14"/>
    </row>
    <row r="1519">
      <c r="A1519" s="11">
        <v>43845.4408912037</v>
      </c>
      <c r="B1519" s="12" t="str">
        <f>HYPERLINK("https://twitter.com/RedHawkWinter","@RedHawkWinter")</f>
        <v>@RedHawkWinter</v>
      </c>
      <c r="C1519" s="1" t="s">
        <v>7141</v>
      </c>
      <c r="D1519" s="1" t="s">
        <v>7142</v>
      </c>
      <c r="E1519" s="12" t="str">
        <f>HYPERLINK("https://twitter.com/RedHawkWinter/status/1217470214163648514","1217470214163648514")</f>
        <v>1217470214163648514</v>
      </c>
      <c r="F1519" s="14"/>
      <c r="G1519" s="14"/>
      <c r="H1519" s="14"/>
      <c r="I1519" s="15">
        <v>6.0</v>
      </c>
      <c r="J1519" s="15">
        <v>9.0</v>
      </c>
      <c r="K1519" s="12" t="str">
        <f>HYPERLINK("http://twitter.com/download/iphone","Twitter for iPhone")</f>
        <v>Twitter for iPhone</v>
      </c>
      <c r="L1519" s="16">
        <v>907.0</v>
      </c>
      <c r="M1519" s="16">
        <v>3034.0</v>
      </c>
      <c r="N1519" s="16">
        <v>11.0</v>
      </c>
      <c r="O1519" s="17"/>
      <c r="P1519" s="18">
        <v>42219.27637731482</v>
      </c>
      <c r="Q1519" s="14"/>
      <c r="R1519" s="1" t="s">
        <v>7143</v>
      </c>
      <c r="S1519" s="14"/>
      <c r="T1519" s="14"/>
      <c r="U1519" s="19" t="str">
        <f>HYPERLINK("https://pbs.twimg.com/profile_images/1060875354481573888/CpLOkbCF.jpg","View")</f>
        <v>View</v>
      </c>
      <c r="V1519" s="14"/>
      <c r="W1519" s="14"/>
      <c r="X1519" s="14"/>
      <c r="Y1519" s="14"/>
      <c r="Z1519" s="14"/>
    </row>
    <row r="1520">
      <c r="A1520" s="11">
        <v>43845.44082175926</v>
      </c>
      <c r="B1520" s="12" t="str">
        <f>HYPERLINK("https://twitter.com/TruceSpa","@TruceSpa")</f>
        <v>@TruceSpa</v>
      </c>
      <c r="C1520" s="1" t="s">
        <v>7144</v>
      </c>
      <c r="D1520" s="1" t="s">
        <v>7145</v>
      </c>
      <c r="E1520" s="12" t="str">
        <f>HYPERLINK("https://twitter.com/TruceSpa/status/1217470190029590529","1217470190029590529")</f>
        <v>1217470190029590529</v>
      </c>
      <c r="F1520" s="13" t="s">
        <v>7146</v>
      </c>
      <c r="G1520" s="13" t="s">
        <v>7147</v>
      </c>
      <c r="H1520" s="14"/>
      <c r="I1520" s="15">
        <v>0.0</v>
      </c>
      <c r="J1520" s="15">
        <v>0.0</v>
      </c>
      <c r="K1520" s="12" t="str">
        <f>HYPERLINK("https://www.later.com","LaterMedia")</f>
        <v>LaterMedia</v>
      </c>
      <c r="L1520" s="16">
        <v>267.0</v>
      </c>
      <c r="M1520" s="16">
        <v>119.0</v>
      </c>
      <c r="N1520" s="16">
        <v>9.0</v>
      </c>
      <c r="O1520" s="17"/>
      <c r="P1520" s="18">
        <v>40072.52123842593</v>
      </c>
      <c r="Q1520" s="1" t="s">
        <v>7148</v>
      </c>
      <c r="R1520" s="1" t="s">
        <v>7149</v>
      </c>
      <c r="S1520" s="13" t="s">
        <v>7150</v>
      </c>
      <c r="T1520" s="14"/>
      <c r="U1520" s="19" t="str">
        <f>HYPERLINK("https://pbs.twimg.com/profile_images/1105961735163240448/2z8qpH5S.png","View")</f>
        <v>View</v>
      </c>
      <c r="V1520" s="14"/>
      <c r="W1520" s="14"/>
      <c r="X1520" s="14"/>
      <c r="Y1520" s="14"/>
      <c r="Z1520" s="14"/>
    </row>
    <row r="1521">
      <c r="A1521" s="11">
        <v>43845.44017361111</v>
      </c>
      <c r="B1521" s="12" t="str">
        <f>HYPERLINK("https://twitter.com/ZenMedica","@ZenMedica")</f>
        <v>@ZenMedica</v>
      </c>
      <c r="C1521" s="1" t="s">
        <v>7151</v>
      </c>
      <c r="D1521" s="1" t="s">
        <v>7152</v>
      </c>
      <c r="E1521" s="12" t="str">
        <f>HYPERLINK("https://twitter.com/ZenMedica/status/1217469955756654592","1217469955756654592")</f>
        <v>1217469955756654592</v>
      </c>
      <c r="F1521" s="14"/>
      <c r="G1521" s="13" t="s">
        <v>7153</v>
      </c>
      <c r="H1521" s="14"/>
      <c r="I1521" s="15">
        <v>0.0</v>
      </c>
      <c r="J1521" s="15">
        <v>1.0</v>
      </c>
      <c r="K1521" s="12" t="str">
        <f>HYPERLINK("http://twitter.com/download/iphone","Twitter for iPhone")</f>
        <v>Twitter for iPhone</v>
      </c>
      <c r="L1521" s="16">
        <v>147.0</v>
      </c>
      <c r="M1521" s="16">
        <v>177.0</v>
      </c>
      <c r="N1521" s="16">
        <v>26.0</v>
      </c>
      <c r="O1521" s="17"/>
      <c r="P1521" s="18">
        <v>41133.67909722222</v>
      </c>
      <c r="Q1521" s="1" t="s">
        <v>7154</v>
      </c>
      <c r="R1521" s="1" t="s">
        <v>7155</v>
      </c>
      <c r="S1521" s="13" t="s">
        <v>7156</v>
      </c>
      <c r="T1521" s="14"/>
      <c r="U1521" s="19" t="str">
        <f>HYPERLINK("https://pbs.twimg.com/profile_images/2496571029/logo1.jpg","View")</f>
        <v>View</v>
      </c>
      <c r="V1521" s="14"/>
      <c r="W1521" s="14"/>
      <c r="X1521" s="14"/>
      <c r="Y1521" s="14"/>
      <c r="Z1521" s="14"/>
    </row>
    <row r="1522">
      <c r="A1522" s="11">
        <v>43845.43962962963</v>
      </c>
      <c r="B1522" s="12" t="str">
        <f>HYPERLINK("https://twitter.com/JennRozon","@JennRozon")</f>
        <v>@JennRozon</v>
      </c>
      <c r="C1522" s="1" t="s">
        <v>7157</v>
      </c>
      <c r="D1522" s="1" t="s">
        <v>7158</v>
      </c>
      <c r="E1522" s="12" t="str">
        <f>HYPERLINK("https://twitter.com/JennRozon/status/1217469757219332098","1217469757219332098")</f>
        <v>1217469757219332098</v>
      </c>
      <c r="F1522" s="14"/>
      <c r="G1522" s="14"/>
      <c r="H1522" s="14"/>
      <c r="I1522" s="15">
        <v>1.0</v>
      </c>
      <c r="J1522" s="15">
        <v>3.0</v>
      </c>
      <c r="K1522" s="12" t="str">
        <f>HYPERLINK("https://mobile.twitter.com","Twitter Web App")</f>
        <v>Twitter Web App</v>
      </c>
      <c r="L1522" s="16">
        <v>18.0</v>
      </c>
      <c r="M1522" s="16">
        <v>59.0</v>
      </c>
      <c r="N1522" s="16">
        <v>2.0</v>
      </c>
      <c r="O1522" s="17"/>
      <c r="P1522" s="18">
        <v>43839.473912037036</v>
      </c>
      <c r="Q1522" s="1" t="s">
        <v>2856</v>
      </c>
      <c r="R1522" s="1" t="s">
        <v>7159</v>
      </c>
      <c r="S1522" s="13" t="s">
        <v>7160</v>
      </c>
      <c r="T1522" s="14"/>
      <c r="U1522" s="19" t="str">
        <f>HYPERLINK("https://pbs.twimg.com/profile_images/1215308186435145728/Zk-oSIcz.jpg","View")</f>
        <v>View</v>
      </c>
      <c r="V1522" s="14"/>
      <c r="W1522" s="14"/>
      <c r="X1522" s="14"/>
      <c r="Y1522" s="14"/>
      <c r="Z1522" s="14"/>
    </row>
    <row r="1523">
      <c r="A1523" s="11">
        <v>43845.43773148148</v>
      </c>
      <c r="B1523" s="12" t="str">
        <f>HYPERLINK("https://twitter.com/DrLaurenZimmaro","@DrLaurenZimmaro")</f>
        <v>@DrLaurenZimmaro</v>
      </c>
      <c r="C1523" s="1" t="s">
        <v>7161</v>
      </c>
      <c r="D1523" s="1" t="s">
        <v>7162</v>
      </c>
      <c r="E1523" s="12" t="str">
        <f>HYPERLINK("https://twitter.com/DrLaurenZimmaro/status/1217469071001669632","1217469071001669632")</f>
        <v>1217469071001669632</v>
      </c>
      <c r="F1523" s="13" t="s">
        <v>7163</v>
      </c>
      <c r="G1523" s="14"/>
      <c r="H1523" s="14"/>
      <c r="I1523" s="15">
        <v>0.0</v>
      </c>
      <c r="J1523" s="15">
        <v>0.0</v>
      </c>
      <c r="K1523" s="12" t="str">
        <f>HYPERLINK("http://twitter.com/download/iphone","Twitter for iPhone")</f>
        <v>Twitter for iPhone</v>
      </c>
      <c r="L1523" s="16">
        <v>50.0</v>
      </c>
      <c r="M1523" s="16">
        <v>139.0</v>
      </c>
      <c r="N1523" s="16">
        <v>0.0</v>
      </c>
      <c r="O1523" s="17"/>
      <c r="P1523" s="18">
        <v>43671.64488425926</v>
      </c>
      <c r="Q1523" s="1" t="s">
        <v>2015</v>
      </c>
      <c r="R1523" s="1" t="s">
        <v>7164</v>
      </c>
      <c r="S1523" s="14"/>
      <c r="T1523" s="14"/>
      <c r="U1523" s="19" t="str">
        <f>HYPERLINK("https://pbs.twimg.com/profile_images/1172156934981480448/rKygGQne.png","View")</f>
        <v>View</v>
      </c>
      <c r="V1523" s="14"/>
      <c r="W1523" s="14"/>
      <c r="X1523" s="14"/>
      <c r="Y1523" s="14"/>
      <c r="Z1523" s="14"/>
    </row>
    <row r="1524">
      <c r="A1524" s="11">
        <v>43845.43760416667</v>
      </c>
      <c r="B1524" s="12" t="str">
        <f>HYPERLINK("https://twitter.com/smartobrain_","@smartobrain_")</f>
        <v>@smartobrain_</v>
      </c>
      <c r="C1524" s="1" t="s">
        <v>7165</v>
      </c>
      <c r="D1524" s="1" t="s">
        <v>7166</v>
      </c>
      <c r="E1524" s="12" t="str">
        <f>HYPERLINK("https://twitter.com/smartobrain_/status/1217469023467778048","1217469023467778048")</f>
        <v>1217469023467778048</v>
      </c>
      <c r="F1524" s="14"/>
      <c r="G1524" s="13" t="s">
        <v>7167</v>
      </c>
      <c r="H1524" s="14"/>
      <c r="I1524" s="15">
        <v>0.0</v>
      </c>
      <c r="J1524" s="15">
        <v>0.0</v>
      </c>
      <c r="K1524" s="12" t="str">
        <f>HYPERLINK("https://smartobrain.com","smartobrain")</f>
        <v>smartobrain</v>
      </c>
      <c r="L1524" s="16">
        <v>3994.0</v>
      </c>
      <c r="M1524" s="16">
        <v>3061.0</v>
      </c>
      <c r="N1524" s="16">
        <v>28.0</v>
      </c>
      <c r="O1524" s="17"/>
      <c r="P1524" s="18">
        <v>42967.971875</v>
      </c>
      <c r="Q1524" s="1" t="s">
        <v>1885</v>
      </c>
      <c r="R1524" s="1" t="s">
        <v>7168</v>
      </c>
      <c r="S1524" s="13" t="s">
        <v>7169</v>
      </c>
      <c r="T1524" s="14"/>
      <c r="U1524" s="19" t="str">
        <f>HYPERLINK("https://pbs.twimg.com/profile_images/955610291634454529/KTLPkYOs.jpg","View")</f>
        <v>View</v>
      </c>
      <c r="V1524" s="14"/>
      <c r="W1524" s="14"/>
      <c r="X1524" s="14"/>
      <c r="Y1524" s="14"/>
      <c r="Z1524" s="14"/>
    </row>
    <row r="1525">
      <c r="A1525" s="11">
        <v>43845.43457175926</v>
      </c>
      <c r="B1525" s="12" t="str">
        <f>HYPERLINK("https://twitter.com/1romancatholic","@1romancatholic")</f>
        <v>@1romancatholic</v>
      </c>
      <c r="C1525" s="1" t="s">
        <v>7170</v>
      </c>
      <c r="D1525" s="1" t="s">
        <v>7171</v>
      </c>
      <c r="E1525" s="12" t="str">
        <f>HYPERLINK("https://twitter.com/1romancatholic/status/1217467927160672258","1217467927160672258")</f>
        <v>1217467927160672258</v>
      </c>
      <c r="F1525" s="14"/>
      <c r="G1525" s="13" t="s">
        <v>7172</v>
      </c>
      <c r="H1525" s="14"/>
      <c r="I1525" s="15">
        <v>1.0</v>
      </c>
      <c r="J1525" s="15">
        <v>2.0</v>
      </c>
      <c r="K1525" s="12" t="str">
        <f>HYPERLINK("http://twitter.com/#!/download/ipad","Twitter for iPad")</f>
        <v>Twitter for iPad</v>
      </c>
      <c r="L1525" s="16">
        <v>4128.0</v>
      </c>
      <c r="M1525" s="16">
        <v>3845.0</v>
      </c>
      <c r="N1525" s="16">
        <v>138.0</v>
      </c>
      <c r="O1525" s="17"/>
      <c r="P1525" s="18">
        <v>39693.58609953704</v>
      </c>
      <c r="Q1525" s="1" t="s">
        <v>115</v>
      </c>
      <c r="R1525" s="1" t="s">
        <v>7173</v>
      </c>
      <c r="S1525" s="13" t="s">
        <v>7174</v>
      </c>
      <c r="T1525" s="14"/>
      <c r="U1525" s="19" t="str">
        <f>HYPERLINK("https://pbs.twimg.com/profile_images/1145199857591865344/vfmN4oNn.jpg","View")</f>
        <v>View</v>
      </c>
      <c r="V1525" s="14"/>
      <c r="W1525" s="14"/>
      <c r="X1525" s="14"/>
      <c r="Y1525" s="14"/>
      <c r="Z1525" s="14"/>
    </row>
    <row r="1526">
      <c r="A1526" s="11">
        <v>43845.434166666666</v>
      </c>
      <c r="B1526" s="12" t="str">
        <f>HYPERLINK("https://twitter.com/TBtalks","@TBtalks")</f>
        <v>@TBtalks</v>
      </c>
      <c r="C1526" s="1" t="s">
        <v>355</v>
      </c>
      <c r="D1526" s="1" t="s">
        <v>7175</v>
      </c>
      <c r="E1526" s="12" t="str">
        <f>HYPERLINK("https://twitter.com/TBtalks/status/1217467778149552129","1217467778149552129")</f>
        <v>1217467778149552129</v>
      </c>
      <c r="F1526" s="13" t="s">
        <v>7176</v>
      </c>
      <c r="G1526" s="13" t="s">
        <v>7177</v>
      </c>
      <c r="H1526" s="14"/>
      <c r="I1526" s="15">
        <v>0.0</v>
      </c>
      <c r="J1526" s="15">
        <v>0.0</v>
      </c>
      <c r="K1526" s="12" t="str">
        <f t="shared" ref="K1526:K1527" si="146">HYPERLINK("https://www.hootsuite.com","Hootsuite Inc.")</f>
        <v>Hootsuite Inc.</v>
      </c>
      <c r="L1526" s="16">
        <v>1190.0</v>
      </c>
      <c r="M1526" s="16">
        <v>566.0</v>
      </c>
      <c r="N1526" s="16">
        <v>25.0</v>
      </c>
      <c r="O1526" s="17"/>
      <c r="P1526" s="18">
        <v>41197.62918981482</v>
      </c>
      <c r="Q1526" s="1" t="s">
        <v>358</v>
      </c>
      <c r="R1526" s="1" t="s">
        <v>359</v>
      </c>
      <c r="S1526" s="13" t="s">
        <v>360</v>
      </c>
      <c r="T1526" s="14"/>
      <c r="U1526" s="19" t="str">
        <f>HYPERLINK("https://pbs.twimg.com/profile_images/1181990097610256384/DQu0ny3B.jpg","View")</f>
        <v>View</v>
      </c>
      <c r="V1526" s="14"/>
      <c r="W1526" s="14"/>
      <c r="X1526" s="14"/>
      <c r="Y1526" s="14"/>
      <c r="Z1526" s="14"/>
    </row>
    <row r="1527">
      <c r="A1527" s="11">
        <v>43845.43409722223</v>
      </c>
      <c r="B1527" s="12" t="str">
        <f>HYPERLINK("https://twitter.com/djemal_ua","@djemal_ua")</f>
        <v>@djemal_ua</v>
      </c>
      <c r="C1527" s="1" t="s">
        <v>2797</v>
      </c>
      <c r="D1527" s="1" t="s">
        <v>2798</v>
      </c>
      <c r="E1527" s="12" t="str">
        <f>HYPERLINK("https://twitter.com/djemal_ua/status/1217467753189269504","1217467753189269504")</f>
        <v>1217467753189269504</v>
      </c>
      <c r="F1527" s="13" t="s">
        <v>2799</v>
      </c>
      <c r="G1527" s="14"/>
      <c r="H1527" s="14"/>
      <c r="I1527" s="15">
        <v>1.0</v>
      </c>
      <c r="J1527" s="15">
        <v>2.0</v>
      </c>
      <c r="K1527" s="12" t="str">
        <f t="shared" si="146"/>
        <v>Hootsuite Inc.</v>
      </c>
      <c r="L1527" s="16">
        <v>5127.0</v>
      </c>
      <c r="M1527" s="16">
        <v>4724.0</v>
      </c>
      <c r="N1527" s="16">
        <v>60.0</v>
      </c>
      <c r="O1527" s="17"/>
      <c r="P1527" s="18">
        <v>43530.25729166667</v>
      </c>
      <c r="Q1527" s="1" t="s">
        <v>268</v>
      </c>
      <c r="R1527" s="1" t="s">
        <v>2800</v>
      </c>
      <c r="S1527" s="13" t="s">
        <v>2801</v>
      </c>
      <c r="T1527" s="14"/>
      <c r="U1527" s="19" t="str">
        <f>HYPERLINK("https://pbs.twimg.com/profile_images/1202978381106761728/aqUhVSTO.jpg","View")</f>
        <v>View</v>
      </c>
      <c r="V1527" s="14"/>
      <c r="W1527" s="14"/>
      <c r="X1527" s="14"/>
      <c r="Y1527" s="14"/>
      <c r="Z1527" s="14"/>
    </row>
    <row r="1528">
      <c r="A1528" s="11">
        <v>43845.433217592596</v>
      </c>
      <c r="B1528" s="12" t="str">
        <f>HYPERLINK("https://twitter.com/hearthandmadeuk","@hearthandmadeuk")</f>
        <v>@hearthandmadeuk</v>
      </c>
      <c r="C1528" s="1" t="s">
        <v>894</v>
      </c>
      <c r="D1528" s="1" t="s">
        <v>7178</v>
      </c>
      <c r="E1528" s="12" t="str">
        <f>HYPERLINK("https://twitter.com/hearthandmadeuk/status/1217467436242472961","1217467436242472961")</f>
        <v>1217467436242472961</v>
      </c>
      <c r="F1528" s="13" t="s">
        <v>896</v>
      </c>
      <c r="G1528" s="13" t="s">
        <v>7179</v>
      </c>
      <c r="H1528" s="14"/>
      <c r="I1528" s="15">
        <v>0.0</v>
      </c>
      <c r="J1528" s="15">
        <v>1.0</v>
      </c>
      <c r="K1528" s="12" t="str">
        <f>HYPERLINK("https://missinglettr.com","Missinglettr")</f>
        <v>Missinglettr</v>
      </c>
      <c r="L1528" s="16">
        <v>5257.0</v>
      </c>
      <c r="M1528" s="16">
        <v>1163.0</v>
      </c>
      <c r="N1528" s="16">
        <v>166.0</v>
      </c>
      <c r="O1528" s="17"/>
      <c r="P1528" s="18">
        <v>40246.384247685186</v>
      </c>
      <c r="Q1528" s="1" t="s">
        <v>898</v>
      </c>
      <c r="R1528" s="1" t="s">
        <v>899</v>
      </c>
      <c r="S1528" s="13" t="s">
        <v>900</v>
      </c>
      <c r="T1528" s="14"/>
      <c r="U1528" s="19" t="str">
        <f>HYPERLINK("https://pbs.twimg.com/profile_images/1096057274760683521/Bog751sc.png","View")</f>
        <v>View</v>
      </c>
      <c r="V1528" s="14"/>
      <c r="W1528" s="14"/>
      <c r="X1528" s="14"/>
      <c r="Y1528" s="14"/>
      <c r="Z1528" s="14"/>
    </row>
    <row r="1529">
      <c r="A1529" s="11">
        <v>43845.43121527778</v>
      </c>
      <c r="B1529" s="12" t="str">
        <f>HYPERLINK("https://twitter.com/LNCHClinic","@LNCHClinic")</f>
        <v>@LNCHClinic</v>
      </c>
      <c r="C1529" s="1" t="s">
        <v>7180</v>
      </c>
      <c r="D1529" s="1" t="s">
        <v>7181</v>
      </c>
      <c r="E1529" s="12" t="str">
        <f>HYPERLINK("https://twitter.com/LNCHClinic/status/1217466710405603329","1217466710405603329")</f>
        <v>1217466710405603329</v>
      </c>
      <c r="F1529" s="13" t="s">
        <v>7182</v>
      </c>
      <c r="G1529" s="14"/>
      <c r="H1529" s="14"/>
      <c r="I1529" s="15">
        <v>0.0</v>
      </c>
      <c r="J1529" s="15">
        <v>1.0</v>
      </c>
      <c r="K1529" s="12" t="str">
        <f t="shared" ref="K1529:K1530" si="147">HYPERLINK("http://twitter.com","Twitter Web Client")</f>
        <v>Twitter Web Client</v>
      </c>
      <c r="L1529" s="16">
        <v>80.0</v>
      </c>
      <c r="M1529" s="16">
        <v>49.0</v>
      </c>
      <c r="N1529" s="16">
        <v>5.0</v>
      </c>
      <c r="O1529" s="17"/>
      <c r="P1529" s="18">
        <v>41675.41790509259</v>
      </c>
      <c r="Q1529" s="1" t="s">
        <v>7183</v>
      </c>
      <c r="R1529" s="1" t="s">
        <v>7184</v>
      </c>
      <c r="S1529" s="13" t="s">
        <v>7185</v>
      </c>
      <c r="T1529" s="14"/>
      <c r="U1529" s="19" t="str">
        <f>HYPERLINK("https://pbs.twimg.com/profile_images/459082529761284096/t0GHFXN7.jpeg","View")</f>
        <v>View</v>
      </c>
      <c r="V1529" s="14"/>
      <c r="W1529" s="14"/>
      <c r="X1529" s="14"/>
      <c r="Y1529" s="14"/>
      <c r="Z1529" s="14"/>
    </row>
    <row r="1530">
      <c r="A1530" s="11">
        <v>43845.428402777776</v>
      </c>
      <c r="B1530" s="12" t="str">
        <f>HYPERLINK("https://twitter.com/PsychTimes","@PsychTimes")</f>
        <v>@PsychTimes</v>
      </c>
      <c r="C1530" s="1" t="s">
        <v>7186</v>
      </c>
      <c r="D1530" s="1" t="s">
        <v>7187</v>
      </c>
      <c r="E1530" s="12" t="str">
        <f>HYPERLINK("https://twitter.com/PsychTimes/status/1217465687871901696","1217465687871901696")</f>
        <v>1217465687871901696</v>
      </c>
      <c r="F1530" s="13" t="s">
        <v>7188</v>
      </c>
      <c r="G1530" s="14"/>
      <c r="H1530" s="14"/>
      <c r="I1530" s="15">
        <v>1.0</v>
      </c>
      <c r="J1530" s="15">
        <v>6.0</v>
      </c>
      <c r="K1530" s="12" t="str">
        <f t="shared" si="147"/>
        <v>Twitter Web Client</v>
      </c>
      <c r="L1530" s="16">
        <v>85880.0</v>
      </c>
      <c r="M1530" s="16">
        <v>4960.0</v>
      </c>
      <c r="N1530" s="16">
        <v>1688.0</v>
      </c>
      <c r="O1530" s="17"/>
      <c r="P1530" s="18">
        <v>39861.442766203705</v>
      </c>
      <c r="Q1530" s="1" t="s">
        <v>7189</v>
      </c>
      <c r="R1530" s="1" t="s">
        <v>7190</v>
      </c>
      <c r="S1530" s="13" t="s">
        <v>7191</v>
      </c>
      <c r="T1530" s="14"/>
      <c r="U1530" s="19" t="str">
        <f>HYPERLINK("https://pbs.twimg.com/profile_images/1195000826118443008/VMeHWQyz.jpg","View")</f>
        <v>View</v>
      </c>
      <c r="V1530" s="14"/>
      <c r="W1530" s="14"/>
      <c r="X1530" s="14"/>
      <c r="Y1530" s="14"/>
      <c r="Z1530" s="14"/>
    </row>
    <row r="1531">
      <c r="A1531" s="11">
        <v>43845.42721064815</v>
      </c>
      <c r="B1531" s="12" t="str">
        <f>HYPERLINK("https://twitter.com/UKVRA","@UKVRA")</f>
        <v>@UKVRA</v>
      </c>
      <c r="C1531" s="1" t="s">
        <v>7192</v>
      </c>
      <c r="D1531" s="1" t="s">
        <v>7193</v>
      </c>
      <c r="E1531" s="12" t="str">
        <f>HYPERLINK("https://twitter.com/UKVRA/status/1217465259545505792","1217465259545505792")</f>
        <v>1217465259545505792</v>
      </c>
      <c r="F1531" s="13" t="s">
        <v>7194</v>
      </c>
      <c r="G1531" s="14"/>
      <c r="H1531" s="14"/>
      <c r="I1531" s="15">
        <v>0.0</v>
      </c>
      <c r="J1531" s="15">
        <v>0.0</v>
      </c>
      <c r="K1531" s="12" t="str">
        <f>HYPERLINK("https://www.hootsuite.com","Hootsuite Inc.")</f>
        <v>Hootsuite Inc.</v>
      </c>
      <c r="L1531" s="16">
        <v>2043.0</v>
      </c>
      <c r="M1531" s="16">
        <v>3382.0</v>
      </c>
      <c r="N1531" s="16">
        <v>25.0</v>
      </c>
      <c r="O1531" s="17"/>
      <c r="P1531" s="18">
        <v>40717.11199074074</v>
      </c>
      <c r="Q1531" s="1" t="s">
        <v>864</v>
      </c>
      <c r="R1531" s="1" t="s">
        <v>7195</v>
      </c>
      <c r="S1531" s="13" t="s">
        <v>7196</v>
      </c>
      <c r="T1531" s="14"/>
      <c r="U1531" s="19" t="str">
        <f>HYPERLINK("https://pbs.twimg.com/profile_images/2237406529/twit73x73.jpg","View")</f>
        <v>View</v>
      </c>
      <c r="V1531" s="14"/>
      <c r="W1531" s="14"/>
      <c r="X1531" s="14"/>
      <c r="Y1531" s="14"/>
      <c r="Z1531" s="14"/>
    </row>
    <row r="1532">
      <c r="A1532" s="11">
        <v>43845.42530092593</v>
      </c>
      <c r="B1532" s="12" t="str">
        <f>HYPERLINK("https://twitter.com/CupOfJoeCanada","@CupOfJoeCanada")</f>
        <v>@CupOfJoeCanada</v>
      </c>
      <c r="C1532" s="1" t="s">
        <v>7197</v>
      </c>
      <c r="D1532" s="1" t="s">
        <v>7198</v>
      </c>
      <c r="E1532" s="12" t="str">
        <f>HYPERLINK("https://twitter.com/CupOfJoeCanada/status/1217464565736173569","1217464565736173569")</f>
        <v>1217464565736173569</v>
      </c>
      <c r="F1532" s="13" t="s">
        <v>7199</v>
      </c>
      <c r="G1532" s="14"/>
      <c r="H1532" s="14"/>
      <c r="I1532" s="15">
        <v>0.0</v>
      </c>
      <c r="J1532" s="15">
        <v>0.0</v>
      </c>
      <c r="K1532" s="12" t="str">
        <f>HYPERLINK("http://twitter.com","Twitter Web Client")</f>
        <v>Twitter Web Client</v>
      </c>
      <c r="L1532" s="16">
        <v>216.0</v>
      </c>
      <c r="M1532" s="16">
        <v>146.0</v>
      </c>
      <c r="N1532" s="16">
        <v>104.0</v>
      </c>
      <c r="O1532" s="17"/>
      <c r="P1532" s="18">
        <v>41882.39581018519</v>
      </c>
      <c r="Q1532" s="14"/>
      <c r="R1532" s="1" t="s">
        <v>7200</v>
      </c>
      <c r="S1532" s="13" t="s">
        <v>7201</v>
      </c>
      <c r="T1532" s="14"/>
      <c r="U1532" s="19" t="str">
        <f>HYPERLINK("https://pbs.twimg.com/profile_images/818632813855514625/E7bOE9RE.jpg","View")</f>
        <v>View</v>
      </c>
      <c r="V1532" s="14"/>
      <c r="W1532" s="14"/>
      <c r="X1532" s="14"/>
      <c r="Y1532" s="14"/>
      <c r="Z1532" s="14"/>
    </row>
    <row r="1533">
      <c r="A1533" s="11">
        <v>43845.42528935186</v>
      </c>
      <c r="B1533" s="12" t="str">
        <f>HYPERLINK("https://twitter.com/LoveArtPix1","@LoveArtPix1")</f>
        <v>@LoveArtPix1</v>
      </c>
      <c r="C1533" s="1" t="s">
        <v>7202</v>
      </c>
      <c r="D1533" s="1" t="s">
        <v>7203</v>
      </c>
      <c r="E1533" s="12" t="str">
        <f>HYPERLINK("https://twitter.com/LoveArtPix1/status/1217464560879382534","1217464560879382534")</f>
        <v>1217464560879382534</v>
      </c>
      <c r="F1533" s="13" t="s">
        <v>7204</v>
      </c>
      <c r="G1533" s="14"/>
      <c r="H1533" s="14"/>
      <c r="I1533" s="15">
        <v>0.0</v>
      </c>
      <c r="J1533" s="15">
        <v>2.0</v>
      </c>
      <c r="K1533" s="12" t="str">
        <f>HYPERLINK("http://instagram.com","Instagram")</f>
        <v>Instagram</v>
      </c>
      <c r="L1533" s="16">
        <v>15.0</v>
      </c>
      <c r="M1533" s="16">
        <v>38.0</v>
      </c>
      <c r="N1533" s="16">
        <v>0.0</v>
      </c>
      <c r="O1533" s="17"/>
      <c r="P1533" s="18">
        <v>43389.996354166666</v>
      </c>
      <c r="Q1533" s="1" t="s">
        <v>1255</v>
      </c>
      <c r="R1533" s="1" t="s">
        <v>7205</v>
      </c>
      <c r="S1533" s="14"/>
      <c r="T1533" s="14"/>
      <c r="U1533" s="19" t="str">
        <f>HYPERLINK("https://pbs.twimg.com/profile_images/1196363169767268352/eWHlZgV-.jpg","View")</f>
        <v>View</v>
      </c>
      <c r="V1533" s="14"/>
      <c r="W1533" s="14"/>
      <c r="X1533" s="14"/>
      <c r="Y1533" s="14"/>
      <c r="Z1533" s="14"/>
    </row>
    <row r="1534">
      <c r="A1534" s="11">
        <v>43845.42460648148</v>
      </c>
      <c r="B1534" s="12" t="str">
        <f>HYPERLINK("https://twitter.com/SearchAllNJhome","@SearchAllNJhome")</f>
        <v>@SearchAllNJhome</v>
      </c>
      <c r="C1534" s="1" t="s">
        <v>7206</v>
      </c>
      <c r="D1534" s="1" t="s">
        <v>7207</v>
      </c>
      <c r="E1534" s="12" t="str">
        <f>HYPERLINK("https://twitter.com/SearchAllNJhome/status/1217464312278781953","1217464312278781953")</f>
        <v>1217464312278781953</v>
      </c>
      <c r="F1534" s="13" t="s">
        <v>7208</v>
      </c>
      <c r="G1534" s="14"/>
      <c r="H1534" s="14"/>
      <c r="I1534" s="15">
        <v>0.0</v>
      </c>
      <c r="J1534" s="15">
        <v>0.0</v>
      </c>
      <c r="K1534" s="12" t="str">
        <f>HYPERLINK("https://bombbomb.com","BombBomb")</f>
        <v>BombBomb</v>
      </c>
      <c r="L1534" s="16">
        <v>341.0</v>
      </c>
      <c r="M1534" s="16">
        <v>451.0</v>
      </c>
      <c r="N1534" s="16">
        <v>51.0</v>
      </c>
      <c r="O1534" s="17"/>
      <c r="P1534" s="18">
        <v>41826.61813657408</v>
      </c>
      <c r="Q1534" s="1" t="s">
        <v>108</v>
      </c>
      <c r="R1534" s="1" t="s">
        <v>7209</v>
      </c>
      <c r="S1534" s="13" t="s">
        <v>7210</v>
      </c>
      <c r="T1534" s="14"/>
      <c r="U1534" s="19" t="str">
        <f>HYPERLINK("https://pbs.twimg.com/profile_images/1127051170114154497/oCa98kXi.png","View")</f>
        <v>View</v>
      </c>
      <c r="V1534" s="14"/>
      <c r="W1534" s="14"/>
      <c r="X1534" s="14"/>
      <c r="Y1534" s="14"/>
      <c r="Z1534" s="14"/>
    </row>
    <row r="1535">
      <c r="A1535" s="11">
        <v>43845.42427083333</v>
      </c>
      <c r="B1535" s="12" t="str">
        <f>HYPERLINK("https://twitter.com/michellelin","@michellelin")</f>
        <v>@michellelin</v>
      </c>
      <c r="C1535" s="1" t="s">
        <v>7211</v>
      </c>
      <c r="D1535" s="1" t="s">
        <v>7212</v>
      </c>
      <c r="E1535" s="12" t="str">
        <f>HYPERLINK("https://twitter.com/michellelin/status/1217464192690638848","1217464192690638848")</f>
        <v>1217464192690638848</v>
      </c>
      <c r="F1535" s="14"/>
      <c r="G1535" s="13" t="s">
        <v>7213</v>
      </c>
      <c r="H1535" s="14"/>
      <c r="I1535" s="15">
        <v>0.0</v>
      </c>
      <c r="J1535" s="15">
        <v>2.0</v>
      </c>
      <c r="K1535" s="12" t="str">
        <f>HYPERLINK("http://twitter.com/download/iphone","Twitter for iPhone")</f>
        <v>Twitter for iPhone</v>
      </c>
      <c r="L1535" s="16">
        <v>882.0</v>
      </c>
      <c r="M1535" s="16">
        <v>574.0</v>
      </c>
      <c r="N1535" s="16">
        <v>10.0</v>
      </c>
      <c r="O1535" s="17"/>
      <c r="P1535" s="18">
        <v>39780.408425925925</v>
      </c>
      <c r="Q1535" s="1" t="s">
        <v>1493</v>
      </c>
      <c r="R1535" s="1" t="s">
        <v>7214</v>
      </c>
      <c r="S1535" s="14"/>
      <c r="T1535" s="14"/>
      <c r="U1535" s="19" t="str">
        <f>HYPERLINK("https://pbs.twimg.com/profile_images/1216055548254179328/vjT5YUi9.jpg","View")</f>
        <v>View</v>
      </c>
      <c r="V1535" s="14"/>
      <c r="W1535" s="14"/>
      <c r="X1535" s="14"/>
      <c r="Y1535" s="14"/>
      <c r="Z1535" s="14"/>
    </row>
    <row r="1536">
      <c r="A1536" s="11">
        <v>43845.42380787037</v>
      </c>
      <c r="B1536" s="12" t="str">
        <f>HYPERLINK("https://twitter.com/mglhr","@mglhr")</f>
        <v>@mglhr</v>
      </c>
      <c r="C1536" s="1" t="s">
        <v>7215</v>
      </c>
      <c r="D1536" s="1" t="s">
        <v>7216</v>
      </c>
      <c r="E1536" s="12" t="str">
        <f>HYPERLINK("https://twitter.com/mglhr/status/1217464024536952832","1217464024536952832")</f>
        <v>1217464024536952832</v>
      </c>
      <c r="F1536" s="13" t="s">
        <v>7217</v>
      </c>
      <c r="G1536" s="13" t="s">
        <v>7218</v>
      </c>
      <c r="H1536" s="14"/>
      <c r="I1536" s="15">
        <v>0.0</v>
      </c>
      <c r="J1536" s="15">
        <v>0.0</v>
      </c>
      <c r="K1536" s="12" t="str">
        <f>HYPERLINK("https://www.hootsuite.com","Hootsuite Inc.")</f>
        <v>Hootsuite Inc.</v>
      </c>
      <c r="L1536" s="16">
        <v>2079.0</v>
      </c>
      <c r="M1536" s="16">
        <v>2277.0</v>
      </c>
      <c r="N1536" s="16">
        <v>341.0</v>
      </c>
      <c r="O1536" s="17"/>
      <c r="P1536" s="18">
        <v>40599.32267361111</v>
      </c>
      <c r="Q1536" s="1" t="s">
        <v>7219</v>
      </c>
      <c r="R1536" s="1" t="s">
        <v>7220</v>
      </c>
      <c r="S1536" s="13" t="s">
        <v>7221</v>
      </c>
      <c r="T1536" s="14"/>
      <c r="U1536" s="19" t="str">
        <f>HYPERLINK("https://pbs.twimg.com/profile_images/1254726025/MGLhrLogo2.jpg","View")</f>
        <v>View</v>
      </c>
      <c r="V1536" s="14"/>
      <c r="W1536" s="14"/>
      <c r="X1536" s="14"/>
      <c r="Y1536" s="14"/>
      <c r="Z1536" s="14"/>
    </row>
    <row r="1537">
      <c r="A1537" s="11">
        <v>43845.42328703703</v>
      </c>
      <c r="B1537" s="12" t="str">
        <f>HYPERLINK("https://twitter.com/StaywellOH","@StaywellOH")</f>
        <v>@StaywellOH</v>
      </c>
      <c r="C1537" s="1" t="s">
        <v>5147</v>
      </c>
      <c r="D1537" s="1" t="s">
        <v>7222</v>
      </c>
      <c r="E1537" s="12" t="str">
        <f>HYPERLINK("https://twitter.com/StaywellOH/status/1217463837877850114","1217463837877850114")</f>
        <v>1217463837877850114</v>
      </c>
      <c r="F1537" s="13" t="s">
        <v>7223</v>
      </c>
      <c r="G1537" s="14"/>
      <c r="H1537" s="14"/>
      <c r="I1537" s="15">
        <v>1.0</v>
      </c>
      <c r="J1537" s="15">
        <v>0.0</v>
      </c>
      <c r="K1537" s="12" t="str">
        <f>HYPERLINK("https://mobile.twitter.com","Twitter Web App")</f>
        <v>Twitter Web App</v>
      </c>
      <c r="L1537" s="16">
        <v>12097.0</v>
      </c>
      <c r="M1537" s="16">
        <v>9227.0</v>
      </c>
      <c r="N1537" s="16">
        <v>239.0</v>
      </c>
      <c r="O1537" s="17"/>
      <c r="P1537" s="18">
        <v>42158.29020833333</v>
      </c>
      <c r="Q1537" s="1" t="s">
        <v>1194</v>
      </c>
      <c r="R1537" s="1" t="s">
        <v>5150</v>
      </c>
      <c r="S1537" s="13" t="s">
        <v>5151</v>
      </c>
      <c r="T1537" s="14"/>
      <c r="U1537" s="19" t="str">
        <f>HYPERLINK("https://pbs.twimg.com/profile_images/606053718086270977/NH7FHNHQ.png","View")</f>
        <v>View</v>
      </c>
      <c r="V1537" s="14"/>
      <c r="W1537" s="14"/>
      <c r="X1537" s="14"/>
      <c r="Y1537" s="14"/>
      <c r="Z1537" s="14"/>
    </row>
    <row r="1538">
      <c r="A1538" s="11">
        <v>43845.42273148148</v>
      </c>
      <c r="B1538" s="12" t="str">
        <f>HYPERLINK("https://twitter.com/DrNoelBlanco","@DrNoelBlanco")</f>
        <v>@DrNoelBlanco</v>
      </c>
      <c r="C1538" s="1" t="s">
        <v>7224</v>
      </c>
      <c r="D1538" s="1" t="s">
        <v>7225</v>
      </c>
      <c r="E1538" s="12" t="str">
        <f>HYPERLINK("https://twitter.com/DrNoelBlanco/status/1217463635397705729","1217463635397705729")</f>
        <v>1217463635397705729</v>
      </c>
      <c r="F1538" s="13" t="s">
        <v>7226</v>
      </c>
      <c r="G1538" s="14"/>
      <c r="H1538" s="14"/>
      <c r="I1538" s="15">
        <v>0.0</v>
      </c>
      <c r="J1538" s="15">
        <v>0.0</v>
      </c>
      <c r="K1538" s="12" t="str">
        <f>HYPERLINK("http://twitter.com","Twitter Web Client")</f>
        <v>Twitter Web Client</v>
      </c>
      <c r="L1538" s="16">
        <v>345.0</v>
      </c>
      <c r="M1538" s="16">
        <v>428.0</v>
      </c>
      <c r="N1538" s="16">
        <v>4.0</v>
      </c>
      <c r="O1538" s="17"/>
      <c r="P1538" s="18">
        <v>43158.972291666665</v>
      </c>
      <c r="Q1538" s="1" t="s">
        <v>3609</v>
      </c>
      <c r="R1538" s="1" t="s">
        <v>7227</v>
      </c>
      <c r="S1538" s="13" t="s">
        <v>7228</v>
      </c>
      <c r="T1538" s="14"/>
      <c r="U1538" s="19" t="str">
        <f>HYPERLINK("https://pbs.twimg.com/profile_images/1105652526429425664/laqWg8Ns.jpg","View")</f>
        <v>View</v>
      </c>
      <c r="V1538" s="14"/>
      <c r="W1538" s="14"/>
      <c r="X1538" s="14"/>
      <c r="Y1538" s="14"/>
      <c r="Z1538" s="14"/>
    </row>
    <row r="1539">
      <c r="A1539" s="11">
        <v>43845.42226851852</v>
      </c>
      <c r="B1539" s="12" t="str">
        <f>HYPERLINK("https://twitter.com/HinkleyPoint1","@HinkleyPoint1")</f>
        <v>@HinkleyPoint1</v>
      </c>
      <c r="C1539" s="1" t="s">
        <v>7229</v>
      </c>
      <c r="D1539" s="1" t="s">
        <v>7230</v>
      </c>
      <c r="E1539" s="12" t="str">
        <f>HYPERLINK("https://twitter.com/HinkleyPoint1/status/1217463468556767239","1217463468556767239")</f>
        <v>1217463468556767239</v>
      </c>
      <c r="F1539" s="1" t="s">
        <v>7231</v>
      </c>
      <c r="G1539" s="14"/>
      <c r="H1539" s="14"/>
      <c r="I1539" s="15">
        <v>0.0</v>
      </c>
      <c r="J1539" s="15">
        <v>0.0</v>
      </c>
      <c r="K1539" s="12" t="str">
        <f>HYPERLINK("http://twinybots.com","TwinyBots")</f>
        <v>TwinyBots</v>
      </c>
      <c r="L1539" s="16">
        <v>404.0</v>
      </c>
      <c r="M1539" s="16">
        <v>1893.0</v>
      </c>
      <c r="N1539" s="16">
        <v>13.0</v>
      </c>
      <c r="O1539" s="17"/>
      <c r="P1539" s="18">
        <v>43676.36009259259</v>
      </c>
      <c r="Q1539" s="1" t="s">
        <v>7232</v>
      </c>
      <c r="R1539" s="1" t="s">
        <v>7233</v>
      </c>
      <c r="S1539" s="14"/>
      <c r="T1539" s="14"/>
      <c r="U1539" s="19" t="str">
        <f>HYPERLINK("https://pbs.twimg.com/profile_images/1177211474403581954/w2sly-li.jpg","View")</f>
        <v>View</v>
      </c>
      <c r="V1539" s="14"/>
      <c r="W1539" s="14"/>
      <c r="X1539" s="14"/>
      <c r="Y1539" s="14"/>
      <c r="Z1539" s="14"/>
    </row>
    <row r="1540">
      <c r="A1540" s="11">
        <v>43845.420578703706</v>
      </c>
      <c r="B1540" s="12" t="str">
        <f>HYPERLINK("https://twitter.com/AngelFaceMedia","@AngelFaceMedia")</f>
        <v>@AngelFaceMedia</v>
      </c>
      <c r="C1540" s="1" t="s">
        <v>6520</v>
      </c>
      <c r="D1540" s="1" t="s">
        <v>7234</v>
      </c>
      <c r="E1540" s="12" t="str">
        <f>HYPERLINK("https://twitter.com/AngelFaceMedia/status/1217462853134929924","1217462853134929924")</f>
        <v>1217462853134929924</v>
      </c>
      <c r="F1540" s="14"/>
      <c r="G1540" s="13" t="s">
        <v>7235</v>
      </c>
      <c r="H1540" s="14"/>
      <c r="I1540" s="15">
        <v>1.0</v>
      </c>
      <c r="J1540" s="15">
        <v>0.0</v>
      </c>
      <c r="K1540" s="12" t="str">
        <f>HYPERLINK("https://www.later.com","LaterMedia")</f>
        <v>LaterMedia</v>
      </c>
      <c r="L1540" s="16">
        <v>4609.0</v>
      </c>
      <c r="M1540" s="16">
        <v>4796.0</v>
      </c>
      <c r="N1540" s="16">
        <v>524.0</v>
      </c>
      <c r="O1540" s="17"/>
      <c r="P1540" s="18">
        <v>40356.48460648148</v>
      </c>
      <c r="Q1540" s="1" t="s">
        <v>521</v>
      </c>
      <c r="R1540" s="1" t="s">
        <v>6523</v>
      </c>
      <c r="S1540" s="14"/>
      <c r="T1540" s="14"/>
      <c r="U1540" s="19" t="str">
        <f>HYPERLINK("https://pbs.twimg.com/profile_images/801836897345609729/c2DydRe_.jpg","View")</f>
        <v>View</v>
      </c>
      <c r="V1540" s="14"/>
      <c r="W1540" s="14"/>
      <c r="X1540" s="14"/>
      <c r="Y1540" s="14"/>
      <c r="Z1540" s="14"/>
    </row>
    <row r="1541">
      <c r="A1541" s="11">
        <v>43845.4200462963</v>
      </c>
      <c r="B1541" s="12" t="str">
        <f>HYPERLINK("https://twitter.com/WellieLevel","@WellieLevel")</f>
        <v>@WellieLevel</v>
      </c>
      <c r="C1541" s="1" t="s">
        <v>7236</v>
      </c>
      <c r="D1541" s="1" t="s">
        <v>7237</v>
      </c>
      <c r="E1541" s="12" t="str">
        <f>HYPERLINK("https://twitter.com/WellieLevel/status/1217462660784173056","1217462660784173056")</f>
        <v>1217462660784173056</v>
      </c>
      <c r="F1541" s="13" t="s">
        <v>7238</v>
      </c>
      <c r="G1541" s="14"/>
      <c r="H1541" s="14"/>
      <c r="I1541" s="15">
        <v>2.0</v>
      </c>
      <c r="J1541" s="15">
        <v>3.0</v>
      </c>
      <c r="K1541" s="12" t="str">
        <f>HYPERLINK("https://about.twitter.com/products/tweetdeck","TweetDeck")</f>
        <v>TweetDeck</v>
      </c>
      <c r="L1541" s="16">
        <v>265.0</v>
      </c>
      <c r="M1541" s="16">
        <v>446.0</v>
      </c>
      <c r="N1541" s="16">
        <v>0.0</v>
      </c>
      <c r="O1541" s="17"/>
      <c r="P1541" s="18">
        <v>41371.3534375</v>
      </c>
      <c r="Q1541" s="1" t="s">
        <v>7239</v>
      </c>
      <c r="R1541" s="1" t="s">
        <v>7240</v>
      </c>
      <c r="S1541" s="13" t="s">
        <v>7241</v>
      </c>
      <c r="T1541" s="14"/>
      <c r="U1541" s="19" t="str">
        <f>HYPERLINK("https://pbs.twimg.com/profile_images/826000029039075328/5QGX2sQu.jpg","View")</f>
        <v>View</v>
      </c>
      <c r="V1541" s="14"/>
      <c r="W1541" s="14"/>
      <c r="X1541" s="14"/>
      <c r="Y1541" s="14"/>
      <c r="Z1541" s="14"/>
    </row>
    <row r="1542">
      <c r="A1542" s="11">
        <v>43845.418391203704</v>
      </c>
      <c r="B1542" s="12" t="str">
        <f>HYPERLINK("https://twitter.com/bestofmeNLP","@bestofmeNLP")</f>
        <v>@bestofmeNLP</v>
      </c>
      <c r="C1542" s="1" t="s">
        <v>7242</v>
      </c>
      <c r="D1542" s="1" t="s">
        <v>7243</v>
      </c>
      <c r="E1542" s="12" t="str">
        <f>HYPERLINK("https://twitter.com/bestofmeNLP/status/1217462060105261057","1217462060105261057")</f>
        <v>1217462060105261057</v>
      </c>
      <c r="F1542" s="13" t="s">
        <v>7244</v>
      </c>
      <c r="G1542" s="13" t="s">
        <v>7245</v>
      </c>
      <c r="H1542" s="14"/>
      <c r="I1542" s="15">
        <v>0.0</v>
      </c>
      <c r="J1542" s="15">
        <v>0.0</v>
      </c>
      <c r="K1542" s="12" t="str">
        <f>HYPERLINK("https://mobile.twitter.com","Twitter Web App")</f>
        <v>Twitter Web App</v>
      </c>
      <c r="L1542" s="16">
        <v>33.0</v>
      </c>
      <c r="M1542" s="16">
        <v>52.0</v>
      </c>
      <c r="N1542" s="16">
        <v>2.0</v>
      </c>
      <c r="O1542" s="17"/>
      <c r="P1542" s="18">
        <v>43315.42539351852</v>
      </c>
      <c r="Q1542" s="1" t="s">
        <v>268</v>
      </c>
      <c r="R1542" s="1" t="s">
        <v>7246</v>
      </c>
      <c r="S1542" s="13" t="s">
        <v>7247</v>
      </c>
      <c r="T1542" s="14"/>
      <c r="U1542" s="19" t="str">
        <f>HYPERLINK("https://pbs.twimg.com/profile_images/1217053613698306048/hxqJNoE9.jpg","View")</f>
        <v>View</v>
      </c>
      <c r="V1542" s="14"/>
      <c r="W1542" s="14"/>
      <c r="X1542" s="14"/>
      <c r="Y1542" s="14"/>
      <c r="Z1542" s="14"/>
    </row>
    <row r="1543">
      <c r="A1543" s="11">
        <v>43845.418217592596</v>
      </c>
      <c r="B1543" s="12" t="str">
        <f>HYPERLINK("https://twitter.com/hsyrsmi","@hsyrsmi")</f>
        <v>@hsyrsmi</v>
      </c>
      <c r="C1543" s="1" t="s">
        <v>7248</v>
      </c>
      <c r="D1543" s="1" t="s">
        <v>7249</v>
      </c>
      <c r="E1543" s="12" t="str">
        <f>HYPERLINK("https://twitter.com/hsyrsmi/status/1217462000537784320","1217462000537784320")</f>
        <v>1217462000537784320</v>
      </c>
      <c r="F1543" s="14"/>
      <c r="G1543" s="14"/>
      <c r="H1543" s="14"/>
      <c r="I1543" s="15">
        <v>0.0</v>
      </c>
      <c r="J1543" s="15">
        <v>30.0</v>
      </c>
      <c r="K1543" s="12" t="str">
        <f>HYPERLINK("http://twitter.com/download/iphone","Twitter for iPhone")</f>
        <v>Twitter for iPhone</v>
      </c>
      <c r="L1543" s="16">
        <v>377.0</v>
      </c>
      <c r="M1543" s="16">
        <v>275.0</v>
      </c>
      <c r="N1543" s="16">
        <v>1.0</v>
      </c>
      <c r="O1543" s="17"/>
      <c r="P1543" s="18">
        <v>43423.82445601852</v>
      </c>
      <c r="Q1543" s="1" t="s">
        <v>7250</v>
      </c>
      <c r="R1543" s="1" t="s">
        <v>7251</v>
      </c>
      <c r="S1543" s="13" t="s">
        <v>7252</v>
      </c>
      <c r="T1543" s="14"/>
      <c r="U1543" s="19" t="str">
        <f>HYPERLINK("https://pbs.twimg.com/profile_images/1115742543835205632/bTtgISuQ.jpg","View")</f>
        <v>View</v>
      </c>
      <c r="V1543" s="14"/>
      <c r="W1543" s="14"/>
      <c r="X1543" s="14"/>
      <c r="Y1543" s="14"/>
      <c r="Z1543" s="14"/>
    </row>
    <row r="1544">
      <c r="A1544" s="11">
        <v>43845.41810185185</v>
      </c>
      <c r="B1544" s="12" t="str">
        <f>HYPERLINK("https://twitter.com/ThePrewittGroup","@ThePrewittGroup")</f>
        <v>@ThePrewittGroup</v>
      </c>
      <c r="C1544" s="1" t="s">
        <v>7253</v>
      </c>
      <c r="D1544" s="1" t="s">
        <v>7254</v>
      </c>
      <c r="E1544" s="12" t="str">
        <f>HYPERLINK("https://twitter.com/ThePrewittGroup/status/1217461956048818176","1217461956048818176")</f>
        <v>1217461956048818176</v>
      </c>
      <c r="F1544" s="13" t="s">
        <v>7255</v>
      </c>
      <c r="G1544" s="14"/>
      <c r="H1544" s="14"/>
      <c r="I1544" s="15">
        <v>0.0</v>
      </c>
      <c r="J1544" s="15">
        <v>0.0</v>
      </c>
      <c r="K1544" s="12" t="str">
        <f>HYPERLINK("http://app.sendblur.com","Social Media Publisher App ")</f>
        <v>Social Media Publisher App </v>
      </c>
      <c r="L1544" s="16">
        <v>211.0</v>
      </c>
      <c r="M1544" s="16">
        <v>1028.0</v>
      </c>
      <c r="N1544" s="16">
        <v>1.0</v>
      </c>
      <c r="O1544" s="17"/>
      <c r="P1544" s="18">
        <v>42489.59982638889</v>
      </c>
      <c r="Q1544" s="1" t="s">
        <v>6443</v>
      </c>
      <c r="R1544" s="1" t="s">
        <v>7256</v>
      </c>
      <c r="S1544" s="13" t="s">
        <v>7257</v>
      </c>
      <c r="T1544" s="14"/>
      <c r="U1544" s="19" t="str">
        <f>HYPERLINK("https://pbs.twimg.com/profile_images/1058020962116034561/q4gp_G4v.jpg","View")</f>
        <v>View</v>
      </c>
      <c r="V1544" s="14"/>
      <c r="W1544" s="14"/>
      <c r="X1544" s="14"/>
      <c r="Y1544" s="14"/>
      <c r="Z1544" s="14"/>
    </row>
    <row r="1545">
      <c r="A1545" s="11">
        <v>43845.41793981481</v>
      </c>
      <c r="B1545" s="12" t="str">
        <f>HYPERLINK("https://twitter.com/Wellness_Orbit","@Wellness_Orbit")</f>
        <v>@Wellness_Orbit</v>
      </c>
      <c r="C1545" s="1" t="s">
        <v>4184</v>
      </c>
      <c r="D1545" s="1" t="s">
        <v>7258</v>
      </c>
      <c r="E1545" s="12" t="str">
        <f>HYPERLINK("https://twitter.com/Wellness_Orbit/status/1217461897861255170","1217461897861255170")</f>
        <v>1217461897861255170</v>
      </c>
      <c r="F1545" s="13" t="s">
        <v>7259</v>
      </c>
      <c r="G1545" s="14"/>
      <c r="H1545" s="14"/>
      <c r="I1545" s="15">
        <v>2.0</v>
      </c>
      <c r="J1545" s="15">
        <v>0.0</v>
      </c>
      <c r="K1545" s="12" t="str">
        <f>HYPERLINK("https://mobile.twitter.com","Twitter Web App")</f>
        <v>Twitter Web App</v>
      </c>
      <c r="L1545" s="16">
        <v>1868.0</v>
      </c>
      <c r="M1545" s="16">
        <v>4864.0</v>
      </c>
      <c r="N1545" s="16">
        <v>13.0</v>
      </c>
      <c r="O1545" s="17"/>
      <c r="P1545" s="18">
        <v>42748.75420138889</v>
      </c>
      <c r="Q1545" s="14"/>
      <c r="R1545" s="1" t="s">
        <v>4188</v>
      </c>
      <c r="S1545" s="13" t="s">
        <v>4189</v>
      </c>
      <c r="T1545" s="14"/>
      <c r="U1545" s="19" t="str">
        <f>HYPERLINK("https://pbs.twimg.com/profile_images/1152339235388755968/xWq9HR5r.jpg","View")</f>
        <v>View</v>
      </c>
      <c r="V1545" s="14"/>
      <c r="W1545" s="14"/>
      <c r="X1545" s="14"/>
      <c r="Y1545" s="14"/>
      <c r="Z1545" s="14"/>
    </row>
    <row r="1546">
      <c r="A1546" s="11">
        <v>43845.41726851852</v>
      </c>
      <c r="B1546" s="12" t="str">
        <f>HYPERLINK("https://twitter.com/PhilWillcox","@PhilWillcox")</f>
        <v>@PhilWillcox</v>
      </c>
      <c r="C1546" s="1" t="s">
        <v>504</v>
      </c>
      <c r="D1546" s="1" t="s">
        <v>7260</v>
      </c>
      <c r="E1546" s="12" t="str">
        <f>HYPERLINK("https://twitter.com/PhilWillcox/status/1217461652762845189","1217461652762845189")</f>
        <v>1217461652762845189</v>
      </c>
      <c r="F1546" s="14"/>
      <c r="G1546" s="13" t="s">
        <v>7261</v>
      </c>
      <c r="H1546" s="14"/>
      <c r="I1546" s="15">
        <v>0.0</v>
      </c>
      <c r="J1546" s="15">
        <v>1.0</v>
      </c>
      <c r="K1546" s="12" t="str">
        <f>HYPERLINK("https://panel.socialpilot.co/","SocialPilot.co")</f>
        <v>SocialPilot.co</v>
      </c>
      <c r="L1546" s="16">
        <v>4661.0</v>
      </c>
      <c r="M1546" s="16">
        <v>1583.0</v>
      </c>
      <c r="N1546" s="16">
        <v>149.0</v>
      </c>
      <c r="O1546" s="17"/>
      <c r="P1546" s="18">
        <v>40793.66763888889</v>
      </c>
      <c r="Q1546" s="1" t="s">
        <v>507</v>
      </c>
      <c r="R1546" s="1" t="s">
        <v>508</v>
      </c>
      <c r="S1546" s="13" t="s">
        <v>509</v>
      </c>
      <c r="T1546" s="14"/>
      <c r="U1546" s="19" t="str">
        <f>HYPERLINK("https://pbs.twimg.com/profile_images/1005365554260176896/TQDBFx48.jpg","View")</f>
        <v>View</v>
      </c>
      <c r="V1546" s="14"/>
      <c r="W1546" s="14"/>
      <c r="X1546" s="14"/>
      <c r="Y1546" s="14"/>
      <c r="Z1546" s="14"/>
    </row>
    <row r="1547">
      <c r="A1547" s="11">
        <v>43845.416874999995</v>
      </c>
      <c r="B1547" s="12" t="str">
        <f>HYPERLINK("https://twitter.com/davestephens09","@davestephens09")</f>
        <v>@davestephens09</v>
      </c>
      <c r="C1547" s="1" t="s">
        <v>7262</v>
      </c>
      <c r="D1547" s="1" t="s">
        <v>7263</v>
      </c>
      <c r="E1547" s="12" t="str">
        <f>HYPERLINK("https://twitter.com/davestephens09/status/1217461511376883716","1217461511376883716")</f>
        <v>1217461511376883716</v>
      </c>
      <c r="F1547" s="13" t="s">
        <v>7264</v>
      </c>
      <c r="G1547" s="13" t="s">
        <v>7265</v>
      </c>
      <c r="H1547" s="14"/>
      <c r="I1547" s="15">
        <v>0.0</v>
      </c>
      <c r="J1547" s="15">
        <v>0.0</v>
      </c>
      <c r="K1547" s="12" t="str">
        <f>HYPERLINK("https://www.synduit.com","SYNDUIT Movement")</f>
        <v>SYNDUIT Movement</v>
      </c>
      <c r="L1547" s="16">
        <v>253.0</v>
      </c>
      <c r="M1547" s="16">
        <v>229.0</v>
      </c>
      <c r="N1547" s="16">
        <v>1.0</v>
      </c>
      <c r="O1547" s="17"/>
      <c r="P1547" s="18">
        <v>39892.52724537037</v>
      </c>
      <c r="Q1547" s="1" t="s">
        <v>7266</v>
      </c>
      <c r="R1547" s="1" t="s">
        <v>7267</v>
      </c>
      <c r="S1547" s="13" t="s">
        <v>7268</v>
      </c>
      <c r="T1547" s="14"/>
      <c r="U1547" s="19" t="str">
        <f>HYPERLINK("https://pbs.twimg.com/profile_images/104821536/DaveInOffice.JPG","View")</f>
        <v>View</v>
      </c>
      <c r="V1547" s="14"/>
      <c r="W1547" s="14"/>
      <c r="X1547" s="14"/>
      <c r="Y1547" s="14"/>
      <c r="Z1547" s="14"/>
    </row>
    <row r="1548">
      <c r="A1548" s="11">
        <v>43845.41684027778</v>
      </c>
      <c r="B1548" s="12" t="str">
        <f>HYPERLINK("https://twitter.com/MedRepscom","@MedRepscom")</f>
        <v>@MedRepscom</v>
      </c>
      <c r="C1548" s="13" t="s">
        <v>7269</v>
      </c>
      <c r="D1548" s="1" t="s">
        <v>7270</v>
      </c>
      <c r="E1548" s="12" t="str">
        <f>HYPERLINK("https://twitter.com/MedRepscom/status/1217461498123104257","1217461498123104257")</f>
        <v>1217461498123104257</v>
      </c>
      <c r="F1548" s="13" t="s">
        <v>7271</v>
      </c>
      <c r="G1548" s="13" t="s">
        <v>7272</v>
      </c>
      <c r="H1548" s="14"/>
      <c r="I1548" s="15">
        <v>0.0</v>
      </c>
      <c r="J1548" s="15">
        <v>1.0</v>
      </c>
      <c r="K1548" s="12" t="str">
        <f>HYPERLINK("https://sproutsocial.com","Sprout Social")</f>
        <v>Sprout Social</v>
      </c>
      <c r="L1548" s="16">
        <v>2995.0</v>
      </c>
      <c r="M1548" s="16">
        <v>1946.0</v>
      </c>
      <c r="N1548" s="16">
        <v>134.0</v>
      </c>
      <c r="O1548" s="17"/>
      <c r="P1548" s="18">
        <v>40078.46623842593</v>
      </c>
      <c r="Q1548" s="1" t="s">
        <v>7273</v>
      </c>
      <c r="R1548" s="1" t="s">
        <v>7274</v>
      </c>
      <c r="S1548" s="13" t="s">
        <v>7275</v>
      </c>
      <c r="T1548" s="14"/>
      <c r="U1548" s="19" t="str">
        <f>HYPERLINK("https://pbs.twimg.com/profile_images/631203001923825664/omj8eRiV.png","View")</f>
        <v>View</v>
      </c>
      <c r="V1548" s="14"/>
      <c r="W1548" s="14"/>
      <c r="X1548" s="14"/>
      <c r="Y1548" s="14"/>
      <c r="Z1548" s="14"/>
    </row>
    <row r="1549">
      <c r="A1549" s="11">
        <v>43845.41673611111</v>
      </c>
      <c r="B1549" s="12" t="str">
        <f>HYPERLINK("https://twitter.com/MiamiObgyn","@MiamiObgyn")</f>
        <v>@MiamiObgyn</v>
      </c>
      <c r="C1549" s="1" t="s">
        <v>7276</v>
      </c>
      <c r="D1549" s="1" t="s">
        <v>7277</v>
      </c>
      <c r="E1549" s="12" t="str">
        <f>HYPERLINK("https://twitter.com/MiamiObgyn/status/1217461462333042689","1217461462333042689")</f>
        <v>1217461462333042689</v>
      </c>
      <c r="F1549" s="13" t="s">
        <v>7278</v>
      </c>
      <c r="G1549" s="14"/>
      <c r="H1549" s="14"/>
      <c r="I1549" s="15">
        <v>0.0</v>
      </c>
      <c r="J1549" s="15">
        <v>0.0</v>
      </c>
      <c r="K1549" s="12" t="str">
        <f>HYPERLINK("https://www.mavsocial.com","MavSocial App")</f>
        <v>MavSocial App</v>
      </c>
      <c r="L1549" s="16">
        <v>1086.0</v>
      </c>
      <c r="M1549" s="16">
        <v>663.0</v>
      </c>
      <c r="N1549" s="16">
        <v>45.0</v>
      </c>
      <c r="O1549" s="17"/>
      <c r="P1549" s="18">
        <v>41942.62045138889</v>
      </c>
      <c r="Q1549" s="1" t="s">
        <v>7279</v>
      </c>
      <c r="R1549" s="1" t="s">
        <v>7280</v>
      </c>
      <c r="S1549" s="13" t="s">
        <v>7281</v>
      </c>
      <c r="T1549" s="14"/>
      <c r="U1549" s="19" t="str">
        <f>HYPERLINK("https://pbs.twimg.com/profile_images/527910028032765952/TTA29C9w.png","View")</f>
        <v>View</v>
      </c>
      <c r="V1549" s="14"/>
      <c r="W1549" s="14"/>
      <c r="X1549" s="14"/>
      <c r="Y1549" s="14"/>
      <c r="Z1549" s="14"/>
    </row>
    <row r="1550">
      <c r="A1550" s="11">
        <v>43845.411631944444</v>
      </c>
      <c r="B1550" s="12" t="str">
        <f>HYPERLINK("https://twitter.com/Bolly_Express","@Bolly_Express")</f>
        <v>@Bolly_Express</v>
      </c>
      <c r="C1550" s="1" t="s">
        <v>7282</v>
      </c>
      <c r="D1550" s="1" t="s">
        <v>7283</v>
      </c>
      <c r="E1550" s="12" t="str">
        <f>HYPERLINK("https://twitter.com/Bolly_Express/status/1217459612854571014","1217459612854571014")</f>
        <v>1217459612854571014</v>
      </c>
      <c r="F1550" s="13" t="s">
        <v>7284</v>
      </c>
      <c r="G1550" s="14"/>
      <c r="H1550" s="14"/>
      <c r="I1550" s="15">
        <v>1.0</v>
      </c>
      <c r="J1550" s="15">
        <v>2.0</v>
      </c>
      <c r="K1550" s="12" t="str">
        <f>HYPERLINK("http://twitter.com/download/android","Twitter for Android")</f>
        <v>Twitter for Android</v>
      </c>
      <c r="L1550" s="16">
        <v>37.0</v>
      </c>
      <c r="M1550" s="16">
        <v>24.0</v>
      </c>
      <c r="N1550" s="16">
        <v>0.0</v>
      </c>
      <c r="O1550" s="17"/>
      <c r="P1550" s="18">
        <v>43592.51976851852</v>
      </c>
      <c r="Q1550" s="1" t="s">
        <v>1160</v>
      </c>
      <c r="R1550" s="1" t="s">
        <v>7285</v>
      </c>
      <c r="S1550" s="13" t="s">
        <v>7286</v>
      </c>
      <c r="T1550" s="14"/>
      <c r="U1550" s="19" t="str">
        <f>HYPERLINK("https://pbs.twimg.com/profile_images/1208757034407153671/Ibrc8PuQ.jpg","View")</f>
        <v>View</v>
      </c>
      <c r="V1550" s="14"/>
      <c r="W1550" s="14"/>
      <c r="X1550" s="14"/>
      <c r="Y1550" s="14"/>
      <c r="Z1550" s="14"/>
    </row>
    <row r="1551">
      <c r="A1551" s="11">
        <v>43845.40982638889</v>
      </c>
      <c r="B1551" s="12" t="str">
        <f>HYPERLINK("https://twitter.com/GSPlayDay","@GSPlayDay")</f>
        <v>@GSPlayDay</v>
      </c>
      <c r="C1551" s="1" t="s">
        <v>7287</v>
      </c>
      <c r="D1551" s="1" t="s">
        <v>7288</v>
      </c>
      <c r="E1551" s="12" t="str">
        <f>HYPERLINK("https://twitter.com/GSPlayDay/status/1217458956630495232","1217458956630495232")</f>
        <v>1217458956630495232</v>
      </c>
      <c r="F1551" s="13" t="s">
        <v>7289</v>
      </c>
      <c r="G1551" s="13" t="s">
        <v>7290</v>
      </c>
      <c r="H1551" s="14"/>
      <c r="I1551" s="15">
        <v>7.0</v>
      </c>
      <c r="J1551" s="15">
        <v>8.0</v>
      </c>
      <c r="K1551" s="12" t="str">
        <f>HYPERLINK("http://twitter.com/download/iphone","Twitter for iPhone")</f>
        <v>Twitter for iPhone</v>
      </c>
      <c r="L1551" s="16">
        <v>5855.0</v>
      </c>
      <c r="M1551" s="16">
        <v>5375.0</v>
      </c>
      <c r="N1551" s="16">
        <v>138.0</v>
      </c>
      <c r="O1551" s="17"/>
      <c r="P1551" s="18">
        <v>42013.42945601852</v>
      </c>
      <c r="Q1551" s="1" t="s">
        <v>7291</v>
      </c>
      <c r="R1551" s="1" t="s">
        <v>7292</v>
      </c>
      <c r="S1551" s="13" t="s">
        <v>7293</v>
      </c>
      <c r="T1551" s="14"/>
      <c r="U1551" s="19" t="str">
        <f>HYPERLINK("https://pbs.twimg.com/profile_images/827519457341775872/fWcY7fJb.jpg","View")</f>
        <v>View</v>
      </c>
      <c r="V1551" s="14"/>
      <c r="W1551" s="14"/>
      <c r="X1551" s="14"/>
      <c r="Y1551" s="14"/>
      <c r="Z1551" s="14"/>
    </row>
    <row r="1552">
      <c r="A1552" s="11">
        <v>43845.40685185185</v>
      </c>
      <c r="B1552" s="12" t="str">
        <f>HYPERLINK("https://twitter.com/KnowStressZone","@KnowStressZone")</f>
        <v>@KnowStressZone</v>
      </c>
      <c r="C1552" s="1" t="s">
        <v>7294</v>
      </c>
      <c r="D1552" s="1" t="s">
        <v>7295</v>
      </c>
      <c r="E1552" s="12" t="str">
        <f>HYPERLINK("https://twitter.com/KnowStressZone/status/1217457879189508096","1217457879189508096")</f>
        <v>1217457879189508096</v>
      </c>
      <c r="F1552" s="1" t="s">
        <v>7296</v>
      </c>
      <c r="G1552" s="14"/>
      <c r="H1552" s="14"/>
      <c r="I1552" s="15">
        <v>0.0</v>
      </c>
      <c r="J1552" s="15">
        <v>0.0</v>
      </c>
      <c r="K1552" s="12" t="str">
        <f>HYPERLINK("https://paper.li","Paper.li")</f>
        <v>Paper.li</v>
      </c>
      <c r="L1552" s="16">
        <v>817.0</v>
      </c>
      <c r="M1552" s="16">
        <v>1912.0</v>
      </c>
      <c r="N1552" s="16">
        <v>26.0</v>
      </c>
      <c r="O1552" s="17"/>
      <c r="P1552" s="18">
        <v>41244.66185185185</v>
      </c>
      <c r="Q1552" s="1" t="s">
        <v>7297</v>
      </c>
      <c r="R1552" s="1" t="s">
        <v>7298</v>
      </c>
      <c r="S1552" s="13" t="s">
        <v>7299</v>
      </c>
      <c r="T1552" s="14"/>
      <c r="U1552" s="19" t="str">
        <f>HYPERLINK("https://pbs.twimg.com/profile_images/718154912291364864/znT0razj.jpg","View")</f>
        <v>View</v>
      </c>
      <c r="V1552" s="14"/>
      <c r="W1552" s="14"/>
      <c r="X1552" s="14"/>
      <c r="Y1552" s="14"/>
      <c r="Z1552" s="14"/>
    </row>
    <row r="1553">
      <c r="A1553" s="11">
        <v>43845.403182870374</v>
      </c>
      <c r="B1553" s="12" t="str">
        <f>HYPERLINK("https://twitter.com/bizandbooks","@bizandbooks")</f>
        <v>@bizandbooks</v>
      </c>
      <c r="C1553" s="1" t="s">
        <v>7300</v>
      </c>
      <c r="D1553" s="1" t="s">
        <v>7301</v>
      </c>
      <c r="E1553" s="12" t="str">
        <f>HYPERLINK("https://twitter.com/bizandbooks/status/1217456549511270400","1217456549511270400")</f>
        <v>1217456549511270400</v>
      </c>
      <c r="F1553" s="13" t="s">
        <v>7302</v>
      </c>
      <c r="G1553" s="13" t="s">
        <v>7303</v>
      </c>
      <c r="H1553" s="14"/>
      <c r="I1553" s="15">
        <v>0.0</v>
      </c>
      <c r="J1553" s="15">
        <v>0.0</v>
      </c>
      <c r="K1553" s="12" t="str">
        <f>HYPERLINK("https://missinglettr.com","Missinglettr")</f>
        <v>Missinglettr</v>
      </c>
      <c r="L1553" s="16">
        <v>29.0</v>
      </c>
      <c r="M1553" s="16">
        <v>57.0</v>
      </c>
      <c r="N1553" s="16">
        <v>1.0</v>
      </c>
      <c r="O1553" s="17"/>
      <c r="P1553" s="18">
        <v>42635.66762731482</v>
      </c>
      <c r="Q1553" s="1" t="s">
        <v>7304</v>
      </c>
      <c r="R1553" s="1" t="s">
        <v>7305</v>
      </c>
      <c r="S1553" s="13" t="s">
        <v>7306</v>
      </c>
      <c r="T1553" s="14"/>
      <c r="U1553" s="19" t="str">
        <f>HYPERLINK("https://pbs.twimg.com/profile_images/1196719527129567233/BfkP7cyg.jpg","View")</f>
        <v>View</v>
      </c>
      <c r="V1553" s="14"/>
      <c r="W1553" s="14"/>
      <c r="X1553" s="14"/>
      <c r="Y1553" s="14"/>
      <c r="Z1553" s="14"/>
    </row>
    <row r="1554">
      <c r="A1554" s="11">
        <v>43845.402974537035</v>
      </c>
      <c r="B1554" s="12" t="str">
        <f>HYPERLINK("https://twitter.com/AnnLatham","@AnnLatham")</f>
        <v>@AnnLatham</v>
      </c>
      <c r="C1554" s="1" t="s">
        <v>7307</v>
      </c>
      <c r="D1554" s="1" t="s">
        <v>7308</v>
      </c>
      <c r="E1554" s="12" t="str">
        <f>HYPERLINK("https://twitter.com/AnnLatham/status/1217456474571649026","1217456474571649026")</f>
        <v>1217456474571649026</v>
      </c>
      <c r="F1554" s="13" t="s">
        <v>7309</v>
      </c>
      <c r="G1554" s="13" t="s">
        <v>7310</v>
      </c>
      <c r="H1554" s="14"/>
      <c r="I1554" s="15">
        <v>0.0</v>
      </c>
      <c r="J1554" s="15">
        <v>0.0</v>
      </c>
      <c r="K1554" s="12" t="str">
        <f>HYPERLINK("https://www.socialoomph.com","SocialOomph")</f>
        <v>SocialOomph</v>
      </c>
      <c r="L1554" s="16">
        <v>762.0</v>
      </c>
      <c r="M1554" s="16">
        <v>557.0</v>
      </c>
      <c r="N1554" s="16">
        <v>71.0</v>
      </c>
      <c r="O1554" s="17"/>
      <c r="P1554" s="18">
        <v>39697.50755787037</v>
      </c>
      <c r="Q1554" s="1" t="s">
        <v>6851</v>
      </c>
      <c r="R1554" s="1" t="s">
        <v>7311</v>
      </c>
      <c r="S1554" s="13" t="s">
        <v>7312</v>
      </c>
      <c r="T1554" s="14"/>
      <c r="U1554" s="19" t="str">
        <f>HYPERLINK("https://pbs.twimg.com/profile_images/418522853596598272/eo4FVDq5.png","View")</f>
        <v>View</v>
      </c>
      <c r="V1554" s="14"/>
      <c r="W1554" s="14"/>
      <c r="X1554" s="14"/>
      <c r="Y1554" s="14"/>
      <c r="Z1554" s="14"/>
    </row>
    <row r="1555">
      <c r="A1555" s="11">
        <v>43845.4028587963</v>
      </c>
      <c r="B1555" s="12" t="str">
        <f>HYPERLINK("https://twitter.com/TeresaTomeo","@TeresaTomeo")</f>
        <v>@TeresaTomeo</v>
      </c>
      <c r="C1555" s="1" t="s">
        <v>7313</v>
      </c>
      <c r="D1555" s="1" t="s">
        <v>7314</v>
      </c>
      <c r="E1555" s="12" t="str">
        <f>HYPERLINK("https://twitter.com/TeresaTomeo/status/1217456433094176768","1217456433094176768")</f>
        <v>1217456433094176768</v>
      </c>
      <c r="F1555" s="13" t="s">
        <v>7315</v>
      </c>
      <c r="G1555" s="13" t="s">
        <v>7316</v>
      </c>
      <c r="H1555" s="14"/>
      <c r="I1555" s="15">
        <v>0.0</v>
      </c>
      <c r="J1555" s="15">
        <v>2.0</v>
      </c>
      <c r="K1555" s="12" t="str">
        <f t="shared" ref="K1555:K1556" si="148">HYPERLINK("https://www.hootsuite.com","Hootsuite Inc.")</f>
        <v>Hootsuite Inc.</v>
      </c>
      <c r="L1555" s="16">
        <v>20973.0</v>
      </c>
      <c r="M1555" s="16">
        <v>3041.0</v>
      </c>
      <c r="N1555" s="16">
        <v>370.0</v>
      </c>
      <c r="O1555" s="17"/>
      <c r="P1555" s="18">
        <v>40216.96677083333</v>
      </c>
      <c r="Q1555" s="14"/>
      <c r="R1555" s="1" t="s">
        <v>7317</v>
      </c>
      <c r="S1555" s="13" t="s">
        <v>7318</v>
      </c>
      <c r="T1555" s="14"/>
      <c r="U1555" s="19" t="str">
        <f>HYPERLINK("https://pbs.twimg.com/profile_images/832037012915970050/A4bv4VUv.jpg","View")</f>
        <v>View</v>
      </c>
      <c r="V1555" s="14"/>
      <c r="W1555" s="14"/>
      <c r="X1555" s="14"/>
      <c r="Y1555" s="14"/>
      <c r="Z1555" s="14"/>
    </row>
    <row r="1556">
      <c r="A1556" s="11">
        <v>43845.39616898148</v>
      </c>
      <c r="B1556" s="12" t="str">
        <f>HYPERLINK("https://twitter.com/OmahaPTI","@OmahaPTI")</f>
        <v>@OmahaPTI</v>
      </c>
      <c r="C1556" s="1" t="s">
        <v>7319</v>
      </c>
      <c r="D1556" s="1" t="s">
        <v>7320</v>
      </c>
      <c r="E1556" s="12" t="str">
        <f>HYPERLINK("https://twitter.com/OmahaPTI/status/1217454010006953989","1217454010006953989")</f>
        <v>1217454010006953989</v>
      </c>
      <c r="F1556" s="13" t="s">
        <v>7321</v>
      </c>
      <c r="G1556" s="13" t="s">
        <v>7322</v>
      </c>
      <c r="H1556" s="14"/>
      <c r="I1556" s="15">
        <v>0.0</v>
      </c>
      <c r="J1556" s="15">
        <v>0.0</v>
      </c>
      <c r="K1556" s="12" t="str">
        <f t="shared" si="148"/>
        <v>Hootsuite Inc.</v>
      </c>
      <c r="L1556" s="16">
        <v>447.0</v>
      </c>
      <c r="M1556" s="16">
        <v>930.0</v>
      </c>
      <c r="N1556" s="16">
        <v>11.0</v>
      </c>
      <c r="O1556" s="17"/>
      <c r="P1556" s="18">
        <v>41679.650925925926</v>
      </c>
      <c r="Q1556" s="1" t="s">
        <v>7323</v>
      </c>
      <c r="R1556" s="1" t="s">
        <v>7324</v>
      </c>
      <c r="S1556" s="13" t="s">
        <v>7325</v>
      </c>
      <c r="T1556" s="14"/>
      <c r="U1556" s="19" t="str">
        <f>HYPERLINK("https://pbs.twimg.com/profile_images/697558027545632769/r_QCGVgD.jpg","View")</f>
        <v>View</v>
      </c>
      <c r="V1556" s="14"/>
      <c r="W1556" s="14"/>
      <c r="X1556" s="14"/>
      <c r="Y1556" s="14"/>
      <c r="Z1556" s="14"/>
    </row>
    <row r="1557">
      <c r="A1557" s="11">
        <v>43845.3959837963</v>
      </c>
      <c r="B1557" s="12" t="str">
        <f>HYPERLINK("https://twitter.com/vtxsupport","@vtxsupport")</f>
        <v>@vtxsupport</v>
      </c>
      <c r="C1557" s="1" t="s">
        <v>7326</v>
      </c>
      <c r="D1557" s="1" t="s">
        <v>7327</v>
      </c>
      <c r="E1557" s="12" t="str">
        <f>HYPERLINK("https://twitter.com/vtxsupport/status/1217453941602078726","1217453941602078726")</f>
        <v>1217453941602078726</v>
      </c>
      <c r="F1557" s="1" t="s">
        <v>7328</v>
      </c>
      <c r="G1557" s="14"/>
      <c r="H1557" s="14"/>
      <c r="I1557" s="15">
        <v>0.0</v>
      </c>
      <c r="J1557" s="15">
        <v>0.0</v>
      </c>
      <c r="K1557" s="12" t="str">
        <f>HYPERLINK("https://mobile.twitter.com","Twitter Web App")</f>
        <v>Twitter Web App</v>
      </c>
      <c r="L1557" s="16">
        <v>311.0</v>
      </c>
      <c r="M1557" s="16">
        <v>1352.0</v>
      </c>
      <c r="N1557" s="16">
        <v>3.0</v>
      </c>
      <c r="O1557" s="17"/>
      <c r="P1557" s="18">
        <v>42570.66021990741</v>
      </c>
      <c r="Q1557" s="1" t="s">
        <v>7329</v>
      </c>
      <c r="R1557" s="1" t="s">
        <v>7330</v>
      </c>
      <c r="S1557" s="13" t="s">
        <v>7331</v>
      </c>
      <c r="T1557" s="14"/>
      <c r="U1557" s="19" t="str">
        <f>HYPERLINK("https://pbs.twimg.com/profile_images/1192089360637804544/mmtg_w6O.jpg","View")</f>
        <v>View</v>
      </c>
      <c r="V1557" s="14"/>
      <c r="W1557" s="14"/>
      <c r="X1557" s="14"/>
      <c r="Y1557" s="14"/>
      <c r="Z1557" s="14"/>
    </row>
    <row r="1558">
      <c r="A1558" s="11">
        <v>43845.39591435185</v>
      </c>
      <c r="B1558" s="12" t="str">
        <f>HYPERLINK("https://twitter.com/flightwit","@flightwit")</f>
        <v>@flightwit</v>
      </c>
      <c r="C1558" s="1" t="s">
        <v>159</v>
      </c>
      <c r="D1558" s="1" t="s">
        <v>160</v>
      </c>
      <c r="E1558" s="12" t="str">
        <f>HYPERLINK("https://twitter.com/flightwit/status/1217453917052833793","1217453917052833793")</f>
        <v>1217453917052833793</v>
      </c>
      <c r="F1558" s="13" t="s">
        <v>161</v>
      </c>
      <c r="G1558" s="13" t="s">
        <v>162</v>
      </c>
      <c r="H1558" s="14"/>
      <c r="I1558" s="15">
        <v>0.0</v>
      </c>
      <c r="J1558" s="15">
        <v>0.0</v>
      </c>
      <c r="K1558" s="12" t="str">
        <f>HYPERLINK("https://www.socialoomph.com","SocialOomph")</f>
        <v>SocialOomph</v>
      </c>
      <c r="L1558" s="16">
        <v>9318.0</v>
      </c>
      <c r="M1558" s="16">
        <v>9078.0</v>
      </c>
      <c r="N1558" s="16">
        <v>230.0</v>
      </c>
      <c r="O1558" s="17"/>
      <c r="P1558" s="18">
        <v>39873.53129629629</v>
      </c>
      <c r="Q1558" s="1" t="s">
        <v>163</v>
      </c>
      <c r="R1558" s="1" t="s">
        <v>164</v>
      </c>
      <c r="S1558" s="13" t="s">
        <v>165</v>
      </c>
      <c r="T1558" s="14"/>
      <c r="U1558" s="19" t="str">
        <f>HYPERLINK("https://pbs.twimg.com/profile_images/459442120999186432/p_n5R9zZ.jpeg","View")</f>
        <v>View</v>
      </c>
      <c r="V1558" s="14"/>
      <c r="W1558" s="14"/>
      <c r="X1558" s="14"/>
      <c r="Y1558" s="14"/>
      <c r="Z1558" s="14"/>
    </row>
    <row r="1559">
      <c r="A1559" s="11">
        <v>43845.39513888889</v>
      </c>
      <c r="B1559" s="12" t="str">
        <f>HYPERLINK("https://twitter.com/SankalpaArt","@SankalpaArt")</f>
        <v>@SankalpaArt</v>
      </c>
      <c r="C1559" s="1" t="s">
        <v>7332</v>
      </c>
      <c r="D1559" s="1" t="s">
        <v>7333</v>
      </c>
      <c r="E1559" s="12" t="str">
        <f>HYPERLINK("https://twitter.com/SankalpaArt/status/1217453635774353410","1217453635774353410")</f>
        <v>1217453635774353410</v>
      </c>
      <c r="F1559" s="13" t="s">
        <v>7334</v>
      </c>
      <c r="G1559" s="14"/>
      <c r="H1559" s="14"/>
      <c r="I1559" s="15">
        <v>1.0</v>
      </c>
      <c r="J1559" s="15">
        <v>1.0</v>
      </c>
      <c r="K1559" s="12" t="str">
        <f>HYPERLINK("https://buffer.com","Buffer")</f>
        <v>Buffer</v>
      </c>
      <c r="L1559" s="16">
        <v>196.0</v>
      </c>
      <c r="M1559" s="16">
        <v>52.0</v>
      </c>
      <c r="N1559" s="16">
        <v>63.0</v>
      </c>
      <c r="O1559" s="17"/>
      <c r="P1559" s="18">
        <v>41708.99631944444</v>
      </c>
      <c r="Q1559" s="1" t="s">
        <v>7335</v>
      </c>
      <c r="R1559" s="1" t="s">
        <v>7336</v>
      </c>
      <c r="S1559" s="13" t="s">
        <v>7337</v>
      </c>
      <c r="T1559" s="14"/>
      <c r="U1559" s="19" t="str">
        <f>HYPERLINK("https://pbs.twimg.com/profile_images/443244479953133568/P60fSsbI.jpeg","View")</f>
        <v>View</v>
      </c>
      <c r="V1559" s="14"/>
      <c r="W1559" s="14"/>
      <c r="X1559" s="14"/>
      <c r="Y1559" s="14"/>
      <c r="Z1559" s="14"/>
    </row>
    <row r="1560">
      <c r="A1560" s="11">
        <v>43845.393437499995</v>
      </c>
      <c r="B1560" s="12" t="str">
        <f>HYPERLINK("https://twitter.com/CarlRioux","@CarlRioux")</f>
        <v>@CarlRioux</v>
      </c>
      <c r="C1560" s="1" t="s">
        <v>7338</v>
      </c>
      <c r="D1560" s="1" t="s">
        <v>7339</v>
      </c>
      <c r="E1560" s="12" t="str">
        <f>HYPERLINK("https://twitter.com/CarlRioux/status/1217453017638686721","1217453017638686721")</f>
        <v>1217453017638686721</v>
      </c>
      <c r="F1560" s="13" t="s">
        <v>7340</v>
      </c>
      <c r="G1560" s="13" t="s">
        <v>7341</v>
      </c>
      <c r="H1560" s="14"/>
      <c r="I1560" s="15">
        <v>1.0</v>
      </c>
      <c r="J1560" s="15">
        <v>0.0</v>
      </c>
      <c r="K1560" s="12" t="str">
        <f>HYPERLINK("https://dlvrit.com/","dlvr.it")</f>
        <v>dlvr.it</v>
      </c>
      <c r="L1560" s="16">
        <v>1167.0</v>
      </c>
      <c r="M1560" s="16">
        <v>1065.0</v>
      </c>
      <c r="N1560" s="16">
        <v>568.0</v>
      </c>
      <c r="O1560" s="17"/>
      <c r="P1560" s="18">
        <v>40157.87386574074</v>
      </c>
      <c r="Q1560" s="1" t="s">
        <v>7342</v>
      </c>
      <c r="R1560" s="1" t="s">
        <v>7343</v>
      </c>
      <c r="S1560" s="14"/>
      <c r="T1560" s="14"/>
      <c r="U1560" s="19" t="str">
        <f>HYPERLINK("https://pbs.twimg.com/profile_images/1169378263157878784/4TS9WqLx.jpg","View")</f>
        <v>View</v>
      </c>
      <c r="V1560" s="14"/>
      <c r="W1560" s="14"/>
      <c r="X1560" s="14"/>
      <c r="Y1560" s="14"/>
      <c r="Z1560" s="14"/>
    </row>
    <row r="1561">
      <c r="A1561" s="11">
        <v>43845.39239583333</v>
      </c>
      <c r="B1561" s="12" t="str">
        <f>HYPERLINK("https://twitter.com/RLAssoc","@RLAssoc")</f>
        <v>@RLAssoc</v>
      </c>
      <c r="C1561" s="1" t="s">
        <v>7344</v>
      </c>
      <c r="D1561" s="1" t="s">
        <v>7345</v>
      </c>
      <c r="E1561" s="12" t="str">
        <f>HYPERLINK("https://twitter.com/RLAssoc/status/1217452640809910272","1217452640809910272")</f>
        <v>1217452640809910272</v>
      </c>
      <c r="F1561" s="13" t="s">
        <v>7346</v>
      </c>
      <c r="G1561" s="14"/>
      <c r="H1561" s="14"/>
      <c r="I1561" s="15">
        <v>0.0</v>
      </c>
      <c r="J1561" s="15">
        <v>0.0</v>
      </c>
      <c r="K1561" s="12" t="str">
        <f>HYPERLINK("https://www.hootsuite.com","Hootsuite Inc.")</f>
        <v>Hootsuite Inc.</v>
      </c>
      <c r="L1561" s="16">
        <v>655.0</v>
      </c>
      <c r="M1561" s="16">
        <v>615.0</v>
      </c>
      <c r="N1561" s="16">
        <v>106.0</v>
      </c>
      <c r="O1561" s="17"/>
      <c r="P1561" s="18">
        <v>42464.40311342593</v>
      </c>
      <c r="Q1561" s="1" t="s">
        <v>263</v>
      </c>
      <c r="R1561" s="1" t="s">
        <v>7347</v>
      </c>
      <c r="S1561" s="13" t="s">
        <v>7348</v>
      </c>
      <c r="T1561" s="14"/>
      <c r="U1561" s="19" t="str">
        <f>HYPERLINK("https://pbs.twimg.com/profile_images/785546755920330753/cFihDw8r.jpg","View")</f>
        <v>View</v>
      </c>
      <c r="V1561" s="14"/>
      <c r="W1561" s="14"/>
      <c r="X1561" s="14"/>
      <c r="Y1561" s="14"/>
      <c r="Z1561" s="14"/>
    </row>
    <row r="1562">
      <c r="A1562" s="11">
        <v>43845.39232638889</v>
      </c>
      <c r="B1562" s="12" t="str">
        <f>HYPERLINK("https://twitter.com/ccuthbertauthor","@ccuthbertauthor")</f>
        <v>@ccuthbertauthor</v>
      </c>
      <c r="C1562" s="1" t="s">
        <v>7349</v>
      </c>
      <c r="D1562" s="1" t="s">
        <v>7350</v>
      </c>
      <c r="E1562" s="12" t="str">
        <f>HYPERLINK("https://twitter.com/ccuthbertauthor/status/1217452616021696515","1217452616021696515")</f>
        <v>1217452616021696515</v>
      </c>
      <c r="F1562" s="13" t="s">
        <v>7351</v>
      </c>
      <c r="G1562" s="14"/>
      <c r="H1562" s="14"/>
      <c r="I1562" s="15">
        <v>1.0</v>
      </c>
      <c r="J1562" s="15">
        <v>1.0</v>
      </c>
      <c r="K1562" s="12" t="str">
        <f>HYPERLINK("http://twitter.com","Twitter Web Client")</f>
        <v>Twitter Web Client</v>
      </c>
      <c r="L1562" s="16">
        <v>538.0</v>
      </c>
      <c r="M1562" s="16">
        <v>681.0</v>
      </c>
      <c r="N1562" s="16">
        <v>13.0</v>
      </c>
      <c r="O1562" s="17"/>
      <c r="P1562" s="18">
        <v>43027.76611111111</v>
      </c>
      <c r="Q1562" s="1" t="s">
        <v>7352</v>
      </c>
      <c r="R1562" s="1" t="s">
        <v>7353</v>
      </c>
      <c r="S1562" s="13" t="s">
        <v>7354</v>
      </c>
      <c r="T1562" s="14"/>
      <c r="U1562" s="19" t="str">
        <f>HYPERLINK("https://pbs.twimg.com/profile_images/1179802850404241410/t25PoYip.jpg","View")</f>
        <v>View</v>
      </c>
      <c r="V1562" s="14"/>
      <c r="W1562" s="14"/>
      <c r="X1562" s="14"/>
      <c r="Y1562" s="14"/>
      <c r="Z1562" s="14"/>
    </row>
    <row r="1563">
      <c r="A1563" s="11">
        <v>43845.38789351852</v>
      </c>
      <c r="B1563" s="12" t="str">
        <f>HYPERLINK("https://twitter.com/depoche","@depoche")</f>
        <v>@depoche</v>
      </c>
      <c r="C1563" s="1" t="s">
        <v>7355</v>
      </c>
      <c r="D1563" s="1" t="s">
        <v>7356</v>
      </c>
      <c r="E1563" s="12" t="str">
        <f>HYPERLINK("https://twitter.com/depoche/status/1217451008596594688","1217451008596594688")</f>
        <v>1217451008596594688</v>
      </c>
      <c r="F1563" s="13" t="s">
        <v>7357</v>
      </c>
      <c r="G1563" s="14"/>
      <c r="H1563" s="14"/>
      <c r="I1563" s="15">
        <v>4.0</v>
      </c>
      <c r="J1563" s="15">
        <v>8.0</v>
      </c>
      <c r="K1563" s="12" t="str">
        <f t="shared" ref="K1563:K1564" si="149">HYPERLINK("https://mobile.twitter.com","Twitter Web App")</f>
        <v>Twitter Web App</v>
      </c>
      <c r="L1563" s="16">
        <v>374.0</v>
      </c>
      <c r="M1563" s="16">
        <v>732.0</v>
      </c>
      <c r="N1563" s="16">
        <v>2.0</v>
      </c>
      <c r="O1563" s="17"/>
      <c r="P1563" s="18">
        <v>43500.93761574074</v>
      </c>
      <c r="Q1563" s="1" t="s">
        <v>6062</v>
      </c>
      <c r="R1563" s="1" t="s">
        <v>7358</v>
      </c>
      <c r="S1563" s="13" t="s">
        <v>7359</v>
      </c>
      <c r="T1563" s="14"/>
      <c r="U1563" s="19" t="str">
        <f>HYPERLINK("https://pbs.twimg.com/profile_images/1114564660064325634/ncJT0yC4.png","View")</f>
        <v>View</v>
      </c>
      <c r="V1563" s="14"/>
      <c r="W1563" s="14"/>
      <c r="X1563" s="14"/>
      <c r="Y1563" s="14"/>
      <c r="Z1563" s="14"/>
    </row>
    <row r="1564">
      <c r="A1564" s="11">
        <v>43845.387708333335</v>
      </c>
      <c r="B1564" s="12" t="str">
        <f>HYPERLINK("https://twitter.com/makinithappen4u","@makinithappen4u")</f>
        <v>@makinithappen4u</v>
      </c>
      <c r="C1564" s="1" t="s">
        <v>7360</v>
      </c>
      <c r="D1564" s="1" t="s">
        <v>7361</v>
      </c>
      <c r="E1564" s="12" t="str">
        <f>HYPERLINK("https://twitter.com/makinithappen4u/status/1217450942188204032","1217450942188204032")</f>
        <v>1217450942188204032</v>
      </c>
      <c r="F1564" s="13" t="s">
        <v>7362</v>
      </c>
      <c r="G1564" s="14"/>
      <c r="H1564" s="14"/>
      <c r="I1564" s="15">
        <v>0.0</v>
      </c>
      <c r="J1564" s="15">
        <v>1.0</v>
      </c>
      <c r="K1564" s="12" t="str">
        <f t="shared" si="149"/>
        <v>Twitter Web App</v>
      </c>
      <c r="L1564" s="16">
        <v>708.0</v>
      </c>
      <c r="M1564" s="16">
        <v>325.0</v>
      </c>
      <c r="N1564" s="16">
        <v>57.0</v>
      </c>
      <c r="O1564" s="17"/>
      <c r="P1564" s="18">
        <v>39863.3530787037</v>
      </c>
      <c r="Q1564" s="1" t="s">
        <v>7363</v>
      </c>
      <c r="R1564" s="1" t="s">
        <v>7364</v>
      </c>
      <c r="S1564" s="13" t="s">
        <v>7365</v>
      </c>
      <c r="T1564" s="14"/>
      <c r="U1564" s="19" t="str">
        <f>HYPERLINK("https://pbs.twimg.com/profile_images/2170503316/Makin_It_Happen_logo.jpg","View")</f>
        <v>View</v>
      </c>
      <c r="V1564" s="14"/>
      <c r="W1564" s="14"/>
      <c r="X1564" s="14"/>
      <c r="Y1564" s="14"/>
      <c r="Z1564" s="14"/>
    </row>
    <row r="1565">
      <c r="A1565" s="11">
        <v>43845.385925925926</v>
      </c>
      <c r="B1565" s="12" t="str">
        <f>HYPERLINK("https://twitter.com/bodycotoronto","@bodycotoronto")</f>
        <v>@bodycotoronto</v>
      </c>
      <c r="C1565" s="1" t="s">
        <v>7366</v>
      </c>
      <c r="D1565" s="1" t="s">
        <v>7367</v>
      </c>
      <c r="E1565" s="12" t="str">
        <f>HYPERLINK("https://twitter.com/bodycotoronto/status/1217450295913078784","1217450295913078784")</f>
        <v>1217450295913078784</v>
      </c>
      <c r="F1565" s="13" t="s">
        <v>7368</v>
      </c>
      <c r="G1565" s="13" t="s">
        <v>7369</v>
      </c>
      <c r="H1565" s="14"/>
      <c r="I1565" s="15">
        <v>0.0</v>
      </c>
      <c r="J1565" s="15">
        <v>0.0</v>
      </c>
      <c r="K1565" s="12" t="str">
        <f>HYPERLINK("https://www.later.com","LaterMedia")</f>
        <v>LaterMedia</v>
      </c>
      <c r="L1565" s="16">
        <v>158.0</v>
      </c>
      <c r="M1565" s="16">
        <v>268.0</v>
      </c>
      <c r="N1565" s="16">
        <v>9.0</v>
      </c>
      <c r="O1565" s="17"/>
      <c r="P1565" s="18">
        <v>41876.59489583333</v>
      </c>
      <c r="Q1565" s="1" t="s">
        <v>7370</v>
      </c>
      <c r="R1565" s="1" t="s">
        <v>7371</v>
      </c>
      <c r="S1565" s="13" t="s">
        <v>7372</v>
      </c>
      <c r="T1565" s="14"/>
      <c r="U1565" s="19" t="str">
        <f>HYPERLINK("https://pbs.twimg.com/profile_images/1065604201550499840/Duy0XYLG.jpg","View")</f>
        <v>View</v>
      </c>
      <c r="V1565" s="14"/>
      <c r="W1565" s="14"/>
      <c r="X1565" s="14"/>
      <c r="Y1565" s="14"/>
      <c r="Z1565" s="14"/>
    </row>
    <row r="1566">
      <c r="A1566" s="11">
        <v>43845.38568287037</v>
      </c>
      <c r="B1566" s="12" t="str">
        <f>HYPERLINK("https://twitter.com/monkeypuzzle_","@monkeypuzzle_")</f>
        <v>@monkeypuzzle_</v>
      </c>
      <c r="C1566" s="1" t="s">
        <v>7373</v>
      </c>
      <c r="D1566" s="1" t="s">
        <v>7374</v>
      </c>
      <c r="E1566" s="12" t="str">
        <f>HYPERLINK("https://twitter.com/monkeypuzzle_/status/1217450209871114240","1217450209871114240")</f>
        <v>1217450209871114240</v>
      </c>
      <c r="F1566" s="13" t="s">
        <v>7375</v>
      </c>
      <c r="G1566" s="14"/>
      <c r="H1566" s="14"/>
      <c r="I1566" s="15">
        <v>1.0</v>
      </c>
      <c r="J1566" s="15">
        <v>0.0</v>
      </c>
      <c r="K1566" s="12" t="str">
        <f>HYPERLINK("https://www.hootsuite.com","Hootsuite Inc.")</f>
        <v>Hootsuite Inc.</v>
      </c>
      <c r="L1566" s="16">
        <v>692.0</v>
      </c>
      <c r="M1566" s="16">
        <v>497.0</v>
      </c>
      <c r="N1566" s="16">
        <v>75.0</v>
      </c>
      <c r="O1566" s="17"/>
      <c r="P1566" s="18">
        <v>40939.55981481481</v>
      </c>
      <c r="Q1566" s="1" t="s">
        <v>263</v>
      </c>
      <c r="R1566" s="1" t="s">
        <v>7376</v>
      </c>
      <c r="S1566" s="13" t="s">
        <v>7377</v>
      </c>
      <c r="T1566" s="14"/>
      <c r="U1566" s="19" t="str">
        <f>HYPERLINK("https://pbs.twimg.com/profile_images/1151842097781252096/_dmgZX3B.jpg","View")</f>
        <v>View</v>
      </c>
      <c r="V1566" s="14"/>
      <c r="W1566" s="14"/>
      <c r="X1566" s="14"/>
      <c r="Y1566" s="14"/>
      <c r="Z1566" s="14"/>
    </row>
    <row r="1567">
      <c r="A1567" s="11">
        <v>43845.38501157408</v>
      </c>
      <c r="B1567" s="12" t="str">
        <f>HYPERLINK("https://twitter.com/thisiscalmer","@thisiscalmer")</f>
        <v>@thisiscalmer</v>
      </c>
      <c r="C1567" s="1" t="s">
        <v>7378</v>
      </c>
      <c r="D1567" s="1" t="s">
        <v>7379</v>
      </c>
      <c r="E1567" s="12" t="str">
        <f>HYPERLINK("https://twitter.com/thisiscalmer/status/1217449965921931264","1217449965921931264")</f>
        <v>1217449965921931264</v>
      </c>
      <c r="F1567" s="1" t="s">
        <v>7380</v>
      </c>
      <c r="G1567" s="14"/>
      <c r="H1567" s="14"/>
      <c r="I1567" s="15">
        <v>0.0</v>
      </c>
      <c r="J1567" s="15">
        <v>1.0</v>
      </c>
      <c r="K1567" s="12" t="str">
        <f>HYPERLINK("http://twitter.com/download/iphone","Twitter for iPhone")</f>
        <v>Twitter for iPhone</v>
      </c>
      <c r="L1567" s="16">
        <v>1142.0</v>
      </c>
      <c r="M1567" s="16">
        <v>1639.0</v>
      </c>
      <c r="N1567" s="16">
        <v>70.0</v>
      </c>
      <c r="O1567" s="17"/>
      <c r="P1567" s="18">
        <v>42694.44478009259</v>
      </c>
      <c r="Q1567" s="1" t="s">
        <v>263</v>
      </c>
      <c r="R1567" s="1" t="s">
        <v>7381</v>
      </c>
      <c r="S1567" s="13" t="s">
        <v>7382</v>
      </c>
      <c r="T1567" s="14"/>
      <c r="U1567" s="19" t="str">
        <f>HYPERLINK("https://pbs.twimg.com/profile_images/800367414806532096/gIf6q9ps.jpg","View")</f>
        <v>View</v>
      </c>
      <c r="V1567" s="14"/>
      <c r="W1567" s="14"/>
      <c r="X1567" s="14"/>
      <c r="Y1567" s="14"/>
      <c r="Z1567" s="14"/>
    </row>
    <row r="1568">
      <c r="A1568" s="11">
        <v>43845.38202546297</v>
      </c>
      <c r="B1568" s="12" t="str">
        <f>HYPERLINK("https://twitter.com/LABryce_author","@LABryce_author")</f>
        <v>@LABryce_author</v>
      </c>
      <c r="C1568" s="1" t="s">
        <v>7383</v>
      </c>
      <c r="D1568" s="1" t="s">
        <v>7384</v>
      </c>
      <c r="E1568" s="12" t="str">
        <f>HYPERLINK("https://twitter.com/LABryce_author/status/1217448884219281411","1217448884219281411")</f>
        <v>1217448884219281411</v>
      </c>
      <c r="F1568" s="13" t="s">
        <v>7385</v>
      </c>
      <c r="G1568" s="13" t="s">
        <v>7386</v>
      </c>
      <c r="H1568" s="14"/>
      <c r="I1568" s="15">
        <v>0.0</v>
      </c>
      <c r="J1568" s="15">
        <v>1.0</v>
      </c>
      <c r="K1568" s="12" t="str">
        <f>HYPERLINK("https://www.hootsuite.com","Hootsuite Inc.")</f>
        <v>Hootsuite Inc.</v>
      </c>
      <c r="L1568" s="16">
        <v>3925.0</v>
      </c>
      <c r="M1568" s="16">
        <v>3799.0</v>
      </c>
      <c r="N1568" s="16">
        <v>71.0</v>
      </c>
      <c r="O1568" s="17"/>
      <c r="P1568" s="18">
        <v>42299.569872685184</v>
      </c>
      <c r="Q1568" s="1" t="s">
        <v>640</v>
      </c>
      <c r="R1568" s="1" t="s">
        <v>7387</v>
      </c>
      <c r="S1568" s="13" t="s">
        <v>7388</v>
      </c>
      <c r="T1568" s="14"/>
      <c r="U1568" s="19" t="str">
        <f>HYPERLINK("https://pbs.twimg.com/profile_images/1108840958869803010/QFiaLNOf.png","View")</f>
        <v>View</v>
      </c>
      <c r="V1568" s="14"/>
      <c r="W1568" s="14"/>
      <c r="X1568" s="14"/>
      <c r="Y1568" s="14"/>
      <c r="Z1568" s="14"/>
    </row>
    <row r="1569">
      <c r="A1569" s="11">
        <v>43845.37847222222</v>
      </c>
      <c r="B1569" s="12" t="str">
        <f>HYPERLINK("https://twitter.com/BalticNewsinUK","@BalticNewsinUK")</f>
        <v>@BalticNewsinUK</v>
      </c>
      <c r="C1569" s="1" t="s">
        <v>1015</v>
      </c>
      <c r="D1569" s="1" t="s">
        <v>3148</v>
      </c>
      <c r="E1569" s="12" t="str">
        <f>HYPERLINK("https://twitter.com/BalticNewsinUK/status/1217447594772832256","1217447594772832256")</f>
        <v>1217447594772832256</v>
      </c>
      <c r="F1569" s="14"/>
      <c r="G1569" s="13" t="s">
        <v>7389</v>
      </c>
      <c r="H1569" s="14"/>
      <c r="I1569" s="15">
        <v>0.0</v>
      </c>
      <c r="J1569" s="15">
        <v>0.0</v>
      </c>
      <c r="K1569" s="12" t="str">
        <f>HYPERLINK("https://www.socialoomph.com","SocialOomph")</f>
        <v>SocialOomph</v>
      </c>
      <c r="L1569" s="16">
        <v>926.0</v>
      </c>
      <c r="M1569" s="16">
        <v>385.0</v>
      </c>
      <c r="N1569" s="16">
        <v>52.0</v>
      </c>
      <c r="O1569" s="17"/>
      <c r="P1569" s="18">
        <v>40332.26525462963</v>
      </c>
      <c r="Q1569" s="1" t="s">
        <v>624</v>
      </c>
      <c r="R1569" s="1" t="s">
        <v>1018</v>
      </c>
      <c r="S1569" s="13" t="s">
        <v>1019</v>
      </c>
      <c r="T1569" s="14"/>
      <c r="U1569" s="19" t="str">
        <f>HYPERLINK("https://pbs.twimg.com/profile_images/966412232090378240/VdWVnh4-.jpg","View")</f>
        <v>View</v>
      </c>
      <c r="V1569" s="14"/>
      <c r="W1569" s="14"/>
      <c r="X1569" s="14"/>
      <c r="Y1569" s="14"/>
      <c r="Z1569" s="14"/>
    </row>
    <row r="1570">
      <c r="A1570" s="11">
        <v>43845.377812499995</v>
      </c>
      <c r="B1570" s="12" t="str">
        <f>HYPERLINK("https://twitter.com/RevealedWsM","@RevealedWsM")</f>
        <v>@RevealedWsM</v>
      </c>
      <c r="C1570" s="1" t="s">
        <v>7390</v>
      </c>
      <c r="D1570" s="1" t="s">
        <v>7391</v>
      </c>
      <c r="E1570" s="12" t="str">
        <f>HYPERLINK("https://twitter.com/RevealedWsM/status/1217447355630391296","1217447355630391296")</f>
        <v>1217447355630391296</v>
      </c>
      <c r="F1570" s="1" t="s">
        <v>7392</v>
      </c>
      <c r="G1570" s="13" t="s">
        <v>7393</v>
      </c>
      <c r="H1570" s="14"/>
      <c r="I1570" s="15">
        <v>0.0</v>
      </c>
      <c r="J1570" s="15">
        <v>1.0</v>
      </c>
      <c r="K1570" s="12" t="str">
        <f>HYPERLINK("https://buffer.com","Buffer")</f>
        <v>Buffer</v>
      </c>
      <c r="L1570" s="16">
        <v>55.0</v>
      </c>
      <c r="M1570" s="16">
        <v>65.0</v>
      </c>
      <c r="N1570" s="16">
        <v>2.0</v>
      </c>
      <c r="O1570" s="17"/>
      <c r="P1570" s="18">
        <v>43070.2397800926</v>
      </c>
      <c r="Q1570" s="1" t="s">
        <v>7394</v>
      </c>
      <c r="R1570" s="1" t="s">
        <v>7395</v>
      </c>
      <c r="S1570" s="13" t="s">
        <v>7396</v>
      </c>
      <c r="T1570" s="14"/>
      <c r="U1570" s="19" t="str">
        <f>HYPERLINK("https://pbs.twimg.com/profile_images/936547376180940800/_pU8h7LP.jpg","View")</f>
        <v>View</v>
      </c>
      <c r="V1570" s="14"/>
      <c r="W1570" s="14"/>
      <c r="X1570" s="14"/>
      <c r="Y1570" s="14"/>
      <c r="Z1570" s="14"/>
    </row>
    <row r="1571">
      <c r="A1571" s="11">
        <v>43845.37667824074</v>
      </c>
      <c r="B1571" s="12" t="str">
        <f>HYPERLINK("https://twitter.com/HorizonConnects","@HorizonConnects")</f>
        <v>@HorizonConnects</v>
      </c>
      <c r="C1571" s="1" t="s">
        <v>7397</v>
      </c>
      <c r="D1571" s="1" t="s">
        <v>7398</v>
      </c>
      <c r="E1571" s="12" t="str">
        <f>HYPERLINK("https://twitter.com/HorizonConnects/status/1217446944060190721","1217446944060190721")</f>
        <v>1217446944060190721</v>
      </c>
      <c r="F1571" s="13" t="s">
        <v>7399</v>
      </c>
      <c r="G1571" s="13" t="s">
        <v>7400</v>
      </c>
      <c r="H1571" s="14"/>
      <c r="I1571" s="15">
        <v>0.0</v>
      </c>
      <c r="J1571" s="15">
        <v>2.0</v>
      </c>
      <c r="K1571" s="12" t="str">
        <f>HYPERLINK("https://www.hootsuite.com","Hootsuite Inc.")</f>
        <v>Hootsuite Inc.</v>
      </c>
      <c r="L1571" s="16">
        <v>97.0</v>
      </c>
      <c r="M1571" s="16">
        <v>420.0</v>
      </c>
      <c r="N1571" s="16">
        <v>2.0</v>
      </c>
      <c r="O1571" s="17"/>
      <c r="P1571" s="18">
        <v>42020.56711805555</v>
      </c>
      <c r="Q1571" s="1" t="s">
        <v>7401</v>
      </c>
      <c r="R1571" s="1" t="s">
        <v>7402</v>
      </c>
      <c r="S1571" s="13" t="s">
        <v>7403</v>
      </c>
      <c r="T1571" s="14"/>
      <c r="U1571" s="19" t="str">
        <f>HYPERLINK("https://pbs.twimg.com/profile_images/1096470239246614528/nQYrckt1.png","View")</f>
        <v>View</v>
      </c>
      <c r="V1571" s="14"/>
      <c r="W1571" s="14"/>
      <c r="X1571" s="14"/>
      <c r="Y1571" s="14"/>
      <c r="Z1571" s="14"/>
    </row>
    <row r="1572">
      <c r="A1572" s="11">
        <v>43845.37599537037</v>
      </c>
      <c r="B1572" s="12" t="str">
        <f>HYPERLINK("https://twitter.com/RonCarucci","@RonCarucci")</f>
        <v>@RonCarucci</v>
      </c>
      <c r="C1572" s="1" t="s">
        <v>7404</v>
      </c>
      <c r="D1572" s="1" t="s">
        <v>7405</v>
      </c>
      <c r="E1572" s="12" t="str">
        <f>HYPERLINK("https://twitter.com/RonCarucci/status/1217446699792322561","1217446699792322561")</f>
        <v>1217446699792322561</v>
      </c>
      <c r="F1572" s="13" t="s">
        <v>7406</v>
      </c>
      <c r="G1572" s="13" t="s">
        <v>7407</v>
      </c>
      <c r="H1572" s="14"/>
      <c r="I1572" s="15">
        <v>0.0</v>
      </c>
      <c r="J1572" s="15">
        <v>2.0</v>
      </c>
      <c r="K1572" s="12" t="str">
        <f>HYPERLINK("http://meetedgar.com","MeetEdgar")</f>
        <v>MeetEdgar</v>
      </c>
      <c r="L1572" s="16">
        <v>8322.0</v>
      </c>
      <c r="M1572" s="16">
        <v>6399.0</v>
      </c>
      <c r="N1572" s="16">
        <v>189.0</v>
      </c>
      <c r="O1572" s="17"/>
      <c r="P1572" s="18">
        <v>42282.8121412037</v>
      </c>
      <c r="Q1572" s="1" t="s">
        <v>2416</v>
      </c>
      <c r="R1572" s="1" t="s">
        <v>7408</v>
      </c>
      <c r="S1572" s="13" t="s">
        <v>7409</v>
      </c>
      <c r="T1572" s="14"/>
      <c r="U1572" s="19" t="str">
        <f>HYPERLINK("https://pbs.twimg.com/profile_images/768184430728876033/ARMU0iYx.jpg","View")</f>
        <v>View</v>
      </c>
      <c r="V1572" s="14"/>
      <c r="W1572" s="14"/>
      <c r="X1572" s="14"/>
      <c r="Y1572" s="14"/>
      <c r="Z1572" s="14"/>
    </row>
    <row r="1573">
      <c r="A1573" s="11">
        <v>43845.37585648148</v>
      </c>
      <c r="B1573" s="12" t="str">
        <f>HYPERLINK("https://twitter.com/iamchrisgraff","@iamchrisgraff")</f>
        <v>@iamchrisgraff</v>
      </c>
      <c r="C1573" s="1" t="s">
        <v>7410</v>
      </c>
      <c r="D1573" s="1" t="s">
        <v>7411</v>
      </c>
      <c r="E1573" s="12" t="str">
        <f>HYPERLINK("https://twitter.com/iamchrisgraff/status/1217446648512679936","1217446648512679936")</f>
        <v>1217446648512679936</v>
      </c>
      <c r="F1573" s="14"/>
      <c r="G1573" s="14"/>
      <c r="H1573" s="14"/>
      <c r="I1573" s="15">
        <v>0.0</v>
      </c>
      <c r="J1573" s="15">
        <v>1.0</v>
      </c>
      <c r="K1573" s="12" t="str">
        <f>HYPERLINK("http://twitter.com/download/iphone","Twitter for iPhone")</f>
        <v>Twitter for iPhone</v>
      </c>
      <c r="L1573" s="16">
        <v>2124.0</v>
      </c>
      <c r="M1573" s="16">
        <v>64.0</v>
      </c>
      <c r="N1573" s="16">
        <v>0.0</v>
      </c>
      <c r="O1573" s="17"/>
      <c r="P1573" s="18">
        <v>43581.7052662037</v>
      </c>
      <c r="Q1573" s="1" t="s">
        <v>2987</v>
      </c>
      <c r="R1573" s="1" t="s">
        <v>7412</v>
      </c>
      <c r="S1573" s="13" t="s">
        <v>7413</v>
      </c>
      <c r="T1573" s="14"/>
      <c r="U1573" s="19" t="str">
        <f>HYPERLINK("https://pbs.twimg.com/profile_images/1170362886847438850/-i7GLviY.jpg","View")</f>
        <v>View</v>
      </c>
      <c r="V1573" s="14"/>
      <c r="W1573" s="14"/>
      <c r="X1573" s="14"/>
      <c r="Y1573" s="14"/>
      <c r="Z1573" s="14"/>
    </row>
    <row r="1574">
      <c r="A1574" s="11">
        <v>43845.37530092592</v>
      </c>
      <c r="B1574" s="12" t="str">
        <f>HYPERLINK("https://twitter.com/RecruitingGym","@RecruitingGym")</f>
        <v>@RecruitingGym</v>
      </c>
      <c r="C1574" s="1" t="s">
        <v>7414</v>
      </c>
      <c r="D1574" s="1" t="s">
        <v>7415</v>
      </c>
      <c r="E1574" s="12" t="str">
        <f>HYPERLINK("https://twitter.com/RecruitingGym/status/1217446448255717376","1217446448255717376")</f>
        <v>1217446448255717376</v>
      </c>
      <c r="F1574" s="13" t="s">
        <v>7416</v>
      </c>
      <c r="G1574" s="13" t="s">
        <v>7417</v>
      </c>
      <c r="H1574" s="14"/>
      <c r="I1574" s="15">
        <v>0.0</v>
      </c>
      <c r="J1574" s="15">
        <v>1.0</v>
      </c>
      <c r="K1574" s="12" t="str">
        <f>HYPERLINK("https://mobile.twitter.com","Twitter Web App")</f>
        <v>Twitter Web App</v>
      </c>
      <c r="L1574" s="16">
        <v>1215.0</v>
      </c>
      <c r="M1574" s="16">
        <v>1671.0</v>
      </c>
      <c r="N1574" s="16">
        <v>49.0</v>
      </c>
      <c r="O1574" s="17"/>
      <c r="P1574" s="18">
        <v>41848.239699074074</v>
      </c>
      <c r="Q1574" s="1" t="s">
        <v>7418</v>
      </c>
      <c r="R1574" s="1" t="s">
        <v>7419</v>
      </c>
      <c r="S1574" s="13" t="s">
        <v>7420</v>
      </c>
      <c r="T1574" s="14"/>
      <c r="U1574" s="19" t="str">
        <f>HYPERLINK("https://pbs.twimg.com/profile_images/1080806901254930433/KLJnbC9x.jpg","View")</f>
        <v>View</v>
      </c>
      <c r="V1574" s="14"/>
      <c r="W1574" s="14"/>
      <c r="X1574" s="14"/>
      <c r="Y1574" s="14"/>
      <c r="Z1574" s="14"/>
    </row>
    <row r="1575">
      <c r="A1575" s="11">
        <v>43845.37527777778</v>
      </c>
      <c r="B1575" s="12" t="str">
        <f>HYPERLINK("https://twitter.com/Esssiteskills","@Esssiteskills")</f>
        <v>@Esssiteskills</v>
      </c>
      <c r="C1575" s="1" t="s">
        <v>7421</v>
      </c>
      <c r="D1575" s="1" t="s">
        <v>7422</v>
      </c>
      <c r="E1575" s="12" t="str">
        <f>HYPERLINK("https://twitter.com/Esssiteskills/status/1217446437170089986","1217446437170089986")</f>
        <v>1217446437170089986</v>
      </c>
      <c r="F1575" s="13" t="s">
        <v>7423</v>
      </c>
      <c r="G1575" s="13" t="s">
        <v>7424</v>
      </c>
      <c r="H1575" s="14"/>
      <c r="I1575" s="15">
        <v>0.0</v>
      </c>
      <c r="J1575" s="15">
        <v>0.0</v>
      </c>
      <c r="K1575" s="12" t="str">
        <f>HYPERLINK("https://www.hootsuite.com","Hootsuite Inc.")</f>
        <v>Hootsuite Inc.</v>
      </c>
      <c r="L1575" s="16">
        <v>700.0</v>
      </c>
      <c r="M1575" s="16">
        <v>1572.0</v>
      </c>
      <c r="N1575" s="16">
        <v>6.0</v>
      </c>
      <c r="O1575" s="17"/>
      <c r="P1575" s="18">
        <v>41934.35594907407</v>
      </c>
      <c r="Q1575" s="1" t="s">
        <v>7425</v>
      </c>
      <c r="R1575" s="1" t="s">
        <v>7426</v>
      </c>
      <c r="S1575" s="13" t="s">
        <v>7427</v>
      </c>
      <c r="T1575" s="14"/>
      <c r="U1575" s="19" t="str">
        <f>HYPERLINK("https://pbs.twimg.com/profile_images/1082629148156268544/hT82D_hS.jpg","View")</f>
        <v>View</v>
      </c>
      <c r="V1575" s="14"/>
      <c r="W1575" s="14"/>
      <c r="X1575" s="14"/>
      <c r="Y1575" s="14"/>
      <c r="Z1575" s="14"/>
    </row>
    <row r="1576">
      <c r="A1576" s="11">
        <v>43845.37503472222</v>
      </c>
      <c r="B1576" s="12" t="str">
        <f>HYPERLINK("https://twitter.com/edwardgwalters","@edwardgwalters")</f>
        <v>@edwardgwalters</v>
      </c>
      <c r="C1576" s="1" t="s">
        <v>7428</v>
      </c>
      <c r="D1576" s="1" t="s">
        <v>7429</v>
      </c>
      <c r="E1576" s="12" t="str">
        <f>HYPERLINK("https://twitter.com/edwardgwalters/status/1217446351149109248","1217446351149109248")</f>
        <v>1217446351149109248</v>
      </c>
      <c r="F1576" s="13" t="s">
        <v>7430</v>
      </c>
      <c r="G1576" s="14"/>
      <c r="H1576" s="14"/>
      <c r="I1576" s="15">
        <v>0.0</v>
      </c>
      <c r="J1576" s="15">
        <v>0.0</v>
      </c>
      <c r="K1576" s="12" t="str">
        <f>HYPERLINK("https://getbambu.com","Bambu by Sprout Social")</f>
        <v>Bambu by Sprout Social</v>
      </c>
      <c r="L1576" s="16">
        <v>295.0</v>
      </c>
      <c r="M1576" s="16">
        <v>208.0</v>
      </c>
      <c r="N1576" s="16">
        <v>27.0</v>
      </c>
      <c r="O1576" s="17"/>
      <c r="P1576" s="18">
        <v>39811.56611111111</v>
      </c>
      <c r="Q1576" s="1" t="s">
        <v>7431</v>
      </c>
      <c r="R1576" s="1" t="s">
        <v>7432</v>
      </c>
      <c r="S1576" s="13" t="s">
        <v>7433</v>
      </c>
      <c r="T1576" s="14"/>
      <c r="U1576" s="19" t="str">
        <f>HYPERLINK("https://pbs.twimg.com/profile_images/615356934263189505/w6dsb7dO.jpg","View")</f>
        <v>View</v>
      </c>
      <c r="V1576" s="14"/>
      <c r="W1576" s="14"/>
      <c r="X1576" s="14"/>
      <c r="Y1576" s="14"/>
      <c r="Z1576" s="14"/>
    </row>
    <row r="1577">
      <c r="A1577" s="11">
        <v>43845.37501157407</v>
      </c>
      <c r="B1577" s="12" t="str">
        <f>HYPERLINK("https://twitter.com/VenerateCares","@VenerateCares")</f>
        <v>@VenerateCares</v>
      </c>
      <c r="C1577" s="1" t="s">
        <v>7434</v>
      </c>
      <c r="D1577" s="1" t="s">
        <v>7435</v>
      </c>
      <c r="E1577" s="12" t="str">
        <f>HYPERLINK("https://twitter.com/VenerateCares/status/1217446341523075073","1217446341523075073")</f>
        <v>1217446341523075073</v>
      </c>
      <c r="F1577" s="14"/>
      <c r="G1577" s="13" t="s">
        <v>7436</v>
      </c>
      <c r="H1577" s="14"/>
      <c r="I1577" s="15">
        <v>0.0</v>
      </c>
      <c r="J1577" s="15">
        <v>0.0</v>
      </c>
      <c r="K1577" s="12" t="str">
        <f>HYPERLINK("https://about.twitter.com/products/tweetdeck","TweetDeck")</f>
        <v>TweetDeck</v>
      </c>
      <c r="L1577" s="16">
        <v>73.0</v>
      </c>
      <c r="M1577" s="16">
        <v>91.0</v>
      </c>
      <c r="N1577" s="16">
        <v>6.0</v>
      </c>
      <c r="O1577" s="17"/>
      <c r="P1577" s="18">
        <v>42438.02229166667</v>
      </c>
      <c r="Q1577" s="1" t="s">
        <v>7437</v>
      </c>
      <c r="R1577" s="1" t="s">
        <v>7438</v>
      </c>
      <c r="S1577" s="13" t="s">
        <v>7439</v>
      </c>
      <c r="T1577" s="14"/>
      <c r="U1577" s="19" t="str">
        <f>HYPERLINK("https://pbs.twimg.com/profile_images/1124176505230069760/D6TaOESj.jpg","View")</f>
        <v>View</v>
      </c>
      <c r="V1577" s="14"/>
      <c r="W1577" s="14"/>
      <c r="X1577" s="14"/>
      <c r="Y1577" s="14"/>
      <c r="Z1577" s="14"/>
    </row>
    <row r="1578">
      <c r="A1578" s="11">
        <v>43845.37421296297</v>
      </c>
      <c r="B1578" s="12" t="str">
        <f>HYPERLINK("https://twitter.com/ronhuxley","@ronhuxley")</f>
        <v>@ronhuxley</v>
      </c>
      <c r="C1578" s="1" t="s">
        <v>7440</v>
      </c>
      <c r="D1578" s="1" t="s">
        <v>7441</v>
      </c>
      <c r="E1578" s="12" t="str">
        <f>HYPERLINK("https://twitter.com/ronhuxley/status/1217446051558428680","1217446051558428680")</f>
        <v>1217446051558428680</v>
      </c>
      <c r="F1578" s="1" t="s">
        <v>7442</v>
      </c>
      <c r="G1578" s="14"/>
      <c r="H1578" s="14"/>
      <c r="I1578" s="15">
        <v>0.0</v>
      </c>
      <c r="J1578" s="15">
        <v>0.0</v>
      </c>
      <c r="K1578" s="12" t="str">
        <f>HYPERLINK("http://instagram.com","Instagram")</f>
        <v>Instagram</v>
      </c>
      <c r="L1578" s="16">
        <v>18156.0</v>
      </c>
      <c r="M1578" s="16">
        <v>4367.0</v>
      </c>
      <c r="N1578" s="16">
        <v>276.0</v>
      </c>
      <c r="O1578" s="17"/>
      <c r="P1578" s="18">
        <v>39905.39494212963</v>
      </c>
      <c r="Q1578" s="1" t="s">
        <v>7443</v>
      </c>
      <c r="R1578" s="1" t="s">
        <v>7444</v>
      </c>
      <c r="S1578" s="13" t="s">
        <v>7445</v>
      </c>
      <c r="T1578" s="14"/>
      <c r="U1578" s="19" t="str">
        <f>HYPERLINK("https://pbs.twimg.com/profile_images/911399580956266496/cd-_g98C.jpg","View")</f>
        <v>View</v>
      </c>
      <c r="V1578" s="14"/>
      <c r="W1578" s="14"/>
      <c r="X1578" s="14"/>
      <c r="Y1578" s="14"/>
      <c r="Z1578" s="14"/>
    </row>
    <row r="1579">
      <c r="A1579" s="11">
        <v>43845.37261574074</v>
      </c>
      <c r="B1579" s="12" t="str">
        <f>HYPERLINK("https://twitter.com/lisasells","@lisasells")</f>
        <v>@lisasells</v>
      </c>
      <c r="C1579" s="1" t="s">
        <v>7446</v>
      </c>
      <c r="D1579" s="1" t="s">
        <v>7447</v>
      </c>
      <c r="E1579" s="12" t="str">
        <f>HYPERLINK("https://twitter.com/lisasells/status/1217445472765386752","1217445472765386752")</f>
        <v>1217445472765386752</v>
      </c>
      <c r="F1579" s="14"/>
      <c r="G1579" s="13" t="s">
        <v>7448</v>
      </c>
      <c r="H1579" s="14"/>
      <c r="I1579" s="15">
        <v>0.0</v>
      </c>
      <c r="J1579" s="15">
        <v>0.0</v>
      </c>
      <c r="K1579" s="12" t="str">
        <f>HYPERLINK("http://twitter.com/download/android","Twitter for Android")</f>
        <v>Twitter for Android</v>
      </c>
      <c r="L1579" s="16">
        <v>468.0</v>
      </c>
      <c r="M1579" s="16">
        <v>754.0</v>
      </c>
      <c r="N1579" s="16">
        <v>52.0</v>
      </c>
      <c r="O1579" s="17"/>
      <c r="P1579" s="18">
        <v>39930.99130787037</v>
      </c>
      <c r="Q1579" s="1" t="s">
        <v>7449</v>
      </c>
      <c r="R1579" s="1" t="s">
        <v>7450</v>
      </c>
      <c r="S1579" s="13" t="s">
        <v>7451</v>
      </c>
      <c r="T1579" s="14"/>
      <c r="U1579" s="19" t="str">
        <f>HYPERLINK("https://pbs.twimg.com/profile_images/886388344674029568/bsa2zpLS.jpg","View")</f>
        <v>View</v>
      </c>
      <c r="V1579" s="14"/>
      <c r="W1579" s="14"/>
      <c r="X1579" s="14"/>
      <c r="Y1579" s="14"/>
      <c r="Z1579" s="14"/>
    </row>
    <row r="1580">
      <c r="A1580" s="11">
        <v>43845.36864583333</v>
      </c>
      <c r="B1580" s="12" t="str">
        <f>HYPERLINK("https://twitter.com/RelaxIntuit","@RelaxIntuit")</f>
        <v>@RelaxIntuit</v>
      </c>
      <c r="C1580" s="13" t="s">
        <v>7452</v>
      </c>
      <c r="D1580" s="1" t="s">
        <v>7453</v>
      </c>
      <c r="E1580" s="12" t="str">
        <f>HYPERLINK("https://twitter.com/RelaxIntuit/status/1217444035046137856","1217444035046137856")</f>
        <v>1217444035046137856</v>
      </c>
      <c r="F1580" s="13" t="s">
        <v>7454</v>
      </c>
      <c r="G1580" s="13" t="s">
        <v>7455</v>
      </c>
      <c r="H1580" s="14"/>
      <c r="I1580" s="15">
        <v>0.0</v>
      </c>
      <c r="J1580" s="15">
        <v>0.0</v>
      </c>
      <c r="K1580" s="12" t="str">
        <f t="shared" ref="K1580:K1581" si="150">HYPERLINK("https://mobile.twitter.com","Twitter Web App")</f>
        <v>Twitter Web App</v>
      </c>
      <c r="L1580" s="16">
        <v>4990.0</v>
      </c>
      <c r="M1580" s="16">
        <v>4561.0</v>
      </c>
      <c r="N1580" s="16">
        <v>311.0</v>
      </c>
      <c r="O1580" s="17"/>
      <c r="P1580" s="18">
        <v>40469.76363425926</v>
      </c>
      <c r="Q1580" s="1" t="s">
        <v>7456</v>
      </c>
      <c r="R1580" s="1" t="s">
        <v>7457</v>
      </c>
      <c r="S1580" s="13" t="s">
        <v>7458</v>
      </c>
      <c r="T1580" s="14"/>
      <c r="U1580" s="19" t="str">
        <f>HYPERLINK("https://pbs.twimg.com/profile_images/893631727024852992/G0075m1Z.jpg","View")</f>
        <v>View</v>
      </c>
      <c r="V1580" s="14"/>
      <c r="W1580" s="14"/>
      <c r="X1580" s="14"/>
      <c r="Y1580" s="14"/>
      <c r="Z1580" s="14"/>
    </row>
    <row r="1581">
      <c r="A1581" s="11">
        <v>43845.3684375</v>
      </c>
      <c r="B1581" s="12" t="str">
        <f>HYPERLINK("https://twitter.com/FeelNorfolk","@FeelNorfolk")</f>
        <v>@FeelNorfolk</v>
      </c>
      <c r="C1581" s="1" t="s">
        <v>7459</v>
      </c>
      <c r="D1581" s="1" t="s">
        <v>7460</v>
      </c>
      <c r="E1581" s="12" t="str">
        <f>HYPERLINK("https://twitter.com/FeelNorfolk/status/1217443960853090305","1217443960853090305")</f>
        <v>1217443960853090305</v>
      </c>
      <c r="F1581" s="13" t="s">
        <v>7461</v>
      </c>
      <c r="G1581" s="13" t="s">
        <v>7462</v>
      </c>
      <c r="H1581" s="14"/>
      <c r="I1581" s="15">
        <v>0.0</v>
      </c>
      <c r="J1581" s="15">
        <v>0.0</v>
      </c>
      <c r="K1581" s="12" t="str">
        <f t="shared" si="150"/>
        <v>Twitter Web App</v>
      </c>
      <c r="L1581" s="16">
        <v>24.0</v>
      </c>
      <c r="M1581" s="16">
        <v>38.0</v>
      </c>
      <c r="N1581" s="16">
        <v>0.0</v>
      </c>
      <c r="O1581" s="17"/>
      <c r="P1581" s="18">
        <v>43717.62975694444</v>
      </c>
      <c r="Q1581" s="1" t="s">
        <v>7463</v>
      </c>
      <c r="R1581" s="1" t="s">
        <v>7464</v>
      </c>
      <c r="S1581" s="13" t="s">
        <v>7465</v>
      </c>
      <c r="T1581" s="14"/>
      <c r="U1581" s="19" t="str">
        <f>HYPERLINK("https://pbs.twimg.com/profile_images/1171139040411885568/XldXvSTB.png","View")</f>
        <v>View</v>
      </c>
      <c r="V1581" s="14"/>
      <c r="W1581" s="14"/>
      <c r="X1581" s="14"/>
      <c r="Y1581" s="14"/>
      <c r="Z1581" s="14"/>
    </row>
    <row r="1582">
      <c r="A1582" s="11">
        <v>43845.366689814815</v>
      </c>
      <c r="B1582" s="12" t="str">
        <f>HYPERLINK("https://twitter.com/MedicineNet","@MedicineNet")</f>
        <v>@MedicineNet</v>
      </c>
      <c r="C1582" s="13" t="s">
        <v>7466</v>
      </c>
      <c r="D1582" s="1" t="s">
        <v>7467</v>
      </c>
      <c r="E1582" s="12" t="str">
        <f>HYPERLINK("https://twitter.com/MedicineNet/status/1217443326791766016","1217443326791766016")</f>
        <v>1217443326791766016</v>
      </c>
      <c r="F1582" s="13" t="s">
        <v>7468</v>
      </c>
      <c r="G1582" s="13" t="s">
        <v>7469</v>
      </c>
      <c r="H1582" s="14"/>
      <c r="I1582" s="15">
        <v>0.0</v>
      </c>
      <c r="J1582" s="15">
        <v>0.0</v>
      </c>
      <c r="K1582" s="12" t="str">
        <f t="shared" ref="K1582:K1583" si="151">HYPERLINK("https://buffer.com","Buffer")</f>
        <v>Buffer</v>
      </c>
      <c r="L1582" s="16">
        <v>11936.0</v>
      </c>
      <c r="M1582" s="16">
        <v>27.0</v>
      </c>
      <c r="N1582" s="16">
        <v>339.0</v>
      </c>
      <c r="O1582" s="17"/>
      <c r="P1582" s="18">
        <v>40256.73017361111</v>
      </c>
      <c r="Q1582" s="14"/>
      <c r="R1582" s="1" t="s">
        <v>7470</v>
      </c>
      <c r="S1582" s="13" t="s">
        <v>7471</v>
      </c>
      <c r="T1582" s="14"/>
      <c r="U1582" s="19" t="str">
        <f>HYPERLINK("https://pbs.twimg.com/profile_images/756595425042321408/6BlI0gen.jpg","View")</f>
        <v>View</v>
      </c>
      <c r="V1582" s="14"/>
      <c r="W1582" s="14"/>
      <c r="X1582" s="14"/>
      <c r="Y1582" s="14"/>
      <c r="Z1582" s="14"/>
    </row>
    <row r="1583">
      <c r="A1583" s="11">
        <v>43845.362662037034</v>
      </c>
      <c r="B1583" s="12" t="str">
        <f>HYPERLINK("https://twitter.com/bsecurtech","@bsecurtech")</f>
        <v>@bsecurtech</v>
      </c>
      <c r="C1583" s="1" t="s">
        <v>7472</v>
      </c>
      <c r="D1583" s="1" t="s">
        <v>7473</v>
      </c>
      <c r="E1583" s="12" t="str">
        <f>HYPERLINK("https://twitter.com/bsecurtech/status/1217441867413016576","1217441867413016576")</f>
        <v>1217441867413016576</v>
      </c>
      <c r="F1583" s="13" t="s">
        <v>7474</v>
      </c>
      <c r="G1583" s="13" t="s">
        <v>7475</v>
      </c>
      <c r="H1583" s="14"/>
      <c r="I1583" s="15">
        <v>1.0</v>
      </c>
      <c r="J1583" s="15">
        <v>2.0</v>
      </c>
      <c r="K1583" s="12" t="str">
        <f t="shared" si="151"/>
        <v>Buffer</v>
      </c>
      <c r="L1583" s="16">
        <v>1274.0</v>
      </c>
      <c r="M1583" s="16">
        <v>1728.0</v>
      </c>
      <c r="N1583" s="16">
        <v>162.0</v>
      </c>
      <c r="O1583" s="17"/>
      <c r="P1583" s="18">
        <v>42044.421875</v>
      </c>
      <c r="Q1583" s="1" t="s">
        <v>3406</v>
      </c>
      <c r="R1583" s="1" t="s">
        <v>7476</v>
      </c>
      <c r="S1583" s="13" t="s">
        <v>7477</v>
      </c>
      <c r="T1583" s="14"/>
      <c r="U1583" s="19" t="str">
        <f>HYPERLINK("https://pbs.twimg.com/profile_images/1216680779952074752/bSddtZwo.jpg","View")</f>
        <v>View</v>
      </c>
      <c r="V1583" s="14"/>
      <c r="W1583" s="14"/>
      <c r="X1583" s="14"/>
      <c r="Y1583" s="14"/>
      <c r="Z1583" s="14"/>
    </row>
    <row r="1584">
      <c r="A1584" s="11">
        <v>43845.361539351856</v>
      </c>
      <c r="B1584" s="12" t="str">
        <f>HYPERLINK("https://twitter.com/gwtheflow","@gwtheflow")</f>
        <v>@gwtheflow</v>
      </c>
      <c r="C1584" s="1" t="s">
        <v>7478</v>
      </c>
      <c r="D1584" s="1" t="s">
        <v>7479</v>
      </c>
      <c r="E1584" s="12" t="str">
        <f>HYPERLINK("https://twitter.com/gwtheflow/status/1217441460284461058","1217441460284461058")</f>
        <v>1217441460284461058</v>
      </c>
      <c r="F1584" s="13" t="s">
        <v>7480</v>
      </c>
      <c r="G1584" s="14"/>
      <c r="H1584" s="12" t="str">
        <f>HYPERLINK("https://ctrlq.org/maps/address/#51.5168904,-0.1462149","Map")</f>
        <v>Map</v>
      </c>
      <c r="I1584" s="15">
        <v>0.0</v>
      </c>
      <c r="J1584" s="15">
        <v>0.0</v>
      </c>
      <c r="K1584" s="12" t="str">
        <f>HYPERLINK("http://instagram.com","Instagram")</f>
        <v>Instagram</v>
      </c>
      <c r="L1584" s="16">
        <v>820.0</v>
      </c>
      <c r="M1584" s="16">
        <v>2169.0</v>
      </c>
      <c r="N1584" s="16">
        <v>21.0</v>
      </c>
      <c r="O1584" s="17"/>
      <c r="P1584" s="18">
        <v>41495.37298611111</v>
      </c>
      <c r="Q1584" s="1" t="s">
        <v>268</v>
      </c>
      <c r="R1584" s="1" t="s">
        <v>7481</v>
      </c>
      <c r="S1584" s="13" t="s">
        <v>7482</v>
      </c>
      <c r="T1584" s="14"/>
      <c r="U1584" s="19" t="str">
        <f>HYPERLINK("https://pbs.twimg.com/profile_images/659409367607980032/iEy8Xw-b.jpg","View")</f>
        <v>View</v>
      </c>
      <c r="V1584" s="14"/>
      <c r="W1584" s="14"/>
      <c r="X1584" s="14"/>
      <c r="Y1584" s="14"/>
      <c r="Z1584" s="14"/>
    </row>
    <row r="1585">
      <c r="A1585" s="11">
        <v>43845.361122685186</v>
      </c>
      <c r="B1585" s="12" t="str">
        <f>HYPERLINK("https://twitter.com/judejennison","@judejennison")</f>
        <v>@judejennison</v>
      </c>
      <c r="C1585" s="1" t="s">
        <v>7483</v>
      </c>
      <c r="D1585" s="1" t="s">
        <v>7484</v>
      </c>
      <c r="E1585" s="12" t="str">
        <f>HYPERLINK("https://twitter.com/judejennison/status/1217441308958253057","1217441308958253057")</f>
        <v>1217441308958253057</v>
      </c>
      <c r="F1585" s="13" t="s">
        <v>7485</v>
      </c>
      <c r="G1585" s="13" t="s">
        <v>7486</v>
      </c>
      <c r="H1585" s="14"/>
      <c r="I1585" s="15">
        <v>0.0</v>
      </c>
      <c r="J1585" s="15">
        <v>1.0</v>
      </c>
      <c r="K1585" s="12" t="str">
        <f>HYPERLINK("https://missinglettr.com","Missinglettr")</f>
        <v>Missinglettr</v>
      </c>
      <c r="L1585" s="16">
        <v>2424.0</v>
      </c>
      <c r="M1585" s="16">
        <v>2834.0</v>
      </c>
      <c r="N1585" s="16">
        <v>74.0</v>
      </c>
      <c r="O1585" s="17"/>
      <c r="P1585" s="18">
        <v>39817.48391203704</v>
      </c>
      <c r="Q1585" s="1" t="s">
        <v>7487</v>
      </c>
      <c r="R1585" s="1" t="s">
        <v>7488</v>
      </c>
      <c r="S1585" s="13" t="s">
        <v>7489</v>
      </c>
      <c r="T1585" s="14"/>
      <c r="U1585" s="19" t="str">
        <f>HYPERLINK("https://pbs.twimg.com/profile_images/997359848898617344/BlovT_u0.jpg","View")</f>
        <v>View</v>
      </c>
      <c r="V1585" s="14"/>
      <c r="W1585" s="14"/>
      <c r="X1585" s="14"/>
      <c r="Y1585" s="14"/>
      <c r="Z1585" s="14"/>
    </row>
    <row r="1586">
      <c r="A1586" s="11">
        <v>43845.35416666667</v>
      </c>
      <c r="B1586" s="12" t="str">
        <f>HYPERLINK("https://twitter.com/LifeExtension","@LifeExtension")</f>
        <v>@LifeExtension</v>
      </c>
      <c r="C1586" s="1" t="s">
        <v>7490</v>
      </c>
      <c r="D1586" s="1" t="s">
        <v>7491</v>
      </c>
      <c r="E1586" s="12" t="str">
        <f>HYPERLINK("https://twitter.com/LifeExtension/status/1217438786319273984","1217438786319273984")</f>
        <v>1217438786319273984</v>
      </c>
      <c r="F1586" s="14"/>
      <c r="G1586" s="14"/>
      <c r="H1586" s="14"/>
      <c r="I1586" s="15">
        <v>6.0</v>
      </c>
      <c r="J1586" s="15">
        <v>9.0</v>
      </c>
      <c r="K1586" s="12" t="str">
        <f>HYPERLINK("https://ads-api.twitter.com","Twitter for Advertisers")</f>
        <v>Twitter for Advertisers</v>
      </c>
      <c r="L1586" s="16">
        <v>158763.0</v>
      </c>
      <c r="M1586" s="16">
        <v>172566.0</v>
      </c>
      <c r="N1586" s="16">
        <v>2511.0</v>
      </c>
      <c r="O1586" s="17"/>
      <c r="P1586" s="18">
        <v>39900.080671296295</v>
      </c>
      <c r="Q1586" s="1" t="s">
        <v>7492</v>
      </c>
      <c r="R1586" s="1" t="s">
        <v>7493</v>
      </c>
      <c r="S1586" s="13" t="s">
        <v>7494</v>
      </c>
      <c r="T1586" s="14"/>
      <c r="U1586" s="19" t="str">
        <f>HYPERLINK("https://pbs.twimg.com/profile_images/1189181406745751552/uTBoceIY.jpg","View")</f>
        <v>View</v>
      </c>
      <c r="V1586" s="14"/>
      <c r="W1586" s="14"/>
      <c r="X1586" s="14"/>
      <c r="Y1586" s="14"/>
      <c r="Z1586" s="14"/>
    </row>
    <row r="1587">
      <c r="A1587" s="11">
        <v>43845.35412037037</v>
      </c>
      <c r="B1587" s="12" t="str">
        <f>HYPERLINK("https://twitter.com/RonaldTooTall","@RonaldTooTall")</f>
        <v>@RonaldTooTall</v>
      </c>
      <c r="C1587" s="1" t="s">
        <v>7495</v>
      </c>
      <c r="D1587" s="1" t="s">
        <v>7496</v>
      </c>
      <c r="E1587" s="12" t="str">
        <f>HYPERLINK("https://twitter.com/RonaldTooTall/status/1217438769185546240","1217438769185546240")</f>
        <v>1217438769185546240</v>
      </c>
      <c r="F1587" s="13" t="s">
        <v>7497</v>
      </c>
      <c r="G1587" s="14"/>
      <c r="H1587" s="14"/>
      <c r="I1587" s="15">
        <v>0.0</v>
      </c>
      <c r="J1587" s="15">
        <v>0.0</v>
      </c>
      <c r="K1587" s="12" t="str">
        <f>HYPERLINK("http://twitter.com/#!/download/ipad","Twitter for iPad")</f>
        <v>Twitter for iPad</v>
      </c>
      <c r="L1587" s="16">
        <v>20716.0</v>
      </c>
      <c r="M1587" s="16">
        <v>20937.0</v>
      </c>
      <c r="N1587" s="16">
        <v>378.0</v>
      </c>
      <c r="O1587" s="17"/>
      <c r="P1587" s="18">
        <v>39874.55521990741</v>
      </c>
      <c r="Q1587" s="1" t="s">
        <v>7498</v>
      </c>
      <c r="R1587" s="1" t="s">
        <v>7499</v>
      </c>
      <c r="S1587" s="14"/>
      <c r="T1587" s="14"/>
      <c r="U1587" s="19" t="str">
        <f>HYPERLINK("https://pbs.twimg.com/profile_images/1145658456592007169/JjQnF3pC.png","View")</f>
        <v>View</v>
      </c>
      <c r="V1587" s="14"/>
      <c r="W1587" s="14"/>
      <c r="X1587" s="14"/>
      <c r="Y1587" s="14"/>
      <c r="Z1587" s="14"/>
    </row>
    <row r="1588">
      <c r="A1588" s="11">
        <v>43845.35</v>
      </c>
      <c r="B1588" s="12" t="str">
        <f>HYPERLINK("https://twitter.com/SinclairWellbe1","@SinclairWellbe1")</f>
        <v>@SinclairWellbe1</v>
      </c>
      <c r="C1588" s="1" t="s">
        <v>7500</v>
      </c>
      <c r="D1588" s="1" t="s">
        <v>7501</v>
      </c>
      <c r="E1588" s="12" t="str">
        <f>HYPERLINK("https://twitter.com/SinclairWellbe1/status/1217437276281753601","1217437276281753601")</f>
        <v>1217437276281753601</v>
      </c>
      <c r="F1588" s="14"/>
      <c r="G1588" s="13" t="s">
        <v>7502</v>
      </c>
      <c r="H1588" s="14"/>
      <c r="I1588" s="15">
        <v>1.0</v>
      </c>
      <c r="J1588" s="15">
        <v>1.0</v>
      </c>
      <c r="K1588" s="12" t="str">
        <f t="shared" ref="K1588:K1589" si="152">HYPERLINK("https://mobile.twitter.com","Twitter Web App")</f>
        <v>Twitter Web App</v>
      </c>
      <c r="L1588" s="16">
        <v>4.0</v>
      </c>
      <c r="M1588" s="16">
        <v>32.0</v>
      </c>
      <c r="N1588" s="16">
        <v>0.0</v>
      </c>
      <c r="O1588" s="17"/>
      <c r="P1588" s="18">
        <v>43748.22378472222</v>
      </c>
      <c r="Q1588" s="14"/>
      <c r="R1588" s="1" t="s">
        <v>7503</v>
      </c>
      <c r="S1588" s="14"/>
      <c r="T1588" s="14"/>
      <c r="U1588" s="19" t="str">
        <f>HYPERLINK("https://pbs.twimg.com/profile_images/1182224860283621376/twApMa9x.jpg","View")</f>
        <v>View</v>
      </c>
      <c r="V1588" s="14"/>
      <c r="W1588" s="14"/>
      <c r="X1588" s="14"/>
      <c r="Y1588" s="14"/>
      <c r="Z1588" s="14"/>
    </row>
    <row r="1589">
      <c r="A1589" s="11">
        <v>43845.3468287037</v>
      </c>
      <c r="B1589" s="12" t="str">
        <f>HYPERLINK("https://twitter.com/SocialAnxiety88","@SocialAnxiety88")</f>
        <v>@SocialAnxiety88</v>
      </c>
      <c r="C1589" s="1" t="s">
        <v>7504</v>
      </c>
      <c r="D1589" s="1" t="s">
        <v>7505</v>
      </c>
      <c r="E1589" s="12" t="str">
        <f>HYPERLINK("https://twitter.com/SocialAnxiety88/status/1217436128451710977","1217436128451710977")</f>
        <v>1217436128451710977</v>
      </c>
      <c r="F1589" s="14"/>
      <c r="G1589" s="14"/>
      <c r="H1589" s="14"/>
      <c r="I1589" s="15">
        <v>0.0</v>
      </c>
      <c r="J1589" s="15">
        <v>0.0</v>
      </c>
      <c r="K1589" s="12" t="str">
        <f t="shared" si="152"/>
        <v>Twitter Web App</v>
      </c>
      <c r="L1589" s="16">
        <v>1695.0</v>
      </c>
      <c r="M1589" s="16">
        <v>2705.0</v>
      </c>
      <c r="N1589" s="16">
        <v>5.0</v>
      </c>
      <c r="O1589" s="17"/>
      <c r="P1589" s="18">
        <v>43160.11695601852</v>
      </c>
      <c r="Q1589" s="1" t="s">
        <v>691</v>
      </c>
      <c r="R1589" s="1" t="s">
        <v>7506</v>
      </c>
      <c r="S1589" s="13" t="s">
        <v>7507</v>
      </c>
      <c r="T1589" s="14"/>
      <c r="U1589" s="19" t="str">
        <f>HYPERLINK("https://pbs.twimg.com/profile_images/981879219167940608/epLc1_Vr.jpg","View")</f>
        <v>View</v>
      </c>
      <c r="V1589" s="14"/>
      <c r="W1589" s="14"/>
      <c r="X1589" s="14"/>
      <c r="Y1589" s="14"/>
      <c r="Z1589" s="14"/>
    </row>
    <row r="1590">
      <c r="A1590" s="11">
        <v>43845.345567129625</v>
      </c>
      <c r="B1590" s="12" t="str">
        <f>HYPERLINK("https://twitter.com/arunkw","@arunkw")</f>
        <v>@arunkw</v>
      </c>
      <c r="C1590" s="1" t="s">
        <v>7508</v>
      </c>
      <c r="D1590" s="1" t="s">
        <v>7509</v>
      </c>
      <c r="E1590" s="12" t="str">
        <f>HYPERLINK("https://twitter.com/arunkw/status/1217435672140607488","1217435672140607488")</f>
        <v>1217435672140607488</v>
      </c>
      <c r="F1590" s="1" t="s">
        <v>7510</v>
      </c>
      <c r="G1590" s="14"/>
      <c r="H1590" s="14"/>
      <c r="I1590" s="15">
        <v>0.0</v>
      </c>
      <c r="J1590" s="15">
        <v>0.0</v>
      </c>
      <c r="K1590" s="12" t="str">
        <f>HYPERLINK("http://twinybots.com","TwinyBots")</f>
        <v>TwinyBots</v>
      </c>
      <c r="L1590" s="16">
        <v>2359.0</v>
      </c>
      <c r="M1590" s="16">
        <v>3205.0</v>
      </c>
      <c r="N1590" s="16">
        <v>98.0</v>
      </c>
      <c r="O1590" s="17"/>
      <c r="P1590" s="18">
        <v>39981.8624074074</v>
      </c>
      <c r="Q1590" s="1" t="s">
        <v>1639</v>
      </c>
      <c r="R1590" s="1" t="s">
        <v>7511</v>
      </c>
      <c r="S1590" s="13" t="s">
        <v>7512</v>
      </c>
      <c r="T1590" s="14"/>
      <c r="U1590" s="19" t="str">
        <f>HYPERLINK("https://pbs.twimg.com/profile_images/528924917295628288/q3_bybhO.jpeg","View")</f>
        <v>View</v>
      </c>
      <c r="V1590" s="14"/>
      <c r="W1590" s="14"/>
      <c r="X1590" s="14"/>
      <c r="Y1590" s="14"/>
      <c r="Z1590" s="14"/>
    </row>
    <row r="1591">
      <c r="A1591" s="11">
        <v>43845.34538194444</v>
      </c>
      <c r="B1591" s="12" t="str">
        <f>HYPERLINK("https://twitter.com/JCavese","@JCavese")</f>
        <v>@JCavese</v>
      </c>
      <c r="C1591" s="1" t="s">
        <v>7513</v>
      </c>
      <c r="D1591" s="1" t="s">
        <v>7514</v>
      </c>
      <c r="E1591" s="12" t="str">
        <f>HYPERLINK("https://twitter.com/JCavese/status/1217435603014426624","1217435603014426624")</f>
        <v>1217435603014426624</v>
      </c>
      <c r="F1591" s="14"/>
      <c r="G1591" s="14"/>
      <c r="H1591" s="14"/>
      <c r="I1591" s="15">
        <v>0.0</v>
      </c>
      <c r="J1591" s="15">
        <v>0.0</v>
      </c>
      <c r="K1591" s="12" t="str">
        <f>HYPERLINK("http://twitter.com/download/iphone","Twitter for iPhone")</f>
        <v>Twitter for iPhone</v>
      </c>
      <c r="L1591" s="16">
        <v>4090.0</v>
      </c>
      <c r="M1591" s="16">
        <v>4993.0</v>
      </c>
      <c r="N1591" s="16">
        <v>207.0</v>
      </c>
      <c r="O1591" s="17"/>
      <c r="P1591" s="18">
        <v>42568.846921296295</v>
      </c>
      <c r="Q1591" s="1" t="s">
        <v>7515</v>
      </c>
      <c r="R1591" s="1" t="s">
        <v>7516</v>
      </c>
      <c r="S1591" s="14"/>
      <c r="T1591" s="14"/>
      <c r="U1591" s="19" t="str">
        <f>HYPERLINK("https://pbs.twimg.com/profile_images/1167276679993147392/sJRyG322.jpg","View")</f>
        <v>View</v>
      </c>
      <c r="V1591" s="14"/>
      <c r="W1591" s="14"/>
      <c r="X1591" s="14"/>
      <c r="Y1591" s="14"/>
      <c r="Z1591" s="14"/>
    </row>
    <row r="1592">
      <c r="A1592" s="11">
        <v>43845.344039351854</v>
      </c>
      <c r="B1592" s="12" t="str">
        <f>HYPERLINK("https://twitter.com/MindBodyMen","@MindBodyMen")</f>
        <v>@MindBodyMen</v>
      </c>
      <c r="C1592" s="1" t="s">
        <v>7517</v>
      </c>
      <c r="D1592" s="1" t="s">
        <v>7518</v>
      </c>
      <c r="E1592" s="12" t="str">
        <f>HYPERLINK("https://twitter.com/MindBodyMen/status/1217435116533878784","1217435116533878784")</f>
        <v>1217435116533878784</v>
      </c>
      <c r="F1592" s="13" t="s">
        <v>7519</v>
      </c>
      <c r="G1592" s="13" t="s">
        <v>7520</v>
      </c>
      <c r="H1592" s="14"/>
      <c r="I1592" s="15">
        <v>0.0</v>
      </c>
      <c r="J1592" s="15">
        <v>1.0</v>
      </c>
      <c r="K1592" s="12" t="str">
        <f>HYPERLINK("http://twitter.com/download/android","Twitter for Android")</f>
        <v>Twitter for Android</v>
      </c>
      <c r="L1592" s="16">
        <v>29.0</v>
      </c>
      <c r="M1592" s="16">
        <v>78.0</v>
      </c>
      <c r="N1592" s="16">
        <v>0.0</v>
      </c>
      <c r="O1592" s="17"/>
      <c r="P1592" s="18">
        <v>43725.25157407408</v>
      </c>
      <c r="Q1592" s="1" t="s">
        <v>7521</v>
      </c>
      <c r="R1592" s="1" t="s">
        <v>7522</v>
      </c>
      <c r="S1592" s="13" t="s">
        <v>7519</v>
      </c>
      <c r="T1592" s="14"/>
      <c r="U1592" s="19" t="str">
        <f>HYPERLINK("https://pbs.twimg.com/profile_images/1205458820752986112/7SmyyQ-K.jpg","View")</f>
        <v>View</v>
      </c>
      <c r="V1592" s="14"/>
      <c r="W1592" s="14"/>
      <c r="X1592" s="14"/>
      <c r="Y1592" s="14"/>
      <c r="Z1592" s="14"/>
    </row>
    <row r="1593">
      <c r="A1593" s="11">
        <v>43845.34377314815</v>
      </c>
      <c r="B1593" s="12" t="str">
        <f>HYPERLINK("https://twitter.com/VeteransTNS","@VeteransTNS")</f>
        <v>@VeteransTNS</v>
      </c>
      <c r="C1593" s="1" t="s">
        <v>7523</v>
      </c>
      <c r="D1593" s="1" t="s">
        <v>7524</v>
      </c>
      <c r="E1593" s="12" t="str">
        <f>HYPERLINK("https://twitter.com/VeteransTNS/status/1217435021721636864","1217435021721636864")</f>
        <v>1217435021721636864</v>
      </c>
      <c r="F1593" s="13" t="s">
        <v>7525</v>
      </c>
      <c r="G1593" s="13" t="s">
        <v>7526</v>
      </c>
      <c r="H1593" s="14"/>
      <c r="I1593" s="15">
        <v>0.0</v>
      </c>
      <c r="J1593" s="15">
        <v>0.0</v>
      </c>
      <c r="K1593" s="12" t="str">
        <f>HYPERLINK("https://sproutsocial.com","Sprout Social")</f>
        <v>Sprout Social</v>
      </c>
      <c r="L1593" s="16">
        <v>1262.0</v>
      </c>
      <c r="M1593" s="16">
        <v>2249.0</v>
      </c>
      <c r="N1593" s="16">
        <v>4.0</v>
      </c>
      <c r="O1593" s="17"/>
      <c r="P1593" s="18">
        <v>43067.22850694445</v>
      </c>
      <c r="Q1593" s="1" t="s">
        <v>263</v>
      </c>
      <c r="R1593" s="1" t="s">
        <v>7527</v>
      </c>
      <c r="S1593" s="13" t="s">
        <v>7528</v>
      </c>
      <c r="T1593" s="14"/>
      <c r="U1593" s="19" t="str">
        <f>HYPERLINK("https://pbs.twimg.com/profile_images/935837392870797312/-s57GPVp.jpg","View")</f>
        <v>View</v>
      </c>
      <c r="V1593" s="14"/>
      <c r="W1593" s="14"/>
      <c r="X1593" s="14"/>
      <c r="Y1593" s="14"/>
      <c r="Z1593" s="14"/>
    </row>
    <row r="1594">
      <c r="A1594" s="11">
        <v>43845.33791666667</v>
      </c>
      <c r="B1594" s="12" t="str">
        <f>HYPERLINK("https://twitter.com/OhMyWordSocial","@OhMyWordSocial")</f>
        <v>@OhMyWordSocial</v>
      </c>
      <c r="C1594" s="1" t="s">
        <v>7529</v>
      </c>
      <c r="D1594" s="1" t="s">
        <v>7530</v>
      </c>
      <c r="E1594" s="12" t="str">
        <f>HYPERLINK("https://twitter.com/OhMyWordSocial/status/1217432900284616704","1217432900284616704")</f>
        <v>1217432900284616704</v>
      </c>
      <c r="F1594" s="13" t="s">
        <v>7531</v>
      </c>
      <c r="G1594" s="14"/>
      <c r="H1594" s="14"/>
      <c r="I1594" s="15">
        <v>0.0</v>
      </c>
      <c r="J1594" s="15">
        <v>0.0</v>
      </c>
      <c r="K1594" s="12" t="str">
        <f>HYPERLINK("https://recurpost.com","RecurPost - Social Scheduler App")</f>
        <v>RecurPost - Social Scheduler App</v>
      </c>
      <c r="L1594" s="16">
        <v>1221.0</v>
      </c>
      <c r="M1594" s="16">
        <v>818.0</v>
      </c>
      <c r="N1594" s="16">
        <v>247.0</v>
      </c>
      <c r="O1594" s="17"/>
      <c r="P1594" s="18">
        <v>42087.70019675926</v>
      </c>
      <c r="Q1594" s="1" t="s">
        <v>7532</v>
      </c>
      <c r="R1594" s="1" t="s">
        <v>7533</v>
      </c>
      <c r="S1594" s="13" t="s">
        <v>7534</v>
      </c>
      <c r="T1594" s="14"/>
      <c r="U1594" s="19" t="str">
        <f>HYPERLINK("https://pbs.twimg.com/profile_images/821382900306296839/AHdkG43O.jpg","View")</f>
        <v>View</v>
      </c>
      <c r="V1594" s="14"/>
      <c r="W1594" s="14"/>
      <c r="X1594" s="14"/>
      <c r="Y1594" s="14"/>
      <c r="Z1594" s="14"/>
    </row>
    <row r="1595">
      <c r="A1595" s="11">
        <v>43845.33628472222</v>
      </c>
      <c r="B1595" s="12" t="str">
        <f>HYPERLINK("https://twitter.com/JaneHyun","@JaneHyun")</f>
        <v>@JaneHyun</v>
      </c>
      <c r="C1595" s="1" t="s">
        <v>7535</v>
      </c>
      <c r="D1595" s="1" t="s">
        <v>7536</v>
      </c>
      <c r="E1595" s="12" t="str">
        <f>HYPERLINK("https://twitter.com/JaneHyun/status/1217432307369414657","1217432307369414657")</f>
        <v>1217432307369414657</v>
      </c>
      <c r="F1595" s="1" t="s">
        <v>7537</v>
      </c>
      <c r="G1595" s="14"/>
      <c r="H1595" s="14"/>
      <c r="I1595" s="15">
        <v>0.0</v>
      </c>
      <c r="J1595" s="15">
        <v>3.0</v>
      </c>
      <c r="K1595" s="12" t="str">
        <f>HYPERLINK("https://mobile.twitter.com","Twitter Web App")</f>
        <v>Twitter Web App</v>
      </c>
      <c r="L1595" s="16">
        <v>1988.0</v>
      </c>
      <c r="M1595" s="16">
        <v>2342.0</v>
      </c>
      <c r="N1595" s="16">
        <v>88.0</v>
      </c>
      <c r="O1595" s="17"/>
      <c r="P1595" s="18">
        <v>39903.91369212963</v>
      </c>
      <c r="Q1595" s="1" t="s">
        <v>7538</v>
      </c>
      <c r="R1595" s="1" t="s">
        <v>7539</v>
      </c>
      <c r="S1595" s="13" t="s">
        <v>7540</v>
      </c>
      <c r="T1595" s="14"/>
      <c r="U1595" s="19" t="str">
        <f>HYPERLINK("https://pbs.twimg.com/profile_images/1449226385/20110713_Jane_Hyun_365_lowres.jpg","View")</f>
        <v>View</v>
      </c>
      <c r="V1595" s="14"/>
      <c r="W1595" s="14"/>
      <c r="X1595" s="14"/>
      <c r="Y1595" s="14"/>
      <c r="Z1595" s="14"/>
    </row>
    <row r="1596">
      <c r="A1596" s="11">
        <v>43845.334872685184</v>
      </c>
      <c r="B1596" s="12" t="str">
        <f>HYPERLINK("https://twitter.com/ThePathOfMe","@ThePathOfMe")</f>
        <v>@ThePathOfMe</v>
      </c>
      <c r="C1596" s="1" t="s">
        <v>931</v>
      </c>
      <c r="D1596" s="1" t="s">
        <v>932</v>
      </c>
      <c r="E1596" s="12" t="str">
        <f>HYPERLINK("https://twitter.com/ThePathOfMe/status/1217431795324661761","1217431795324661761")</f>
        <v>1217431795324661761</v>
      </c>
      <c r="F1596" s="13" t="s">
        <v>933</v>
      </c>
      <c r="G1596" s="14"/>
      <c r="H1596" s="14"/>
      <c r="I1596" s="15">
        <v>0.0</v>
      </c>
      <c r="J1596" s="15">
        <v>0.0</v>
      </c>
      <c r="K1596" s="12" t="str">
        <f>HYPERLINK("https://www.socialoomph.com","SocialOomph")</f>
        <v>SocialOomph</v>
      </c>
      <c r="L1596" s="16">
        <v>13129.0</v>
      </c>
      <c r="M1596" s="16">
        <v>11638.0</v>
      </c>
      <c r="N1596" s="16">
        <v>580.0</v>
      </c>
      <c r="O1596" s="17"/>
      <c r="P1596" s="18">
        <v>41567.04141203704</v>
      </c>
      <c r="Q1596" s="1" t="s">
        <v>934</v>
      </c>
      <c r="R1596" s="1" t="s">
        <v>935</v>
      </c>
      <c r="S1596" s="13" t="s">
        <v>936</v>
      </c>
      <c r="T1596" s="14"/>
      <c r="U1596" s="19" t="str">
        <f>HYPERLINK("https://pbs.twimg.com/profile_images/1088560942126952449/0WtZpiss.jpg","View")</f>
        <v>View</v>
      </c>
      <c r="V1596" s="14"/>
      <c r="W1596" s="14"/>
      <c r="X1596" s="14"/>
      <c r="Y1596" s="14"/>
      <c r="Z1596" s="14"/>
    </row>
    <row r="1597">
      <c r="A1597" s="11">
        <v>43845.33398148148</v>
      </c>
      <c r="B1597" s="12" t="str">
        <f>HYPERLINK("https://twitter.com/Aware","@Aware")</f>
        <v>@Aware</v>
      </c>
      <c r="C1597" s="1" t="s">
        <v>3454</v>
      </c>
      <c r="D1597" s="1" t="s">
        <v>7541</v>
      </c>
      <c r="E1597" s="12" t="str">
        <f>HYPERLINK("https://twitter.com/Aware/status/1217431471339835394","1217431471339835394")</f>
        <v>1217431471339835394</v>
      </c>
      <c r="F1597" s="13" t="s">
        <v>3456</v>
      </c>
      <c r="G1597" s="13" t="s">
        <v>7542</v>
      </c>
      <c r="H1597" s="14"/>
      <c r="I1597" s="15">
        <v>0.0</v>
      </c>
      <c r="J1597" s="15">
        <v>2.0</v>
      </c>
      <c r="K1597" s="12" t="str">
        <f>HYPERLINK("https://www.hootsuite.com","Hootsuite Inc.")</f>
        <v>Hootsuite Inc.</v>
      </c>
      <c r="L1597" s="16">
        <v>22081.0</v>
      </c>
      <c r="M1597" s="16">
        <v>482.0</v>
      </c>
      <c r="N1597" s="16">
        <v>205.0</v>
      </c>
      <c r="O1597" s="17"/>
      <c r="P1597" s="18">
        <v>40183.32912037037</v>
      </c>
      <c r="Q1597" s="1" t="s">
        <v>3458</v>
      </c>
      <c r="R1597" s="1" t="s">
        <v>3459</v>
      </c>
      <c r="S1597" s="13" t="s">
        <v>3460</v>
      </c>
      <c r="T1597" s="14"/>
      <c r="U1597" s="19" t="str">
        <f>HYPERLINK("https://pbs.twimg.com/profile_images/1145618567565578240/deHfWKJ6.png","View")</f>
        <v>View</v>
      </c>
      <c r="V1597" s="14"/>
      <c r="W1597" s="14"/>
      <c r="X1597" s="14"/>
      <c r="Y1597" s="14"/>
      <c r="Z1597" s="14"/>
    </row>
    <row r="1598">
      <c r="A1598" s="11">
        <v>43845.33371527778</v>
      </c>
      <c r="B1598" s="12" t="str">
        <f>HYPERLINK("https://twitter.com/CarersinBristol","@CarersinBristol")</f>
        <v>@CarersinBristol</v>
      </c>
      <c r="C1598" s="1" t="s">
        <v>7543</v>
      </c>
      <c r="D1598" s="1" t="s">
        <v>7544</v>
      </c>
      <c r="E1598" s="12" t="str">
        <f>HYPERLINK("https://twitter.com/CarersinBristol/status/1217431375197954049","1217431375197954049")</f>
        <v>1217431375197954049</v>
      </c>
      <c r="F1598" s="14"/>
      <c r="G1598" s="13" t="s">
        <v>7545</v>
      </c>
      <c r="H1598" s="14"/>
      <c r="I1598" s="15">
        <v>0.0</v>
      </c>
      <c r="J1598" s="15">
        <v>0.0</v>
      </c>
      <c r="K1598" s="12" t="str">
        <f>HYPERLINK("https://www.socialoomph.com","SocialOomph")</f>
        <v>SocialOomph</v>
      </c>
      <c r="L1598" s="16">
        <v>138.0</v>
      </c>
      <c r="M1598" s="16">
        <v>162.0</v>
      </c>
      <c r="N1598" s="16">
        <v>2.0</v>
      </c>
      <c r="O1598" s="17"/>
      <c r="P1598" s="18">
        <v>42867.71515046296</v>
      </c>
      <c r="Q1598" s="1" t="s">
        <v>7418</v>
      </c>
      <c r="R1598" s="1" t="s">
        <v>7546</v>
      </c>
      <c r="S1598" s="13" t="s">
        <v>7547</v>
      </c>
      <c r="T1598" s="14"/>
      <c r="U1598" s="19" t="str">
        <f>HYPERLINK("https://pbs.twimg.com/profile_images/863772442782830593/sGAYbOVD.jpg","View")</f>
        <v>View</v>
      </c>
      <c r="V1598" s="14"/>
      <c r="W1598" s="14"/>
      <c r="X1598" s="14"/>
      <c r="Y1598" s="14"/>
      <c r="Z1598" s="14"/>
    </row>
    <row r="1599">
      <c r="A1599" s="11">
        <v>43845.33333333333</v>
      </c>
      <c r="B1599" s="12" t="str">
        <f>HYPERLINK("https://twitter.com/WeHearYouZA","@WeHearYouZA")</f>
        <v>@WeHearYouZA</v>
      </c>
      <c r="C1599" s="1" t="s">
        <v>2299</v>
      </c>
      <c r="D1599" s="1" t="s">
        <v>7548</v>
      </c>
      <c r="E1599" s="12" t="str">
        <f>HYPERLINK("https://twitter.com/WeHearYouZA/status/1217431239625510912","1217431239625510912")</f>
        <v>1217431239625510912</v>
      </c>
      <c r="F1599" s="14"/>
      <c r="G1599" s="13" t="s">
        <v>7549</v>
      </c>
      <c r="H1599" s="14"/>
      <c r="I1599" s="15">
        <v>0.0</v>
      </c>
      <c r="J1599" s="15">
        <v>0.0</v>
      </c>
      <c r="K1599" s="12" t="str">
        <f>HYPERLINK("https://about.twitter.com/products/tweetdeck","TweetDeck")</f>
        <v>TweetDeck</v>
      </c>
      <c r="L1599" s="16">
        <v>26.0</v>
      </c>
      <c r="M1599" s="16">
        <v>43.0</v>
      </c>
      <c r="N1599" s="16">
        <v>4.0</v>
      </c>
      <c r="O1599" s="17"/>
      <c r="P1599" s="18">
        <v>43661.22396990741</v>
      </c>
      <c r="Q1599" s="1" t="s">
        <v>2302</v>
      </c>
      <c r="R1599" s="1" t="s">
        <v>2303</v>
      </c>
      <c r="S1599" s="13" t="s">
        <v>2304</v>
      </c>
      <c r="T1599" s="14"/>
      <c r="U1599" s="19" t="str">
        <f>HYPERLINK("https://pbs.twimg.com/profile_images/1153562188415737856/1QVWKhWI.jpg","View")</f>
        <v>View</v>
      </c>
      <c r="V1599" s="14"/>
      <c r="W1599" s="14"/>
      <c r="X1599" s="14"/>
      <c r="Y1599" s="14"/>
      <c r="Z1599" s="14"/>
    </row>
    <row r="1600">
      <c r="A1600" s="11">
        <v>43845.33253472223</v>
      </c>
      <c r="B1600" s="12" t="str">
        <f>HYPERLINK("https://twitter.com/cmueller_PhD","@cmueller_PhD")</f>
        <v>@cmueller_PhD</v>
      </c>
      <c r="C1600" s="1" t="s">
        <v>1223</v>
      </c>
      <c r="D1600" s="1" t="s">
        <v>7550</v>
      </c>
      <c r="E1600" s="12" t="str">
        <f>HYPERLINK("https://twitter.com/cmueller_PhD/status/1217430947068567552","1217430947068567552")</f>
        <v>1217430947068567552</v>
      </c>
      <c r="F1600" s="13" t="s">
        <v>7551</v>
      </c>
      <c r="G1600" s="14"/>
      <c r="H1600" s="14"/>
      <c r="I1600" s="15">
        <v>2.0</v>
      </c>
      <c r="J1600" s="15">
        <v>9.0</v>
      </c>
      <c r="K1600" s="12" t="str">
        <f>HYPERLINK("https://mobile.twitter.com","Twitter Web App")</f>
        <v>Twitter Web App</v>
      </c>
      <c r="L1600" s="16">
        <v>1016.0</v>
      </c>
      <c r="M1600" s="16">
        <v>889.0</v>
      </c>
      <c r="N1600" s="16">
        <v>12.0</v>
      </c>
      <c r="O1600" s="17"/>
      <c r="P1600" s="18">
        <v>39918.09133101852</v>
      </c>
      <c r="Q1600" s="1" t="s">
        <v>1227</v>
      </c>
      <c r="R1600" s="1" t="s">
        <v>1228</v>
      </c>
      <c r="S1600" s="13" t="s">
        <v>1229</v>
      </c>
      <c r="T1600" s="14"/>
      <c r="U1600" s="19" t="str">
        <f>HYPERLINK("https://pbs.twimg.com/profile_images/1192348615676743680/qujKYi1x.jpg","View")</f>
        <v>View</v>
      </c>
      <c r="V1600" s="14"/>
      <c r="W1600" s="14"/>
      <c r="X1600" s="14"/>
      <c r="Y1600" s="14"/>
      <c r="Z1600" s="14"/>
    </row>
    <row r="1601">
      <c r="A1601" s="11">
        <v>43845.331562499996</v>
      </c>
      <c r="B1601" s="12" t="str">
        <f>HYPERLINK("https://twitter.com/FinnovateLive","@FinnovateLive")</f>
        <v>@FinnovateLive</v>
      </c>
      <c r="C1601" s="1" t="s">
        <v>7552</v>
      </c>
      <c r="D1601" s="1" t="s">
        <v>7553</v>
      </c>
      <c r="E1601" s="12" t="str">
        <f>HYPERLINK("https://twitter.com/FinnovateLive/status/1217430593983713280","1217430593983713280")</f>
        <v>1217430593983713280</v>
      </c>
      <c r="F1601" s="14"/>
      <c r="G1601" s="13" t="s">
        <v>7554</v>
      </c>
      <c r="H1601" s="14"/>
      <c r="I1601" s="15">
        <v>0.0</v>
      </c>
      <c r="J1601" s="15">
        <v>0.0</v>
      </c>
      <c r="K1601" s="12" t="str">
        <f>HYPERLINK("https://www.hootsuite.com","Hootsuite Inc.")</f>
        <v>Hootsuite Inc.</v>
      </c>
      <c r="L1601" s="16">
        <v>64.0</v>
      </c>
      <c r="M1601" s="16">
        <v>59.0</v>
      </c>
      <c r="N1601" s="16">
        <v>2.0</v>
      </c>
      <c r="O1601" s="17"/>
      <c r="P1601" s="18">
        <v>41020.596712962964</v>
      </c>
      <c r="Q1601" s="14"/>
      <c r="R1601" s="1" t="s">
        <v>7555</v>
      </c>
      <c r="S1601" s="13" t="s">
        <v>7556</v>
      </c>
      <c r="T1601" s="14"/>
      <c r="U1601" s="19" t="str">
        <f>HYPERLINK("https://pbs.twimg.com/profile_images/1212273565346648065/AFkIFOxQ.jpg","View")</f>
        <v>View</v>
      </c>
      <c r="V1601" s="14"/>
      <c r="W1601" s="14"/>
      <c r="X1601" s="14"/>
      <c r="Y1601" s="14"/>
      <c r="Z1601" s="14"/>
    </row>
    <row r="1602">
      <c r="A1602" s="11">
        <v>43845.324965277774</v>
      </c>
      <c r="B1602" s="12" t="str">
        <f>HYPERLINK("https://twitter.com/NOLABELStudioUK","@NOLABELStudioUK")</f>
        <v>@NOLABELStudioUK</v>
      </c>
      <c r="C1602" s="1" t="s">
        <v>7557</v>
      </c>
      <c r="D1602" s="1" t="s">
        <v>7558</v>
      </c>
      <c r="E1602" s="12" t="str">
        <f>HYPERLINK("https://twitter.com/NOLABELStudioUK/status/1217428206921404416","1217428206921404416")</f>
        <v>1217428206921404416</v>
      </c>
      <c r="F1602" s="13" t="s">
        <v>7559</v>
      </c>
      <c r="G1602" s="13" t="s">
        <v>7560</v>
      </c>
      <c r="H1602" s="14"/>
      <c r="I1602" s="15">
        <v>0.0</v>
      </c>
      <c r="J1602" s="15">
        <v>0.0</v>
      </c>
      <c r="K1602" s="12" t="str">
        <f>HYPERLINK("https://missinglettr.com","Missinglettr")</f>
        <v>Missinglettr</v>
      </c>
      <c r="L1602" s="16">
        <v>39.0</v>
      </c>
      <c r="M1602" s="16">
        <v>37.0</v>
      </c>
      <c r="N1602" s="16">
        <v>0.0</v>
      </c>
      <c r="O1602" s="17"/>
      <c r="P1602" s="18">
        <v>43567.15138888889</v>
      </c>
      <c r="Q1602" s="1" t="s">
        <v>263</v>
      </c>
      <c r="R1602" s="1" t="s">
        <v>7561</v>
      </c>
      <c r="S1602" s="13" t="s">
        <v>7562</v>
      </c>
      <c r="T1602" s="14"/>
      <c r="U1602" s="19" t="str">
        <f>HYPERLINK("https://pbs.twimg.com/profile_images/1193899835084214272/LD5eHQxg.jpg","View")</f>
        <v>View</v>
      </c>
      <c r="V1602" s="14"/>
      <c r="W1602" s="14"/>
      <c r="X1602" s="14"/>
      <c r="Y1602" s="14"/>
      <c r="Z1602" s="14"/>
    </row>
    <row r="1603">
      <c r="A1603" s="11">
        <v>43845.32225694445</v>
      </c>
      <c r="B1603" s="12" t="str">
        <f>HYPERLINK("https://twitter.com/alex__coleman","@alex__coleman")</f>
        <v>@alex__coleman</v>
      </c>
      <c r="C1603" s="1" t="s">
        <v>7563</v>
      </c>
      <c r="D1603" s="1" t="s">
        <v>7564</v>
      </c>
      <c r="E1603" s="12" t="str">
        <f>HYPERLINK("https://twitter.com/alex__coleman/status/1217427221645877250","1217427221645877250")</f>
        <v>1217427221645877250</v>
      </c>
      <c r="F1603" s="13" t="s">
        <v>7565</v>
      </c>
      <c r="G1603" s="14"/>
      <c r="H1603" s="14"/>
      <c r="I1603" s="15">
        <v>0.0</v>
      </c>
      <c r="J1603" s="15">
        <v>1.0</v>
      </c>
      <c r="K1603" s="12" t="str">
        <f>HYPERLINK("http://twitter.com","Twitter Web Client")</f>
        <v>Twitter Web Client</v>
      </c>
      <c r="L1603" s="16">
        <v>270.0</v>
      </c>
      <c r="M1603" s="16">
        <v>848.0</v>
      </c>
      <c r="N1603" s="16">
        <v>13.0</v>
      </c>
      <c r="O1603" s="17"/>
      <c r="P1603" s="18">
        <v>40763.19793981481</v>
      </c>
      <c r="Q1603" s="1" t="s">
        <v>7566</v>
      </c>
      <c r="R1603" s="1" t="s">
        <v>7567</v>
      </c>
      <c r="S1603" s="14"/>
      <c r="T1603" s="14"/>
      <c r="U1603" s="19" t="str">
        <f>HYPERLINK("https://pbs.twimg.com/profile_images/1178689038020161536/Q8s-T2hl.jpg","View")</f>
        <v>View</v>
      </c>
      <c r="V1603" s="14"/>
      <c r="W1603" s="14"/>
      <c r="X1603" s="14"/>
      <c r="Y1603" s="14"/>
      <c r="Z1603" s="14"/>
    </row>
    <row r="1604">
      <c r="A1604" s="11">
        <v>43845.32164351852</v>
      </c>
      <c r="B1604" s="12" t="str">
        <f>HYPERLINK("https://twitter.com/Informa96508495","@Informa96508495")</f>
        <v>@Informa96508495</v>
      </c>
      <c r="C1604" s="1" t="s">
        <v>7568</v>
      </c>
      <c r="D1604" s="1" t="s">
        <v>7569</v>
      </c>
      <c r="E1604" s="12" t="str">
        <f>HYPERLINK("https://twitter.com/Informa96508495/status/1217427001482498050","1217427001482498050")</f>
        <v>1217427001482498050</v>
      </c>
      <c r="F1604" s="13" t="s">
        <v>7570</v>
      </c>
      <c r="G1604" s="14"/>
      <c r="H1604" s="14"/>
      <c r="I1604" s="15">
        <v>0.0</v>
      </c>
      <c r="J1604" s="15">
        <v>1.0</v>
      </c>
      <c r="K1604" s="12" t="str">
        <f t="shared" ref="K1604:K1605" si="153">HYPERLINK("https://mobile.twitter.com","Twitter Web App")</f>
        <v>Twitter Web App</v>
      </c>
      <c r="L1604" s="16">
        <v>69.0</v>
      </c>
      <c r="M1604" s="16">
        <v>128.0</v>
      </c>
      <c r="N1604" s="16">
        <v>0.0</v>
      </c>
      <c r="O1604" s="17"/>
      <c r="P1604" s="18">
        <v>43419.102847222224</v>
      </c>
      <c r="Q1604" s="1" t="s">
        <v>7571</v>
      </c>
      <c r="R1604" s="1" t="s">
        <v>7572</v>
      </c>
      <c r="S1604" s="13" t="s">
        <v>7573</v>
      </c>
      <c r="T1604" s="14"/>
      <c r="U1604" s="19" t="str">
        <f>HYPERLINK("https://pbs.twimg.com/profile_images/1064410737748127744/DDudS1F8.jpg","View")</f>
        <v>View</v>
      </c>
      <c r="V1604" s="14"/>
      <c r="W1604" s="14"/>
      <c r="X1604" s="14"/>
      <c r="Y1604" s="14"/>
      <c r="Z1604" s="14"/>
    </row>
    <row r="1605">
      <c r="A1605" s="11">
        <v>43845.314571759256</v>
      </c>
      <c r="B1605" s="12" t="str">
        <f>HYPERLINK("https://twitter.com/Wellness_Orbit","@Wellness_Orbit")</f>
        <v>@Wellness_Orbit</v>
      </c>
      <c r="C1605" s="1" t="s">
        <v>4184</v>
      </c>
      <c r="D1605" s="1" t="s">
        <v>7574</v>
      </c>
      <c r="E1605" s="12" t="str">
        <f>HYPERLINK("https://twitter.com/Wellness_Orbit/status/1217424437504548864","1217424437504548864")</f>
        <v>1217424437504548864</v>
      </c>
      <c r="F1605" s="13" t="s">
        <v>7575</v>
      </c>
      <c r="G1605" s="13" t="s">
        <v>7576</v>
      </c>
      <c r="H1605" s="14"/>
      <c r="I1605" s="15">
        <v>2.0</v>
      </c>
      <c r="J1605" s="15">
        <v>1.0</v>
      </c>
      <c r="K1605" s="12" t="str">
        <f t="shared" si="153"/>
        <v>Twitter Web App</v>
      </c>
      <c r="L1605" s="16">
        <v>1868.0</v>
      </c>
      <c r="M1605" s="16">
        <v>4864.0</v>
      </c>
      <c r="N1605" s="16">
        <v>13.0</v>
      </c>
      <c r="O1605" s="17"/>
      <c r="P1605" s="18">
        <v>42748.75420138889</v>
      </c>
      <c r="Q1605" s="14"/>
      <c r="R1605" s="1" t="s">
        <v>4188</v>
      </c>
      <c r="S1605" s="13" t="s">
        <v>4189</v>
      </c>
      <c r="T1605" s="14"/>
      <c r="U1605" s="19" t="str">
        <f>HYPERLINK("https://pbs.twimg.com/profile_images/1152339235388755968/xWq9HR5r.jpg","View")</f>
        <v>View</v>
      </c>
      <c r="V1605" s="14"/>
      <c r="W1605" s="14"/>
      <c r="X1605" s="14"/>
      <c r="Y1605" s="14"/>
      <c r="Z1605" s="14"/>
    </row>
    <row r="1606">
      <c r="A1606" s="11">
        <v>43845.31284722222</v>
      </c>
      <c r="B1606" s="12" t="str">
        <f>HYPERLINK("https://twitter.com/Alysonyoga","@Alysonyoga")</f>
        <v>@Alysonyoga</v>
      </c>
      <c r="C1606" s="1" t="s">
        <v>7577</v>
      </c>
      <c r="D1606" s="1" t="s">
        <v>7578</v>
      </c>
      <c r="E1606" s="12" t="str">
        <f>HYPERLINK("https://twitter.com/Alysonyoga/status/1217423815086690304","1217423815086690304")</f>
        <v>1217423815086690304</v>
      </c>
      <c r="F1606" s="13" t="s">
        <v>7579</v>
      </c>
      <c r="G1606" s="13" t="s">
        <v>7580</v>
      </c>
      <c r="H1606" s="14"/>
      <c r="I1606" s="15">
        <v>0.0</v>
      </c>
      <c r="J1606" s="15">
        <v>0.0</v>
      </c>
      <c r="K1606" s="12" t="str">
        <f>HYPERLINK("https://www.hootsuite.com","Hootsuite Inc.")</f>
        <v>Hootsuite Inc.</v>
      </c>
      <c r="L1606" s="16">
        <v>56.0</v>
      </c>
      <c r="M1606" s="16">
        <v>145.0</v>
      </c>
      <c r="N1606" s="16">
        <v>1.0</v>
      </c>
      <c r="O1606" s="17"/>
      <c r="P1606" s="18">
        <v>43474.27479166667</v>
      </c>
      <c r="Q1606" s="1" t="s">
        <v>7581</v>
      </c>
      <c r="R1606" s="1" t="s">
        <v>7582</v>
      </c>
      <c r="S1606" s="13" t="s">
        <v>7583</v>
      </c>
      <c r="T1606" s="14"/>
      <c r="U1606" s="19" t="str">
        <f>HYPERLINK("https://pbs.twimg.com/profile_images/1082966658694696960/bbOUvB91.jpg","View")</f>
        <v>View</v>
      </c>
      <c r="V1606" s="14"/>
      <c r="W1606" s="14"/>
      <c r="X1606" s="14"/>
      <c r="Y1606" s="14"/>
      <c r="Z1606" s="14"/>
    </row>
    <row r="1607">
      <c r="A1607" s="11">
        <v>43845.312627314815</v>
      </c>
      <c r="B1607" s="12" t="str">
        <f>HYPERLINK("https://twitter.com/everywomanUK","@everywomanUK")</f>
        <v>@everywomanUK</v>
      </c>
      <c r="C1607" s="1" t="s">
        <v>3487</v>
      </c>
      <c r="D1607" s="1" t="s">
        <v>7584</v>
      </c>
      <c r="E1607" s="12" t="str">
        <f>HYPERLINK("https://twitter.com/everywomanUK/status/1217423735470338054","1217423735470338054")</f>
        <v>1217423735470338054</v>
      </c>
      <c r="F1607" s="13" t="s">
        <v>7585</v>
      </c>
      <c r="G1607" s="13" t="s">
        <v>7586</v>
      </c>
      <c r="H1607" s="14"/>
      <c r="I1607" s="15">
        <v>0.0</v>
      </c>
      <c r="J1607" s="15">
        <v>1.0</v>
      </c>
      <c r="K1607" s="12" t="str">
        <f>HYPERLINK("http://www.salesforce.com","Salesforce - Social Studio")</f>
        <v>Salesforce - Social Studio</v>
      </c>
      <c r="L1607" s="16">
        <v>29147.0</v>
      </c>
      <c r="M1607" s="16">
        <v>8396.0</v>
      </c>
      <c r="N1607" s="16">
        <v>792.0</v>
      </c>
      <c r="O1607" s="17"/>
      <c r="P1607" s="18">
        <v>39860.627858796295</v>
      </c>
      <c r="Q1607" s="1" t="s">
        <v>691</v>
      </c>
      <c r="R1607" s="1" t="s">
        <v>3491</v>
      </c>
      <c r="S1607" s="13" t="s">
        <v>3492</v>
      </c>
      <c r="T1607" s="14"/>
      <c r="U1607" s="19" t="str">
        <f>HYPERLINK("https://pbs.twimg.com/profile_images/890218878281932801/_EaZklxp.jpg","View")</f>
        <v>View</v>
      </c>
      <c r="V1607" s="14"/>
      <c r="W1607" s="14"/>
      <c r="X1607" s="14"/>
      <c r="Y1607" s="14"/>
      <c r="Z1607" s="14"/>
    </row>
    <row r="1608">
      <c r="A1608" s="11">
        <v>43845.312569444446</v>
      </c>
      <c r="B1608" s="12" t="str">
        <f t="shared" ref="B1608:B1609" si="154">HYPERLINK("https://twitter.com/Wellness_Orbit","@Wellness_Orbit")</f>
        <v>@Wellness_Orbit</v>
      </c>
      <c r="C1608" s="1" t="s">
        <v>4184</v>
      </c>
      <c r="D1608" s="1" t="s">
        <v>7587</v>
      </c>
      <c r="E1608" s="12" t="str">
        <f>HYPERLINK("https://twitter.com/Wellness_Orbit/status/1217423713236332551","1217423713236332551")</f>
        <v>1217423713236332551</v>
      </c>
      <c r="F1608" s="1" t="s">
        <v>7588</v>
      </c>
      <c r="G1608" s="13" t="s">
        <v>7589</v>
      </c>
      <c r="H1608" s="14"/>
      <c r="I1608" s="15">
        <v>1.0</v>
      </c>
      <c r="J1608" s="15">
        <v>1.0</v>
      </c>
      <c r="K1608" s="12" t="str">
        <f t="shared" ref="K1608:K1609" si="155">HYPERLINK("https://mobile.twitter.com","Twitter Web App")</f>
        <v>Twitter Web App</v>
      </c>
      <c r="L1608" s="16">
        <v>1868.0</v>
      </c>
      <c r="M1608" s="16">
        <v>4864.0</v>
      </c>
      <c r="N1608" s="16">
        <v>13.0</v>
      </c>
      <c r="O1608" s="17"/>
      <c r="P1608" s="18">
        <v>42748.75420138889</v>
      </c>
      <c r="Q1608" s="14"/>
      <c r="R1608" s="1" t="s">
        <v>4188</v>
      </c>
      <c r="S1608" s="13" t="s">
        <v>4189</v>
      </c>
      <c r="T1608" s="14"/>
      <c r="U1608" s="19" t="str">
        <f t="shared" ref="U1608:U1609" si="156">HYPERLINK("https://pbs.twimg.com/profile_images/1152339235388755968/xWq9HR5r.jpg","View")</f>
        <v>View</v>
      </c>
      <c r="V1608" s="14"/>
      <c r="W1608" s="14"/>
      <c r="X1608" s="14"/>
      <c r="Y1608" s="14"/>
      <c r="Z1608" s="14"/>
    </row>
    <row r="1609">
      <c r="A1609" s="11">
        <v>43845.31144675926</v>
      </c>
      <c r="B1609" s="12" t="str">
        <f t="shared" si="154"/>
        <v>@Wellness_Orbit</v>
      </c>
      <c r="C1609" s="1" t="s">
        <v>4184</v>
      </c>
      <c r="D1609" s="1" t="s">
        <v>7590</v>
      </c>
      <c r="E1609" s="12" t="str">
        <f>HYPERLINK("https://twitter.com/Wellness_Orbit/status/1217423305151520768","1217423305151520768")</f>
        <v>1217423305151520768</v>
      </c>
      <c r="F1609" s="13" t="s">
        <v>7591</v>
      </c>
      <c r="G1609" s="14"/>
      <c r="H1609" s="14"/>
      <c r="I1609" s="15">
        <v>1.0</v>
      </c>
      <c r="J1609" s="15">
        <v>3.0</v>
      </c>
      <c r="K1609" s="12" t="str">
        <f t="shared" si="155"/>
        <v>Twitter Web App</v>
      </c>
      <c r="L1609" s="16">
        <v>1868.0</v>
      </c>
      <c r="M1609" s="16">
        <v>4864.0</v>
      </c>
      <c r="N1609" s="16">
        <v>13.0</v>
      </c>
      <c r="O1609" s="17"/>
      <c r="P1609" s="18">
        <v>42748.75420138889</v>
      </c>
      <c r="Q1609" s="14"/>
      <c r="R1609" s="1" t="s">
        <v>4188</v>
      </c>
      <c r="S1609" s="13" t="s">
        <v>4189</v>
      </c>
      <c r="T1609" s="14"/>
      <c r="U1609" s="19" t="str">
        <f t="shared" si="156"/>
        <v>View</v>
      </c>
      <c r="V1609" s="14"/>
      <c r="W1609" s="14"/>
      <c r="X1609" s="14"/>
      <c r="Y1609" s="14"/>
      <c r="Z1609" s="14"/>
    </row>
    <row r="1610">
      <c r="A1610" s="11">
        <v>43845.31123842593</v>
      </c>
      <c r="B1610" s="12" t="str">
        <f>HYPERLINK("https://twitter.com/mcleanmills7","@mcleanmills7")</f>
        <v>@mcleanmills7</v>
      </c>
      <c r="C1610" s="1" t="s">
        <v>7592</v>
      </c>
      <c r="D1610" s="1" t="s">
        <v>7593</v>
      </c>
      <c r="E1610" s="12" t="str">
        <f>HYPERLINK("https://twitter.com/mcleanmills7/status/1217423231155613697","1217423231155613697")</f>
        <v>1217423231155613697</v>
      </c>
      <c r="F1610" s="13" t="s">
        <v>7594</v>
      </c>
      <c r="G1610" s="14"/>
      <c r="H1610" s="14"/>
      <c r="I1610" s="15">
        <v>0.0</v>
      </c>
      <c r="J1610" s="15">
        <v>0.0</v>
      </c>
      <c r="K1610" s="12" t="str">
        <f>HYPERLINK("https://ifttt.com","IFTTT")</f>
        <v>IFTTT</v>
      </c>
      <c r="L1610" s="16">
        <v>581.0</v>
      </c>
      <c r="M1610" s="16">
        <v>0.0</v>
      </c>
      <c r="N1610" s="16">
        <v>5.0</v>
      </c>
      <c r="O1610" s="17"/>
      <c r="P1610" s="18">
        <v>42369.918344907404</v>
      </c>
      <c r="Q1610" s="14"/>
      <c r="R1610" s="1" t="s">
        <v>7595</v>
      </c>
      <c r="S1610" s="14"/>
      <c r="T1610" s="14"/>
      <c r="U1610" s="19" t="str">
        <f>HYPERLINK("https://pbs.twimg.com/profile_images/1029921365288148992/Xj1JhdFa.jpg","View")</f>
        <v>View</v>
      </c>
      <c r="V1610" s="14"/>
      <c r="W1610" s="14"/>
      <c r="X1610" s="14"/>
      <c r="Y1610" s="14"/>
      <c r="Z1610" s="14"/>
    </row>
    <row r="1611">
      <c r="A1611" s="11">
        <v>43845.30800925926</v>
      </c>
      <c r="B1611" s="12" t="str">
        <f>HYPERLINK("https://twitter.com/fionabwood","@fionabwood")</f>
        <v>@fionabwood</v>
      </c>
      <c r="C1611" s="1" t="s">
        <v>7596</v>
      </c>
      <c r="D1611" s="1" t="s">
        <v>7597</v>
      </c>
      <c r="E1611" s="12" t="str">
        <f>HYPERLINK("https://twitter.com/fionabwood/status/1217422061280419840","1217422061280419840")</f>
        <v>1217422061280419840</v>
      </c>
      <c r="F1611" s="13" t="s">
        <v>7598</v>
      </c>
      <c r="G1611" s="14"/>
      <c r="H1611" s="14"/>
      <c r="I1611" s="15">
        <v>1.0</v>
      </c>
      <c r="J1611" s="15">
        <v>1.0</v>
      </c>
      <c r="K1611" s="12" t="str">
        <f>HYPERLINK("https://mobile.twitter.com","Twitter Web App")</f>
        <v>Twitter Web App</v>
      </c>
      <c r="L1611" s="16">
        <v>72.0</v>
      </c>
      <c r="M1611" s="16">
        <v>234.0</v>
      </c>
      <c r="N1611" s="16">
        <v>0.0</v>
      </c>
      <c r="O1611" s="17"/>
      <c r="P1611" s="18">
        <v>43528.302719907406</v>
      </c>
      <c r="Q1611" s="1" t="s">
        <v>1885</v>
      </c>
      <c r="R1611" s="1" t="s">
        <v>7599</v>
      </c>
      <c r="S1611" s="13" t="s">
        <v>7600</v>
      </c>
      <c r="T1611" s="14"/>
      <c r="U1611" s="19" t="str">
        <f>HYPERLINK("https://pbs.twimg.com/profile_images/1102543473805271040/9zjI7rCd.jpg","View")</f>
        <v>View</v>
      </c>
      <c r="V1611" s="14"/>
      <c r="W1611" s="14"/>
      <c r="X1611" s="14"/>
      <c r="Y1611" s="14"/>
      <c r="Z1611" s="14"/>
    </row>
    <row r="1612">
      <c r="A1612" s="11">
        <v>43845.3022800926</v>
      </c>
      <c r="B1612" s="12" t="str">
        <f>HYPERLINK("https://twitter.com/Counselling_UK","@Counselling_UK")</f>
        <v>@Counselling_UK</v>
      </c>
      <c r="C1612" s="1" t="s">
        <v>7601</v>
      </c>
      <c r="D1612" s="1" t="s">
        <v>7602</v>
      </c>
      <c r="E1612" s="12" t="str">
        <f>HYPERLINK("https://twitter.com/Counselling_UK/status/1217419982663049217","1217419982663049217")</f>
        <v>1217419982663049217</v>
      </c>
      <c r="F1612" s="13" t="s">
        <v>7603</v>
      </c>
      <c r="G1612" s="13" t="s">
        <v>7604</v>
      </c>
      <c r="H1612" s="14"/>
      <c r="I1612" s="15">
        <v>10.0</v>
      </c>
      <c r="J1612" s="15">
        <v>16.0</v>
      </c>
      <c r="K1612" s="12" t="str">
        <f>HYPERLINK("https://www.hootsuite.com","Hootsuite Inc.")</f>
        <v>Hootsuite Inc.</v>
      </c>
      <c r="L1612" s="16">
        <v>18472.0</v>
      </c>
      <c r="M1612" s="16">
        <v>2643.0</v>
      </c>
      <c r="N1612" s="16">
        <v>259.0</v>
      </c>
      <c r="O1612" s="17"/>
      <c r="P1612" s="18">
        <v>39987.33331018519</v>
      </c>
      <c r="Q1612" s="1" t="s">
        <v>864</v>
      </c>
      <c r="R1612" s="1" t="s">
        <v>7605</v>
      </c>
      <c r="S1612" s="13" t="s">
        <v>7606</v>
      </c>
      <c r="T1612" s="14"/>
      <c r="U1612" s="19" t="str">
        <f>HYPERLINK("https://pbs.twimg.com/profile_images/900278949602840576/n9emtN8_.jpg","View")</f>
        <v>View</v>
      </c>
      <c r="V1612" s="14"/>
      <c r="W1612" s="14"/>
      <c r="X1612" s="14"/>
      <c r="Y1612" s="14"/>
      <c r="Z1612" s="14"/>
    </row>
    <row r="1613">
      <c r="A1613" s="11">
        <v>43845.293969907405</v>
      </c>
      <c r="B1613" s="12" t="str">
        <f>HYPERLINK("https://twitter.com/islaflood","@islaflood")</f>
        <v>@islaflood</v>
      </c>
      <c r="C1613" s="1" t="s">
        <v>7607</v>
      </c>
      <c r="D1613" s="1" t="s">
        <v>7608</v>
      </c>
      <c r="E1613" s="12" t="str">
        <f>HYPERLINK("https://twitter.com/islaflood/status/1217416972431917057","1217416972431917057")</f>
        <v>1217416972431917057</v>
      </c>
      <c r="F1613" s="14"/>
      <c r="G1613" s="13" t="s">
        <v>7609</v>
      </c>
      <c r="H1613" s="14"/>
      <c r="I1613" s="15">
        <v>3.0</v>
      </c>
      <c r="J1613" s="15">
        <v>7.0</v>
      </c>
      <c r="K1613" s="12" t="str">
        <f t="shared" ref="K1613:K1614" si="157">HYPERLINK("http://twitter.com/download/iphone","Twitter for iPhone")</f>
        <v>Twitter for iPhone</v>
      </c>
      <c r="L1613" s="16">
        <v>1548.0</v>
      </c>
      <c r="M1613" s="16">
        <v>4291.0</v>
      </c>
      <c r="N1613" s="16">
        <v>0.0</v>
      </c>
      <c r="O1613" s="17"/>
      <c r="P1613" s="18">
        <v>39864.34505787037</v>
      </c>
      <c r="Q1613" s="1" t="s">
        <v>5055</v>
      </c>
      <c r="R1613" s="1" t="s">
        <v>7610</v>
      </c>
      <c r="S1613" s="13" t="s">
        <v>7611</v>
      </c>
      <c r="T1613" s="14"/>
      <c r="U1613" s="19" t="str">
        <f>HYPERLINK("https://pbs.twimg.com/profile_images/846377229084999680/zYh1Ahbh.jpg","View")</f>
        <v>View</v>
      </c>
      <c r="V1613" s="14"/>
      <c r="W1613" s="14"/>
      <c r="X1613" s="14"/>
      <c r="Y1613" s="14"/>
      <c r="Z1613" s="14"/>
    </row>
    <row r="1614">
      <c r="A1614" s="11">
        <v>43845.2938425926</v>
      </c>
      <c r="B1614" s="12" t="str">
        <f>HYPERLINK("https://twitter.com/thethriveteam1","@thethriveteam1")</f>
        <v>@thethriveteam1</v>
      </c>
      <c r="C1614" s="1" t="s">
        <v>7612</v>
      </c>
      <c r="D1614" s="1" t="s">
        <v>7613</v>
      </c>
      <c r="E1614" s="12" t="str">
        <f>HYPERLINK("https://twitter.com/thethriveteam1/status/1217416926126837761","1217416926126837761")</f>
        <v>1217416926126837761</v>
      </c>
      <c r="F1614" s="14"/>
      <c r="G1614" s="13" t="s">
        <v>7614</v>
      </c>
      <c r="H1614" s="14"/>
      <c r="I1614" s="15">
        <v>0.0</v>
      </c>
      <c r="J1614" s="15">
        <v>2.0</v>
      </c>
      <c r="K1614" s="12" t="str">
        <f t="shared" si="157"/>
        <v>Twitter for iPhone</v>
      </c>
      <c r="L1614" s="16">
        <v>178.0</v>
      </c>
      <c r="M1614" s="16">
        <v>505.0</v>
      </c>
      <c r="N1614" s="16">
        <v>0.0</v>
      </c>
      <c r="O1614" s="17"/>
      <c r="P1614" s="18">
        <v>43300.59166666667</v>
      </c>
      <c r="Q1614" s="1" t="s">
        <v>7615</v>
      </c>
      <c r="R1614" s="1" t="s">
        <v>7616</v>
      </c>
      <c r="S1614" s="13" t="s">
        <v>7617</v>
      </c>
      <c r="T1614" s="14"/>
      <c r="U1614" s="19" t="str">
        <f>HYPERLINK("https://pbs.twimg.com/profile_images/1091002310233415682/RDYgN-MN.jpg","View")</f>
        <v>View</v>
      </c>
      <c r="V1614" s="14"/>
      <c r="W1614" s="14"/>
      <c r="X1614" s="14"/>
      <c r="Y1614" s="14"/>
      <c r="Z1614" s="14"/>
    </row>
    <row r="1615">
      <c r="A1615" s="11">
        <v>43845.29336805556</v>
      </c>
      <c r="B1615" s="12" t="str">
        <f>HYPERLINK("https://twitter.com/larimar_massage","@larimar_massage")</f>
        <v>@larimar_massage</v>
      </c>
      <c r="C1615" s="1" t="s">
        <v>7618</v>
      </c>
      <c r="D1615" s="1" t="s">
        <v>7619</v>
      </c>
      <c r="E1615" s="12" t="str">
        <f>HYPERLINK("https://twitter.com/larimar_massage/status/1217416755598917632","1217416755598917632")</f>
        <v>1217416755598917632</v>
      </c>
      <c r="F1615" s="13" t="s">
        <v>7620</v>
      </c>
      <c r="G1615" s="13" t="s">
        <v>7621</v>
      </c>
      <c r="H1615" s="14"/>
      <c r="I1615" s="15">
        <v>0.0</v>
      </c>
      <c r="J1615" s="15">
        <v>2.0</v>
      </c>
      <c r="K1615" s="12" t="str">
        <f>HYPERLINK("https://mobile.twitter.com","Twitter Web App")</f>
        <v>Twitter Web App</v>
      </c>
      <c r="L1615" s="16">
        <v>17.0</v>
      </c>
      <c r="M1615" s="16">
        <v>240.0</v>
      </c>
      <c r="N1615" s="16">
        <v>0.0</v>
      </c>
      <c r="O1615" s="17"/>
      <c r="P1615" s="18">
        <v>43770.344039351854</v>
      </c>
      <c r="Q1615" s="1" t="s">
        <v>7622</v>
      </c>
      <c r="R1615" s="1" t="s">
        <v>7623</v>
      </c>
      <c r="S1615" s="13" t="s">
        <v>7624</v>
      </c>
      <c r="T1615" s="14"/>
      <c r="U1615" s="19" t="str">
        <f>HYPERLINK("https://pbs.twimg.com/profile_images/1190243337871253504/QiMNvGHP.jpg","View")</f>
        <v>View</v>
      </c>
      <c r="V1615" s="14"/>
      <c r="W1615" s="14"/>
      <c r="X1615" s="14"/>
      <c r="Y1615" s="14"/>
      <c r="Z1615" s="14"/>
    </row>
    <row r="1616">
      <c r="A1616" s="11">
        <v>43845.29231481481</v>
      </c>
      <c r="B1616" s="12" t="str">
        <f>HYPERLINK("https://twitter.com/GetAheadLeeds","@GetAheadLeeds")</f>
        <v>@GetAheadLeeds</v>
      </c>
      <c r="C1616" s="1" t="s">
        <v>7625</v>
      </c>
      <c r="D1616" s="1" t="s">
        <v>7626</v>
      </c>
      <c r="E1616" s="12" t="str">
        <f>HYPERLINK("https://twitter.com/GetAheadLeeds/status/1217416372008947712","1217416372008947712")</f>
        <v>1217416372008947712</v>
      </c>
      <c r="F1616" s="13" t="s">
        <v>7627</v>
      </c>
      <c r="G1616" s="14"/>
      <c r="H1616" s="14"/>
      <c r="I1616" s="15">
        <v>0.0</v>
      </c>
      <c r="J1616" s="15">
        <v>0.0</v>
      </c>
      <c r="K1616" s="12" t="str">
        <f>HYPERLINK("https://www.socialjukebox.com","The Social Jukebox")</f>
        <v>The Social Jukebox</v>
      </c>
      <c r="L1616" s="16">
        <v>1983.0</v>
      </c>
      <c r="M1616" s="16">
        <v>1731.0</v>
      </c>
      <c r="N1616" s="16">
        <v>19.0</v>
      </c>
      <c r="O1616" s="17"/>
      <c r="P1616" s="18">
        <v>43011.393113425926</v>
      </c>
      <c r="Q1616" s="1" t="s">
        <v>4884</v>
      </c>
      <c r="R1616" s="1" t="s">
        <v>7628</v>
      </c>
      <c r="S1616" s="13" t="s">
        <v>7629</v>
      </c>
      <c r="T1616" s="14"/>
      <c r="U1616" s="19" t="str">
        <f>HYPERLINK("https://pbs.twimg.com/profile_images/1008747868130246657/HWgfutws.jpg","View")</f>
        <v>View</v>
      </c>
      <c r="V1616" s="14"/>
      <c r="W1616" s="14"/>
      <c r="X1616" s="14"/>
      <c r="Y1616" s="14"/>
      <c r="Z1616" s="14"/>
    </row>
    <row r="1617">
      <c r="A1617" s="11">
        <v>43845.29225694445</v>
      </c>
      <c r="B1617" s="12" t="str">
        <f>HYPERLINK("https://twitter.com/FortWellness","@FortWellness")</f>
        <v>@FortWellness</v>
      </c>
      <c r="C1617" s="1" t="s">
        <v>7630</v>
      </c>
      <c r="D1617" s="1" t="s">
        <v>7631</v>
      </c>
      <c r="E1617" s="12" t="str">
        <f>HYPERLINK("https://twitter.com/FortWellness/status/1217416350395781122","1217416350395781122")</f>
        <v>1217416350395781122</v>
      </c>
      <c r="F1617" s="14"/>
      <c r="G1617" s="13" t="s">
        <v>7632</v>
      </c>
      <c r="H1617" s="14"/>
      <c r="I1617" s="15">
        <v>0.0</v>
      </c>
      <c r="J1617" s="15">
        <v>1.0</v>
      </c>
      <c r="K1617" s="12" t="str">
        <f>HYPERLINK("https://buffer.com","Buffer")</f>
        <v>Buffer</v>
      </c>
      <c r="L1617" s="16">
        <v>3.0</v>
      </c>
      <c r="M1617" s="16">
        <v>0.0</v>
      </c>
      <c r="N1617" s="16">
        <v>0.0</v>
      </c>
      <c r="O1617" s="17"/>
      <c r="P1617" s="18">
        <v>43518.20527777778</v>
      </c>
      <c r="Q1617" s="1" t="s">
        <v>7633</v>
      </c>
      <c r="R1617" s="1" t="s">
        <v>7634</v>
      </c>
      <c r="S1617" s="13" t="s">
        <v>7635</v>
      </c>
      <c r="T1617" s="14"/>
      <c r="U1617" s="19" t="str">
        <f>HYPERLINK("https://pbs.twimg.com/profile_images/1120949920482172929/tB2yt009.png","View")</f>
        <v>View</v>
      </c>
      <c r="V1617" s="14"/>
      <c r="W1617" s="14"/>
      <c r="X1617" s="14"/>
      <c r="Y1617" s="14"/>
      <c r="Z1617" s="14"/>
    </row>
    <row r="1618">
      <c r="A1618" s="11">
        <v>43845.2921412037</v>
      </c>
      <c r="B1618" s="12" t="str">
        <f>HYPERLINK("https://twitter.com/bizzwriter","@bizzwriter")</f>
        <v>@bizzwriter</v>
      </c>
      <c r="C1618" s="1" t="s">
        <v>7636</v>
      </c>
      <c r="D1618" s="1" t="s">
        <v>7593</v>
      </c>
      <c r="E1618" s="12" t="str">
        <f>HYPERLINK("https://twitter.com/bizzwriter/status/1217416310835097600","1217416310835097600")</f>
        <v>1217416310835097600</v>
      </c>
      <c r="F1618" s="13" t="s">
        <v>7594</v>
      </c>
      <c r="G1618" s="14"/>
      <c r="H1618" s="14"/>
      <c r="I1618" s="15">
        <v>2.0</v>
      </c>
      <c r="J1618" s="15">
        <v>5.0</v>
      </c>
      <c r="K1618" s="12" t="str">
        <f>HYPERLINK("https://www.socialjukebox.com","The Social Jukebox")</f>
        <v>The Social Jukebox</v>
      </c>
      <c r="L1618" s="16">
        <v>24053.0</v>
      </c>
      <c r="M1618" s="16">
        <v>20039.0</v>
      </c>
      <c r="N1618" s="16">
        <v>864.0</v>
      </c>
      <c r="O1618" s="17"/>
      <c r="P1618" s="18">
        <v>39582.16030092593</v>
      </c>
      <c r="Q1618" s="1" t="s">
        <v>2583</v>
      </c>
      <c r="R1618" s="1" t="s">
        <v>7637</v>
      </c>
      <c r="S1618" s="13" t="s">
        <v>7638</v>
      </c>
      <c r="T1618" s="14"/>
      <c r="U1618" s="19" t="str">
        <f>HYPERLINK("https://pbs.twimg.com/profile_images/378800000312375508/2307e121a636bca5a74ea7940bfdac87.jpeg","View")</f>
        <v>View</v>
      </c>
      <c r="V1618" s="14"/>
      <c r="W1618" s="14"/>
      <c r="X1618" s="14"/>
      <c r="Y1618" s="14"/>
      <c r="Z1618" s="14"/>
    </row>
    <row r="1619">
      <c r="A1619" s="11">
        <v>43845.29195601852</v>
      </c>
      <c r="B1619" s="12" t="str">
        <f>HYPERLINK("https://twitter.com/talking_MH","@talking_MH")</f>
        <v>@talking_MH</v>
      </c>
      <c r="C1619" s="1" t="s">
        <v>7639</v>
      </c>
      <c r="D1619" s="1" t="s">
        <v>7640</v>
      </c>
      <c r="E1619" s="12" t="str">
        <f>HYPERLINK("https://twitter.com/talking_MH/status/1217416242207907840","1217416242207907840")</f>
        <v>1217416242207907840</v>
      </c>
      <c r="F1619" s="13" t="s">
        <v>7641</v>
      </c>
      <c r="G1619" s="14"/>
      <c r="H1619" s="14"/>
      <c r="I1619" s="15">
        <v>1.0</v>
      </c>
      <c r="J1619" s="15">
        <v>4.0</v>
      </c>
      <c r="K1619" s="12" t="str">
        <f>HYPERLINK("https://www.spreaker.com","Spreaker")</f>
        <v>Spreaker</v>
      </c>
      <c r="L1619" s="16">
        <v>699.0</v>
      </c>
      <c r="M1619" s="16">
        <v>239.0</v>
      </c>
      <c r="N1619" s="16">
        <v>11.0</v>
      </c>
      <c r="O1619" s="17"/>
      <c r="P1619" s="18">
        <v>42646.37631944445</v>
      </c>
      <c r="Q1619" s="1" t="s">
        <v>7642</v>
      </c>
      <c r="R1619" s="1" t="s">
        <v>7643</v>
      </c>
      <c r="S1619" s="13" t="s">
        <v>7644</v>
      </c>
      <c r="T1619" s="14"/>
      <c r="U1619" s="19" t="str">
        <f>HYPERLINK("https://pbs.twimg.com/profile_images/1212362853539295232/FFMpzB5K.jpg","View")</f>
        <v>View</v>
      </c>
      <c r="V1619" s="14"/>
      <c r="W1619" s="14"/>
      <c r="X1619" s="14"/>
      <c r="Y1619" s="14"/>
      <c r="Z1619" s="14"/>
    </row>
    <row r="1620">
      <c r="A1620" s="11">
        <v>43845.289513888885</v>
      </c>
      <c r="B1620" s="12" t="str">
        <f>HYPERLINK("https://twitter.com/marthaforlines","@marthaforlines")</f>
        <v>@marthaforlines</v>
      </c>
      <c r="C1620" s="1" t="s">
        <v>7645</v>
      </c>
      <c r="D1620" s="1" t="s">
        <v>7646</v>
      </c>
      <c r="E1620" s="12" t="str">
        <f>HYPERLINK("https://twitter.com/marthaforlines/status/1217415356672806913","1217415356672806913")</f>
        <v>1217415356672806913</v>
      </c>
      <c r="F1620" s="13" t="s">
        <v>7647</v>
      </c>
      <c r="G1620" s="14"/>
      <c r="H1620" s="14"/>
      <c r="I1620" s="15">
        <v>0.0</v>
      </c>
      <c r="J1620" s="15">
        <v>0.0</v>
      </c>
      <c r="K1620" s="12" t="str">
        <f>HYPERLINK("https://www.hootsuite.com","Hootsuite Inc.")</f>
        <v>Hootsuite Inc.</v>
      </c>
      <c r="L1620" s="16">
        <v>723.0</v>
      </c>
      <c r="M1620" s="16">
        <v>1012.0</v>
      </c>
      <c r="N1620" s="16">
        <v>37.0</v>
      </c>
      <c r="O1620" s="17"/>
      <c r="P1620" s="18">
        <v>39766.514375</v>
      </c>
      <c r="Q1620" s="1" t="s">
        <v>7648</v>
      </c>
      <c r="R1620" s="1" t="s">
        <v>7649</v>
      </c>
      <c r="S1620" s="13" t="s">
        <v>7650</v>
      </c>
      <c r="T1620" s="14"/>
      <c r="U1620" s="19" t="str">
        <f>HYPERLINK("https://pbs.twimg.com/profile_images/2717343924/0a3e43213b288263ee3e59582516258a.png","View")</f>
        <v>View</v>
      </c>
      <c r="V1620" s="14"/>
      <c r="W1620" s="14"/>
      <c r="X1620" s="14"/>
      <c r="Y1620" s="14"/>
      <c r="Z1620" s="14"/>
    </row>
    <row r="1621">
      <c r="A1621" s="11">
        <v>43845.28939814815</v>
      </c>
      <c r="B1621" s="12" t="str">
        <f>HYPERLINK("https://twitter.com/FortitudeHello","@FortitudeHello")</f>
        <v>@FortitudeHello</v>
      </c>
      <c r="C1621" s="1" t="s">
        <v>7651</v>
      </c>
      <c r="D1621" s="1" t="s">
        <v>7652</v>
      </c>
      <c r="E1621" s="12" t="str">
        <f>HYPERLINK("https://twitter.com/FortitudeHello/status/1217415315740557313","1217415315740557313")</f>
        <v>1217415315740557313</v>
      </c>
      <c r="F1621" s="13" t="s">
        <v>7653</v>
      </c>
      <c r="G1621" s="14"/>
      <c r="H1621" s="14"/>
      <c r="I1621" s="15">
        <v>0.0</v>
      </c>
      <c r="J1621" s="15">
        <v>1.0</v>
      </c>
      <c r="K1621" s="12" t="str">
        <f>HYPERLINK("https://mobile.twitter.com","Twitter Web App")</f>
        <v>Twitter Web App</v>
      </c>
      <c r="L1621" s="16">
        <v>515.0</v>
      </c>
      <c r="M1621" s="16">
        <v>493.0</v>
      </c>
      <c r="N1621" s="16">
        <v>194.0</v>
      </c>
      <c r="O1621" s="17"/>
      <c r="P1621" s="18">
        <v>42247.702881944446</v>
      </c>
      <c r="Q1621" s="1" t="s">
        <v>7654</v>
      </c>
      <c r="R1621" s="1" t="s">
        <v>7655</v>
      </c>
      <c r="S1621" s="13" t="s">
        <v>7656</v>
      </c>
      <c r="T1621" s="14"/>
      <c r="U1621" s="19" t="str">
        <f>HYPERLINK("https://pbs.twimg.com/profile_images/639142040241094656/xFvQTyMi.png","View")</f>
        <v>View</v>
      </c>
      <c r="V1621" s="14"/>
      <c r="W1621" s="14"/>
      <c r="X1621" s="14"/>
      <c r="Y1621" s="14"/>
      <c r="Z1621" s="14"/>
    </row>
    <row r="1622">
      <c r="A1622" s="11">
        <v>43845.28700231481</v>
      </c>
      <c r="B1622" s="12" t="str">
        <f>HYPERLINK("https://twitter.com/DBSpinz","@DBSpinz")</f>
        <v>@DBSpinz</v>
      </c>
      <c r="C1622" s="1" t="s">
        <v>7657</v>
      </c>
      <c r="D1622" s="1" t="s">
        <v>7658</v>
      </c>
      <c r="E1622" s="12" t="str">
        <f>HYPERLINK("https://twitter.com/DBSpinz/status/1217414447268012032","1217414447268012032")</f>
        <v>1217414447268012032</v>
      </c>
      <c r="F1622" s="13" t="s">
        <v>7659</v>
      </c>
      <c r="G1622" s="14"/>
      <c r="H1622" s="14"/>
      <c r="I1622" s="15">
        <v>0.0</v>
      </c>
      <c r="J1622" s="15">
        <v>2.0</v>
      </c>
      <c r="K1622" s="12" t="str">
        <f>HYPERLINK("http://twitter.com/#!/download/ipad","Twitter for iPad")</f>
        <v>Twitter for iPad</v>
      </c>
      <c r="L1622" s="16">
        <v>229.0</v>
      </c>
      <c r="M1622" s="16">
        <v>417.0</v>
      </c>
      <c r="N1622" s="16">
        <v>2.0</v>
      </c>
      <c r="O1622" s="17"/>
      <c r="P1622" s="18">
        <v>42892.4165625</v>
      </c>
      <c r="Q1622" s="1" t="s">
        <v>226</v>
      </c>
      <c r="R1622" s="1" t="s">
        <v>7660</v>
      </c>
      <c r="S1622" s="13" t="s">
        <v>7661</v>
      </c>
      <c r="T1622" s="14"/>
      <c r="U1622" s="19" t="str">
        <f>HYPERLINK("https://pbs.twimg.com/profile_images/872092189723152384/n6-QQk4I.jpg","View")</f>
        <v>View</v>
      </c>
      <c r="V1622" s="14"/>
      <c r="W1622" s="14"/>
      <c r="X1622" s="14"/>
      <c r="Y1622" s="14"/>
      <c r="Z1622" s="14"/>
    </row>
    <row r="1623">
      <c r="A1623" s="11">
        <v>43845.28555555556</v>
      </c>
      <c r="B1623" s="12" t="str">
        <f>HYPERLINK("https://twitter.com/OutstandUK","@OutstandUK")</f>
        <v>@OutstandUK</v>
      </c>
      <c r="C1623" s="1" t="s">
        <v>7662</v>
      </c>
      <c r="D1623" s="1" t="s">
        <v>7663</v>
      </c>
      <c r="E1623" s="12" t="str">
        <f>HYPERLINK("https://twitter.com/OutstandUK/status/1217413923248492545","1217413923248492545")</f>
        <v>1217413923248492545</v>
      </c>
      <c r="F1623" s="13" t="s">
        <v>7664</v>
      </c>
      <c r="G1623" s="13" t="s">
        <v>7665</v>
      </c>
      <c r="H1623" s="14"/>
      <c r="I1623" s="15">
        <v>1.0</v>
      </c>
      <c r="J1623" s="15">
        <v>2.0</v>
      </c>
      <c r="K1623" s="12" t="str">
        <f>HYPERLINK("https://buffer.com","Buffer")</f>
        <v>Buffer</v>
      </c>
      <c r="L1623" s="16">
        <v>1743.0</v>
      </c>
      <c r="M1623" s="16">
        <v>3110.0</v>
      </c>
      <c r="N1623" s="16">
        <v>262.0</v>
      </c>
      <c r="O1623" s="17"/>
      <c r="P1623" s="18">
        <v>40621.27381944445</v>
      </c>
      <c r="Q1623" s="1" t="s">
        <v>268</v>
      </c>
      <c r="R1623" s="1" t="s">
        <v>7666</v>
      </c>
      <c r="S1623" s="14"/>
      <c r="T1623" s="14"/>
      <c r="U1623" s="19" t="str">
        <f>HYPERLINK("https://pbs.twimg.com/profile_images/841329042955608064/jqOyFGGg.jpg","View")</f>
        <v>View</v>
      </c>
      <c r="V1623" s="14"/>
      <c r="W1623" s="14"/>
      <c r="X1623" s="14"/>
      <c r="Y1623" s="14"/>
      <c r="Z1623" s="14"/>
    </row>
    <row r="1624">
      <c r="A1624" s="11">
        <v>43845.28165509259</v>
      </c>
      <c r="B1624" s="12" t="str">
        <f>HYPERLINK("https://twitter.com/manojpandey66","@manojpandey66")</f>
        <v>@manojpandey66</v>
      </c>
      <c r="C1624" s="1" t="s">
        <v>1163</v>
      </c>
      <c r="D1624" s="1" t="s">
        <v>7667</v>
      </c>
      <c r="E1624" s="12" t="str">
        <f>HYPERLINK("https://twitter.com/manojpandey66/status/1217412511936307200","1217412511936307200")</f>
        <v>1217412511936307200</v>
      </c>
      <c r="F1624" s="14"/>
      <c r="G1624" s="13" t="s">
        <v>7668</v>
      </c>
      <c r="H1624" s="14"/>
      <c r="I1624" s="15">
        <v>0.0</v>
      </c>
      <c r="J1624" s="15">
        <v>2.0</v>
      </c>
      <c r="K1624" s="12" t="str">
        <f>HYPERLINK("https://mobile.twitter.com","Twitter Web App")</f>
        <v>Twitter Web App</v>
      </c>
      <c r="L1624" s="16">
        <v>1372.0</v>
      </c>
      <c r="M1624" s="16">
        <v>555.0</v>
      </c>
      <c r="N1624" s="16">
        <v>7.0</v>
      </c>
      <c r="O1624" s="17"/>
      <c r="P1624" s="18">
        <v>40746.0390625</v>
      </c>
      <c r="Q1624" s="1" t="s">
        <v>1166</v>
      </c>
      <c r="R1624" s="1" t="s">
        <v>1167</v>
      </c>
      <c r="S1624" s="13" t="s">
        <v>1168</v>
      </c>
      <c r="T1624" s="14"/>
      <c r="U1624" s="19" t="str">
        <f>HYPERLINK("https://pbs.twimg.com/profile_images/1134750107302125569/VwLz3fkd.png","View")</f>
        <v>View</v>
      </c>
      <c r="V1624" s="14"/>
      <c r="W1624" s="14"/>
      <c r="X1624" s="14"/>
      <c r="Y1624" s="14"/>
      <c r="Z1624" s="14"/>
    </row>
    <row r="1625">
      <c r="A1625" s="11">
        <v>43845.27978009259</v>
      </c>
      <c r="B1625" s="12" t="str">
        <f>HYPERLINK("https://twitter.com/kristina_montes","@kristina_montes")</f>
        <v>@kristina_montes</v>
      </c>
      <c r="C1625" s="1" t="s">
        <v>7669</v>
      </c>
      <c r="D1625" s="1" t="s">
        <v>7670</v>
      </c>
      <c r="E1625" s="12" t="str">
        <f>HYPERLINK("https://twitter.com/kristina_montes/status/1217411831020642305","1217411831020642305")</f>
        <v>1217411831020642305</v>
      </c>
      <c r="F1625" s="14"/>
      <c r="G1625" s="13" t="s">
        <v>7671</v>
      </c>
      <c r="H1625" s="14"/>
      <c r="I1625" s="15">
        <v>0.0</v>
      </c>
      <c r="J1625" s="15">
        <v>1.0</v>
      </c>
      <c r="K1625" s="12" t="str">
        <f>HYPERLINK("http://twitter.com/download/iphone","Twitter for iPhone")</f>
        <v>Twitter for iPhone</v>
      </c>
      <c r="L1625" s="16">
        <v>109.0</v>
      </c>
      <c r="M1625" s="16">
        <v>28.0</v>
      </c>
      <c r="N1625" s="16">
        <v>4.0</v>
      </c>
      <c r="O1625" s="17"/>
      <c r="P1625" s="18">
        <v>42063.315879629634</v>
      </c>
      <c r="Q1625" s="14"/>
      <c r="R1625" s="1" t="s">
        <v>7672</v>
      </c>
      <c r="S1625" s="13" t="s">
        <v>7673</v>
      </c>
      <c r="T1625" s="14"/>
      <c r="U1625" s="19" t="str">
        <f>HYPERLINK("https://pbs.twimg.com/profile_images/1194999597460004865/hTDkPsXF.jpg","View")</f>
        <v>View</v>
      </c>
      <c r="V1625" s="14"/>
      <c r="W1625" s="14"/>
      <c r="X1625" s="14"/>
      <c r="Y1625" s="14"/>
      <c r="Z1625" s="14"/>
    </row>
    <row r="1626">
      <c r="A1626" s="11">
        <v>43845.27789351852</v>
      </c>
      <c r="B1626" s="12" t="str">
        <f>HYPERLINK("https://twitter.com/CNTWNHS","@CNTWNHS")</f>
        <v>@CNTWNHS</v>
      </c>
      <c r="C1626" s="1" t="s">
        <v>7674</v>
      </c>
      <c r="D1626" s="1" t="s">
        <v>7675</v>
      </c>
      <c r="E1626" s="12" t="str">
        <f>HYPERLINK("https://twitter.com/CNTWNHS/status/1217411145520287746","1217411145520287746")</f>
        <v>1217411145520287746</v>
      </c>
      <c r="F1626" s="13" t="s">
        <v>7676</v>
      </c>
      <c r="G1626" s="14"/>
      <c r="H1626" s="14"/>
      <c r="I1626" s="15">
        <v>0.0</v>
      </c>
      <c r="J1626" s="15">
        <v>1.0</v>
      </c>
      <c r="K1626" s="12" t="str">
        <f>HYPERLINK("https://mobile.twitter.com","Twitter Web App")</f>
        <v>Twitter Web App</v>
      </c>
      <c r="L1626" s="16">
        <v>9222.0</v>
      </c>
      <c r="M1626" s="16">
        <v>224.0</v>
      </c>
      <c r="N1626" s="16">
        <v>185.0</v>
      </c>
      <c r="O1626" s="17"/>
      <c r="P1626" s="18">
        <v>40022.32782407408</v>
      </c>
      <c r="Q1626" s="1" t="s">
        <v>7677</v>
      </c>
      <c r="R1626" s="1" t="s">
        <v>7678</v>
      </c>
      <c r="S1626" s="13" t="s">
        <v>7679</v>
      </c>
      <c r="T1626" s="14"/>
      <c r="U1626" s="19" t="str">
        <f>HYPERLINK("https://pbs.twimg.com/profile_images/1178779963459280896/SpMutoRU.jpg","View")</f>
        <v>View</v>
      </c>
      <c r="V1626" s="14"/>
      <c r="W1626" s="14"/>
      <c r="X1626" s="14"/>
      <c r="Y1626" s="14"/>
      <c r="Z1626" s="14"/>
    </row>
    <row r="1627">
      <c r="A1627" s="11">
        <v>43845.27728009259</v>
      </c>
      <c r="B1627" s="12" t="str">
        <f>HYPERLINK("https://twitter.com/BeingHR","@BeingHR")</f>
        <v>@BeingHR</v>
      </c>
      <c r="C1627" s="1" t="s">
        <v>7680</v>
      </c>
      <c r="D1627" s="1" t="s">
        <v>7681</v>
      </c>
      <c r="E1627" s="12" t="str">
        <f>HYPERLINK("https://twitter.com/BeingHR/status/1217410925080260608","1217410925080260608")</f>
        <v>1217410925080260608</v>
      </c>
      <c r="F1627" s="14"/>
      <c r="G1627" s="13" t="s">
        <v>7682</v>
      </c>
      <c r="H1627" s="14"/>
      <c r="I1627" s="15">
        <v>0.0</v>
      </c>
      <c r="J1627" s="15">
        <v>4.0</v>
      </c>
      <c r="K1627" s="12" t="str">
        <f>HYPERLINK("http://twitter.com/download/android","Twitter for Android")</f>
        <v>Twitter for Android</v>
      </c>
      <c r="L1627" s="16">
        <v>2442.0</v>
      </c>
      <c r="M1627" s="16">
        <v>921.0</v>
      </c>
      <c r="N1627" s="16">
        <v>73.0</v>
      </c>
      <c r="O1627" s="17"/>
      <c r="P1627" s="18">
        <v>41021.31646990741</v>
      </c>
      <c r="Q1627" s="1" t="s">
        <v>7020</v>
      </c>
      <c r="R1627" s="1" t="s">
        <v>7683</v>
      </c>
      <c r="S1627" s="13" t="s">
        <v>7684</v>
      </c>
      <c r="T1627" s="14"/>
      <c r="U1627" s="19" t="str">
        <f>HYPERLINK("https://pbs.twimg.com/profile_images/1032803335542370304/kquyIFTu.jpg","View")</f>
        <v>View</v>
      </c>
      <c r="V1627" s="14"/>
      <c r="W1627" s="14"/>
      <c r="X1627" s="14"/>
      <c r="Y1627" s="14"/>
      <c r="Z1627" s="14"/>
    </row>
    <row r="1628">
      <c r="A1628" s="11">
        <v>43845.27113425926</v>
      </c>
      <c r="B1628" s="12" t="str">
        <f>HYPERLINK("https://twitter.com/SkinOnlineBlog","@SkinOnlineBlog")</f>
        <v>@SkinOnlineBlog</v>
      </c>
      <c r="C1628" s="1" t="s">
        <v>1071</v>
      </c>
      <c r="D1628" s="1" t="s">
        <v>7685</v>
      </c>
      <c r="E1628" s="12" t="str">
        <f>HYPERLINK("https://twitter.com/SkinOnlineBlog/status/1217408699179970560","1217408699179970560")</f>
        <v>1217408699179970560</v>
      </c>
      <c r="F1628" s="13" t="s">
        <v>7686</v>
      </c>
      <c r="G1628" s="13" t="s">
        <v>7687</v>
      </c>
      <c r="H1628" s="14"/>
      <c r="I1628" s="15">
        <v>0.0</v>
      </c>
      <c r="J1628" s="15">
        <v>0.0</v>
      </c>
      <c r="K1628" s="12" t="str">
        <f>HYPERLINK("https://www.hootsuite.com","Hootsuite Inc.")</f>
        <v>Hootsuite Inc.</v>
      </c>
      <c r="L1628" s="16">
        <v>642.0</v>
      </c>
      <c r="M1628" s="16">
        <v>1138.0</v>
      </c>
      <c r="N1628" s="16">
        <v>44.0</v>
      </c>
      <c r="O1628" s="17"/>
      <c r="P1628" s="18">
        <v>42317.25525462963</v>
      </c>
      <c r="Q1628" s="1" t="s">
        <v>1075</v>
      </c>
      <c r="R1628" s="1" t="s">
        <v>1076</v>
      </c>
      <c r="S1628" s="13" t="s">
        <v>1077</v>
      </c>
      <c r="T1628" s="14"/>
      <c r="U1628" s="19" t="str">
        <f>HYPERLINK("https://pbs.twimg.com/profile_images/663675213423452160/jRtLoza-.png","View")</f>
        <v>View</v>
      </c>
      <c r="V1628" s="14"/>
      <c r="W1628" s="14"/>
      <c r="X1628" s="14"/>
      <c r="Y1628" s="14"/>
      <c r="Z1628" s="14"/>
    </row>
    <row r="1629">
      <c r="A1629" s="11">
        <v>43845.269583333335</v>
      </c>
      <c r="B1629" s="12" t="str">
        <f t="shared" ref="B1629:B1630" si="158">HYPERLINK("https://twitter.com/Charis_health","@Charis_health")</f>
        <v>@Charis_health</v>
      </c>
      <c r="C1629" s="1" t="s">
        <v>7688</v>
      </c>
      <c r="D1629" s="1" t="s">
        <v>7689</v>
      </c>
      <c r="E1629" s="12" t="str">
        <f>HYPERLINK("https://twitter.com/Charis_health/status/1217408137315147778","1217408137315147778")</f>
        <v>1217408137315147778</v>
      </c>
      <c r="F1629" s="14"/>
      <c r="G1629" s="13" t="s">
        <v>7690</v>
      </c>
      <c r="H1629" s="14"/>
      <c r="I1629" s="15">
        <v>0.0</v>
      </c>
      <c r="J1629" s="15">
        <v>2.0</v>
      </c>
      <c r="K1629" s="12" t="str">
        <f t="shared" ref="K1629:K1631" si="159">HYPERLINK("http://twitter.com/download/android","Twitter for Android")</f>
        <v>Twitter for Android</v>
      </c>
      <c r="L1629" s="16">
        <v>22.0</v>
      </c>
      <c r="M1629" s="16">
        <v>63.0</v>
      </c>
      <c r="N1629" s="16">
        <v>0.0</v>
      </c>
      <c r="O1629" s="17"/>
      <c r="P1629" s="18">
        <v>43556.35070601852</v>
      </c>
      <c r="Q1629" s="1" t="s">
        <v>7691</v>
      </c>
      <c r="R1629" s="14"/>
      <c r="S1629" s="13" t="s">
        <v>7692</v>
      </c>
      <c r="T1629" s="14"/>
      <c r="U1629" s="19" t="str">
        <f t="shared" ref="U1629:U1630" si="160">HYPERLINK("https://pbs.twimg.com/profile_images/1112700445426880513/1Dlz7915.jpg","View")</f>
        <v>View</v>
      </c>
      <c r="V1629" s="14"/>
      <c r="W1629" s="14"/>
      <c r="X1629" s="14"/>
      <c r="Y1629" s="14"/>
      <c r="Z1629" s="14"/>
    </row>
    <row r="1630">
      <c r="A1630" s="11">
        <v>43845.26849537037</v>
      </c>
      <c r="B1630" s="12" t="str">
        <f t="shared" si="158"/>
        <v>@Charis_health</v>
      </c>
      <c r="C1630" s="1" t="s">
        <v>7688</v>
      </c>
      <c r="D1630" s="1" t="s">
        <v>7693</v>
      </c>
      <c r="E1630" s="12" t="str">
        <f>HYPERLINK("https://twitter.com/Charis_health/status/1217407741746126848","1217407741746126848")</f>
        <v>1217407741746126848</v>
      </c>
      <c r="F1630" s="14"/>
      <c r="G1630" s="13" t="s">
        <v>7694</v>
      </c>
      <c r="H1630" s="14"/>
      <c r="I1630" s="15">
        <v>1.0</v>
      </c>
      <c r="J1630" s="15">
        <v>5.0</v>
      </c>
      <c r="K1630" s="12" t="str">
        <f t="shared" si="159"/>
        <v>Twitter for Android</v>
      </c>
      <c r="L1630" s="16">
        <v>22.0</v>
      </c>
      <c r="M1630" s="16">
        <v>63.0</v>
      </c>
      <c r="N1630" s="16">
        <v>0.0</v>
      </c>
      <c r="O1630" s="17"/>
      <c r="P1630" s="18">
        <v>43556.35070601852</v>
      </c>
      <c r="Q1630" s="1" t="s">
        <v>7691</v>
      </c>
      <c r="R1630" s="14"/>
      <c r="S1630" s="13" t="s">
        <v>7692</v>
      </c>
      <c r="T1630" s="14"/>
      <c r="U1630" s="19" t="str">
        <f t="shared" si="160"/>
        <v>View</v>
      </c>
      <c r="V1630" s="14"/>
      <c r="W1630" s="14"/>
      <c r="X1630" s="14"/>
      <c r="Y1630" s="14"/>
      <c r="Z1630" s="14"/>
    </row>
    <row r="1631">
      <c r="A1631" s="11">
        <v>43845.2653125</v>
      </c>
      <c r="B1631" s="12" t="str">
        <f>HYPERLINK("https://twitter.com/niharikaverma95","@niharikaverma95")</f>
        <v>@niharikaverma95</v>
      </c>
      <c r="C1631" s="1" t="s">
        <v>888</v>
      </c>
      <c r="D1631" s="1" t="s">
        <v>7695</v>
      </c>
      <c r="E1631" s="12" t="str">
        <f>HYPERLINK("https://twitter.com/niharikaverma95/status/1217406589004668935","1217406589004668935")</f>
        <v>1217406589004668935</v>
      </c>
      <c r="F1631" s="13" t="s">
        <v>7598</v>
      </c>
      <c r="G1631" s="14"/>
      <c r="H1631" s="14"/>
      <c r="I1631" s="15">
        <v>0.0</v>
      </c>
      <c r="J1631" s="15">
        <v>0.0</v>
      </c>
      <c r="K1631" s="12" t="str">
        <f t="shared" si="159"/>
        <v>Twitter for Android</v>
      </c>
      <c r="L1631" s="16">
        <v>847.0</v>
      </c>
      <c r="M1631" s="16">
        <v>142.0</v>
      </c>
      <c r="N1631" s="16">
        <v>61.0</v>
      </c>
      <c r="O1631" s="17"/>
      <c r="P1631" s="18">
        <v>42542.06670138889</v>
      </c>
      <c r="Q1631" s="1" t="s">
        <v>891</v>
      </c>
      <c r="R1631" s="1" t="s">
        <v>892</v>
      </c>
      <c r="S1631" s="13" t="s">
        <v>893</v>
      </c>
      <c r="T1631" s="14"/>
      <c r="U1631" s="19" t="str">
        <f>HYPERLINK("https://pbs.twimg.com/profile_images/1218631112752160768/smL-X6Vx.jpg","View")</f>
        <v>View</v>
      </c>
      <c r="V1631" s="14"/>
      <c r="W1631" s="14"/>
      <c r="X1631" s="14"/>
      <c r="Y1631" s="14"/>
      <c r="Z1631" s="14"/>
    </row>
    <row r="1632">
      <c r="A1632" s="11">
        <v>43845.26041666667</v>
      </c>
      <c r="B1632" s="12" t="str">
        <f>HYPERLINK("https://twitter.com/YellowdayTrain","@YellowdayTrain")</f>
        <v>@YellowdayTrain</v>
      </c>
      <c r="C1632" s="1" t="s">
        <v>7696</v>
      </c>
      <c r="D1632" s="1" t="s">
        <v>7697</v>
      </c>
      <c r="E1632" s="12" t="str">
        <f>HYPERLINK("https://twitter.com/YellowdayTrain/status/1217404812565696512","1217404812565696512")</f>
        <v>1217404812565696512</v>
      </c>
      <c r="F1632" s="13" t="s">
        <v>7698</v>
      </c>
      <c r="G1632" s="14"/>
      <c r="H1632" s="14"/>
      <c r="I1632" s="15">
        <v>1.0</v>
      </c>
      <c r="J1632" s="15">
        <v>1.0</v>
      </c>
      <c r="K1632" s="12" t="str">
        <f>HYPERLINK("https://about.twitter.com/products/tweetdeck","TweetDeck")</f>
        <v>TweetDeck</v>
      </c>
      <c r="L1632" s="16">
        <v>256.0</v>
      </c>
      <c r="M1632" s="16">
        <v>372.0</v>
      </c>
      <c r="N1632" s="16">
        <v>4.0</v>
      </c>
      <c r="O1632" s="17"/>
      <c r="P1632" s="18">
        <v>41626.28052083333</v>
      </c>
      <c r="Q1632" s="1" t="s">
        <v>263</v>
      </c>
      <c r="R1632" s="1" t="s">
        <v>7699</v>
      </c>
      <c r="S1632" s="13" t="s">
        <v>7700</v>
      </c>
      <c r="T1632" s="14"/>
      <c r="U1632" s="19" t="str">
        <f>HYPERLINK("https://pbs.twimg.com/profile_images/1135553633351811073/I7-l1Pah.png","View")</f>
        <v>View</v>
      </c>
      <c r="V1632" s="14"/>
      <c r="W1632" s="14"/>
      <c r="X1632" s="14"/>
      <c r="Y1632" s="14"/>
      <c r="Z1632" s="14"/>
    </row>
    <row r="1633">
      <c r="A1633" s="11">
        <v>43845.26005787037</v>
      </c>
      <c r="B1633" s="12" t="str">
        <f>HYPERLINK("https://twitter.com/Aware","@Aware")</f>
        <v>@Aware</v>
      </c>
      <c r="C1633" s="1" t="s">
        <v>3454</v>
      </c>
      <c r="D1633" s="1" t="s">
        <v>7701</v>
      </c>
      <c r="E1633" s="12" t="str">
        <f>HYPERLINK("https://twitter.com/Aware/status/1217404682727051265","1217404682727051265")</f>
        <v>1217404682727051265</v>
      </c>
      <c r="F1633" s="13" t="s">
        <v>7702</v>
      </c>
      <c r="G1633" s="13" t="s">
        <v>7703</v>
      </c>
      <c r="H1633" s="14"/>
      <c r="I1633" s="15">
        <v>1.0</v>
      </c>
      <c r="J1633" s="15">
        <v>3.0</v>
      </c>
      <c r="K1633" s="12" t="str">
        <f>HYPERLINK("https://www.hootsuite.com","Hootsuite Inc.")</f>
        <v>Hootsuite Inc.</v>
      </c>
      <c r="L1633" s="16">
        <v>22081.0</v>
      </c>
      <c r="M1633" s="16">
        <v>482.0</v>
      </c>
      <c r="N1633" s="16">
        <v>205.0</v>
      </c>
      <c r="O1633" s="17"/>
      <c r="P1633" s="18">
        <v>40183.32912037037</v>
      </c>
      <c r="Q1633" s="1" t="s">
        <v>3458</v>
      </c>
      <c r="R1633" s="1" t="s">
        <v>3459</v>
      </c>
      <c r="S1633" s="13" t="s">
        <v>3460</v>
      </c>
      <c r="T1633" s="14"/>
      <c r="U1633" s="19" t="str">
        <f>HYPERLINK("https://pbs.twimg.com/profile_images/1145618567565578240/deHfWKJ6.png","View")</f>
        <v>View</v>
      </c>
      <c r="V1633" s="14"/>
      <c r="W1633" s="14"/>
      <c r="X1633" s="14"/>
      <c r="Y1633" s="14"/>
      <c r="Z1633" s="14"/>
    </row>
    <row r="1634">
      <c r="A1634" s="11">
        <v>43845.25625</v>
      </c>
      <c r="B1634" s="12" t="str">
        <f>HYPERLINK("https://twitter.com/ContCompass","@ContCompass")</f>
        <v>@ContCompass</v>
      </c>
      <c r="C1634" s="1" t="s">
        <v>7704</v>
      </c>
      <c r="D1634" s="1" t="s">
        <v>7705</v>
      </c>
      <c r="E1634" s="12" t="str">
        <f>HYPERLINK("https://twitter.com/ContCompass/status/1217403302398152705","1217403302398152705")</f>
        <v>1217403302398152705</v>
      </c>
      <c r="F1634" s="13" t="s">
        <v>7706</v>
      </c>
      <c r="G1634" s="14"/>
      <c r="H1634" s="14"/>
      <c r="I1634" s="15">
        <v>0.0</v>
      </c>
      <c r="J1634" s="15">
        <v>0.0</v>
      </c>
      <c r="K1634" s="12" t="str">
        <f>HYPERLINK("https://about.twitter.com/products/tweetdeck","TweetDeck")</f>
        <v>TweetDeck</v>
      </c>
      <c r="L1634" s="16">
        <v>563.0</v>
      </c>
      <c r="M1634" s="16">
        <v>904.0</v>
      </c>
      <c r="N1634" s="16">
        <v>32.0</v>
      </c>
      <c r="O1634" s="17"/>
      <c r="P1634" s="18">
        <v>42426.439155092594</v>
      </c>
      <c r="Q1634" s="14"/>
      <c r="R1634" s="1" t="s">
        <v>7707</v>
      </c>
      <c r="S1634" s="13" t="s">
        <v>7708</v>
      </c>
      <c r="T1634" s="14"/>
      <c r="U1634" s="19" t="str">
        <f>HYPERLINK("https://pbs.twimg.com/profile_images/703243772000391168/A_xkvkqc.jpg","View")</f>
        <v>View</v>
      </c>
      <c r="V1634" s="14"/>
      <c r="W1634" s="14"/>
      <c r="X1634" s="14"/>
      <c r="Y1634" s="14"/>
      <c r="Z1634" s="14"/>
    </row>
    <row r="1635">
      <c r="A1635" s="11">
        <v>43845.256018518514</v>
      </c>
      <c r="B1635" s="12" t="str">
        <f>HYPERLINK("https://twitter.com/StylesByArica","@StylesByArica")</f>
        <v>@StylesByArica</v>
      </c>
      <c r="C1635" s="1" t="s">
        <v>7709</v>
      </c>
      <c r="D1635" s="1" t="s">
        <v>7710</v>
      </c>
      <c r="E1635" s="12" t="str">
        <f>HYPERLINK("https://twitter.com/StylesByArica/status/1217403218914881537","1217403218914881537")</f>
        <v>1217403218914881537</v>
      </c>
      <c r="F1635" s="13" t="s">
        <v>7711</v>
      </c>
      <c r="G1635" s="13" t="s">
        <v>7712</v>
      </c>
      <c r="H1635" s="14"/>
      <c r="I1635" s="15">
        <v>2.0</v>
      </c>
      <c r="J1635" s="15">
        <v>3.0</v>
      </c>
      <c r="K1635" s="12" t="str">
        <f t="shared" ref="K1635:K1636" si="161">HYPERLINK("https://buffer.com","Buffer")</f>
        <v>Buffer</v>
      </c>
      <c r="L1635" s="16">
        <v>2636.0</v>
      </c>
      <c r="M1635" s="16">
        <v>2519.0</v>
      </c>
      <c r="N1635" s="16">
        <v>221.0</v>
      </c>
      <c r="O1635" s="17"/>
      <c r="P1635" s="18">
        <v>40978.786203703705</v>
      </c>
      <c r="Q1635" s="14"/>
      <c r="R1635" s="1" t="s">
        <v>7713</v>
      </c>
      <c r="S1635" s="13" t="s">
        <v>7714</v>
      </c>
      <c r="T1635" s="14"/>
      <c r="U1635" s="19" t="str">
        <f>HYPERLINK("https://pbs.twimg.com/profile_images/1891518286/AVATAR_FOR_YOUTUBE___TWITTER.jpg","View")</f>
        <v>View</v>
      </c>
      <c r="V1635" s="14"/>
      <c r="W1635" s="14"/>
      <c r="X1635" s="14"/>
      <c r="Y1635" s="14"/>
      <c r="Z1635" s="14"/>
    </row>
    <row r="1636">
      <c r="A1636" s="11">
        <v>43845.250069444446</v>
      </c>
      <c r="B1636" s="12" t="str">
        <f>HYPERLINK("https://twitter.com/RawlesPsych","@RawlesPsych")</f>
        <v>@RawlesPsych</v>
      </c>
      <c r="C1636" s="1" t="s">
        <v>7715</v>
      </c>
      <c r="D1636" s="1" t="s">
        <v>7716</v>
      </c>
      <c r="E1636" s="12" t="str">
        <f>HYPERLINK("https://twitter.com/RawlesPsych/status/1217401065466998784","1217401065466998784")</f>
        <v>1217401065466998784</v>
      </c>
      <c r="F1636" s="1" t="s">
        <v>7717</v>
      </c>
      <c r="G1636" s="13" t="s">
        <v>7718</v>
      </c>
      <c r="H1636" s="14"/>
      <c r="I1636" s="15">
        <v>0.0</v>
      </c>
      <c r="J1636" s="15">
        <v>1.0</v>
      </c>
      <c r="K1636" s="12" t="str">
        <f t="shared" si="161"/>
        <v>Buffer</v>
      </c>
      <c r="L1636" s="16">
        <v>51.0</v>
      </c>
      <c r="M1636" s="16">
        <v>41.0</v>
      </c>
      <c r="N1636" s="16">
        <v>4.0</v>
      </c>
      <c r="O1636" s="17"/>
      <c r="P1636" s="18">
        <v>42306.80997685185</v>
      </c>
      <c r="Q1636" s="1" t="s">
        <v>3209</v>
      </c>
      <c r="R1636" s="1" t="s">
        <v>7719</v>
      </c>
      <c r="S1636" s="13" t="s">
        <v>7720</v>
      </c>
      <c r="T1636" s="14"/>
      <c r="U1636" s="19" t="str">
        <f>HYPERLINK("https://pbs.twimg.com/profile_images/722231480064282624/uWE3VA_B.jpg","View")</f>
        <v>View</v>
      </c>
      <c r="V1636" s="14"/>
      <c r="W1636" s="14"/>
      <c r="X1636" s="14"/>
      <c r="Y1636" s="14"/>
      <c r="Z1636" s="14"/>
    </row>
    <row r="1637">
      <c r="A1637" s="11">
        <v>43845.24554398148</v>
      </c>
      <c r="B1637" s="12" t="str">
        <f>HYPERLINK("https://twitter.com/VitalsKlinic","@VitalsKlinic")</f>
        <v>@VitalsKlinic</v>
      </c>
      <c r="C1637" s="1" t="s">
        <v>7721</v>
      </c>
      <c r="D1637" s="1" t="s">
        <v>7722</v>
      </c>
      <c r="E1637" s="12" t="str">
        <f>HYPERLINK("https://twitter.com/VitalsKlinic/status/1217399424860618755","1217399424860618755")</f>
        <v>1217399424860618755</v>
      </c>
      <c r="F1637" s="1" t="s">
        <v>7723</v>
      </c>
      <c r="G1637" s="13" t="s">
        <v>7724</v>
      </c>
      <c r="H1637" s="14"/>
      <c r="I1637" s="15">
        <v>0.0</v>
      </c>
      <c r="J1637" s="15">
        <v>0.0</v>
      </c>
      <c r="K1637" s="12" t="str">
        <f>HYPERLINK("https://mobile.twitter.com","Twitter Web App")</f>
        <v>Twitter Web App</v>
      </c>
      <c r="L1637" s="16">
        <v>62.0</v>
      </c>
      <c r="M1637" s="16">
        <v>379.0</v>
      </c>
      <c r="N1637" s="16">
        <v>1.0</v>
      </c>
      <c r="O1637" s="17"/>
      <c r="P1637" s="18">
        <v>42706.303194444445</v>
      </c>
      <c r="Q1637" s="1" t="s">
        <v>72</v>
      </c>
      <c r="R1637" s="1" t="s">
        <v>7725</v>
      </c>
      <c r="S1637" s="13" t="s">
        <v>7726</v>
      </c>
      <c r="T1637" s="14"/>
      <c r="U1637" s="19" t="str">
        <f>HYPERLINK("https://pbs.twimg.com/profile_images/931126103988625408/6bOpX50S.jpg","View")</f>
        <v>View</v>
      </c>
      <c r="V1637" s="14"/>
      <c r="W1637" s="14"/>
      <c r="X1637" s="14"/>
      <c r="Y1637" s="14"/>
      <c r="Z1637" s="14"/>
    </row>
    <row r="1638">
      <c r="A1638" s="11">
        <v>43845.245196759264</v>
      </c>
      <c r="B1638" s="12" t="str">
        <f>HYPERLINK("https://twitter.com/ClearviewMinds","@ClearviewMinds")</f>
        <v>@ClearviewMinds</v>
      </c>
      <c r="C1638" s="1" t="s">
        <v>3073</v>
      </c>
      <c r="D1638" s="1" t="s">
        <v>7727</v>
      </c>
      <c r="E1638" s="12" t="str">
        <f>HYPERLINK("https://twitter.com/ClearviewMinds/status/1217399295986622464","1217399295986622464")</f>
        <v>1217399295986622464</v>
      </c>
      <c r="F1638" s="14"/>
      <c r="G1638" s="13" t="s">
        <v>7728</v>
      </c>
      <c r="H1638" s="14"/>
      <c r="I1638" s="15">
        <v>3.0</v>
      </c>
      <c r="J1638" s="15">
        <v>4.0</v>
      </c>
      <c r="K1638" s="12" t="str">
        <f>HYPERLINK("http://twitter.com/download/iphone","Twitter for iPhone")</f>
        <v>Twitter for iPhone</v>
      </c>
      <c r="L1638" s="16">
        <v>374.0</v>
      </c>
      <c r="M1638" s="16">
        <v>1068.0</v>
      </c>
      <c r="N1638" s="16">
        <v>5.0</v>
      </c>
      <c r="O1638" s="17"/>
      <c r="P1638" s="18">
        <v>42776.529178240744</v>
      </c>
      <c r="Q1638" s="1" t="s">
        <v>3077</v>
      </c>
      <c r="R1638" s="1" t="s">
        <v>3078</v>
      </c>
      <c r="S1638" s="13" t="s">
        <v>3079</v>
      </c>
      <c r="T1638" s="14"/>
      <c r="U1638" s="19" t="str">
        <f>HYPERLINK("https://pbs.twimg.com/profile_images/830110341946294272/9GN1kXKG.jpg","View")</f>
        <v>View</v>
      </c>
      <c r="V1638" s="14"/>
      <c r="W1638" s="14"/>
      <c r="X1638" s="14"/>
      <c r="Y1638" s="14"/>
      <c r="Z1638" s="14"/>
    </row>
    <row r="1639">
      <c r="A1639" s="11">
        <v>43845.24484953703</v>
      </c>
      <c r="B1639" s="12" t="str">
        <f>HYPERLINK("https://twitter.com/InveigleMagazi1","@InveigleMagazi1")</f>
        <v>@InveigleMagazi1</v>
      </c>
      <c r="C1639" s="1" t="s">
        <v>7729</v>
      </c>
      <c r="D1639" s="1" t="s">
        <v>7730</v>
      </c>
      <c r="E1639" s="12" t="str">
        <f>HYPERLINK("https://twitter.com/InveigleMagazi1/status/1217399170891440128","1217399170891440128")</f>
        <v>1217399170891440128</v>
      </c>
      <c r="F1639" s="13" t="s">
        <v>7731</v>
      </c>
      <c r="G1639" s="13" t="s">
        <v>7732</v>
      </c>
      <c r="H1639" s="14"/>
      <c r="I1639" s="15">
        <v>1.0</v>
      </c>
      <c r="J1639" s="15">
        <v>3.0</v>
      </c>
      <c r="K1639" s="12" t="str">
        <f>HYPERLINK("https://buffer.com","Buffer")</f>
        <v>Buffer</v>
      </c>
      <c r="L1639" s="16">
        <v>1866.0</v>
      </c>
      <c r="M1639" s="16">
        <v>1738.0</v>
      </c>
      <c r="N1639" s="16">
        <v>15.0</v>
      </c>
      <c r="O1639" s="17"/>
      <c r="P1639" s="18">
        <v>42927.36324074074</v>
      </c>
      <c r="Q1639" s="1" t="s">
        <v>7733</v>
      </c>
      <c r="R1639" s="1" t="s">
        <v>7734</v>
      </c>
      <c r="S1639" s="13" t="s">
        <v>7735</v>
      </c>
      <c r="T1639" s="14"/>
      <c r="U1639" s="19" t="str">
        <f>HYPERLINK("https://pbs.twimg.com/profile_images/884755674080718848/bpKz5dnd.jpg","View")</f>
        <v>View</v>
      </c>
      <c r="V1639" s="14"/>
      <c r="W1639" s="14"/>
      <c r="X1639" s="14"/>
      <c r="Y1639" s="14"/>
      <c r="Z1639" s="14"/>
    </row>
    <row r="1640">
      <c r="A1640" s="11">
        <v>43845.24422453703</v>
      </c>
      <c r="B1640" s="12" t="str">
        <f>HYPERLINK("https://twitter.com/KulikovUNIATF","@KulikovUNIATF")</f>
        <v>@KulikovUNIATF</v>
      </c>
      <c r="C1640" s="1" t="s">
        <v>7736</v>
      </c>
      <c r="D1640" s="1" t="s">
        <v>7737</v>
      </c>
      <c r="E1640" s="12" t="str">
        <f>HYPERLINK("https://twitter.com/KulikovUNIATF/status/1217398944466186241","1217398944466186241")</f>
        <v>1217398944466186241</v>
      </c>
      <c r="F1640" s="13" t="s">
        <v>7738</v>
      </c>
      <c r="G1640" s="13" t="s">
        <v>5072</v>
      </c>
      <c r="H1640" s="14"/>
      <c r="I1640" s="15">
        <v>15.0</v>
      </c>
      <c r="J1640" s="15">
        <v>37.0</v>
      </c>
      <c r="K1640" s="12" t="str">
        <f>HYPERLINK("http://twitter.com/download/iphone","Twitter for iPhone")</f>
        <v>Twitter for iPhone</v>
      </c>
      <c r="L1640" s="16">
        <v>49386.0</v>
      </c>
      <c r="M1640" s="16">
        <v>41597.0</v>
      </c>
      <c r="N1640" s="16">
        <v>327.0</v>
      </c>
      <c r="O1640" s="17"/>
      <c r="P1640" s="18">
        <v>42520.63658564815</v>
      </c>
      <c r="Q1640" s="1" t="s">
        <v>7739</v>
      </c>
      <c r="R1640" s="1" t="s">
        <v>7740</v>
      </c>
      <c r="S1640" s="14"/>
      <c r="T1640" s="14"/>
      <c r="U1640" s="19" t="str">
        <f>HYPERLINK("https://pbs.twimg.com/profile_images/994191357043294208/iPKlRXza.jpg","View")</f>
        <v>View</v>
      </c>
      <c r="V1640" s="14"/>
      <c r="W1640" s="14"/>
      <c r="X1640" s="14"/>
      <c r="Y1640" s="14"/>
      <c r="Z1640" s="14"/>
    </row>
    <row r="1641">
      <c r="A1641" s="11">
        <v>43845.242361111115</v>
      </c>
      <c r="B1641" s="12" t="str">
        <f>HYPERLINK("https://twitter.com/melino_G","@melino_G")</f>
        <v>@melino_G</v>
      </c>
      <c r="C1641" s="1" t="s">
        <v>7099</v>
      </c>
      <c r="D1641" s="1" t="s">
        <v>7741</v>
      </c>
      <c r="E1641" s="12" t="str">
        <f>HYPERLINK("https://twitter.com/melino_G/status/1217398269384503302","1217398269384503302")</f>
        <v>1217398269384503302</v>
      </c>
      <c r="F1641" s="13" t="s">
        <v>7742</v>
      </c>
      <c r="G1641" s="13" t="s">
        <v>7743</v>
      </c>
      <c r="H1641" s="14"/>
      <c r="I1641" s="15">
        <v>11.0</v>
      </c>
      <c r="J1641" s="15">
        <v>17.0</v>
      </c>
      <c r="K1641" s="12" t="str">
        <f>HYPERLINK("https://about.twitter.com/products/tweetdeck","TweetDeck")</f>
        <v>TweetDeck</v>
      </c>
      <c r="L1641" s="16">
        <v>6996.0</v>
      </c>
      <c r="M1641" s="16">
        <v>2695.0</v>
      </c>
      <c r="N1641" s="16">
        <v>16.0</v>
      </c>
      <c r="O1641" s="17"/>
      <c r="P1641" s="18">
        <v>43195.39357638889</v>
      </c>
      <c r="Q1641" s="14"/>
      <c r="R1641" s="1" t="s">
        <v>7103</v>
      </c>
      <c r="S1641" s="14"/>
      <c r="T1641" s="14"/>
      <c r="U1641" s="19" t="str">
        <f>HYPERLINK("https://pbs.twimg.com/profile_images/982653669517807616/ndy9AOOZ.jpg","View")</f>
        <v>View</v>
      </c>
      <c r="V1641" s="14"/>
      <c r="W1641" s="14"/>
      <c r="X1641" s="14"/>
      <c r="Y1641" s="14"/>
      <c r="Z1641" s="14"/>
    </row>
    <row r="1642">
      <c r="A1642" s="11">
        <v>43845.24229166667</v>
      </c>
      <c r="B1642" s="12" t="str">
        <f>HYPERLINK("https://twitter.com/ashleylodge","@ashleylodge")</f>
        <v>@ashleylodge</v>
      </c>
      <c r="C1642" s="1" t="s">
        <v>7744</v>
      </c>
      <c r="D1642" s="1" t="s">
        <v>7745</v>
      </c>
      <c r="E1642" s="12" t="str">
        <f>HYPERLINK("https://twitter.com/ashleylodge/status/1217398245741203456","1217398245741203456")</f>
        <v>1217398245741203456</v>
      </c>
      <c r="F1642" s="13" t="s">
        <v>7746</v>
      </c>
      <c r="G1642" s="14"/>
      <c r="H1642" s="14"/>
      <c r="I1642" s="15">
        <v>6.0</v>
      </c>
      <c r="J1642" s="15">
        <v>5.0</v>
      </c>
      <c r="K1642" s="12" t="str">
        <f>HYPERLINK("http://twitter.com/download/android","Twitter for Android")</f>
        <v>Twitter for Android</v>
      </c>
      <c r="L1642" s="16">
        <v>249.0</v>
      </c>
      <c r="M1642" s="16">
        <v>412.0</v>
      </c>
      <c r="N1642" s="16">
        <v>7.0</v>
      </c>
      <c r="O1642" s="17"/>
      <c r="P1642" s="18">
        <v>39855.20300925926</v>
      </c>
      <c r="Q1642" s="1" t="s">
        <v>864</v>
      </c>
      <c r="R1642" s="1" t="s">
        <v>7747</v>
      </c>
      <c r="S1642" s="13" t="s">
        <v>7748</v>
      </c>
      <c r="T1642" s="14"/>
      <c r="U1642" s="19" t="str">
        <f>HYPERLINK("https://pbs.twimg.com/profile_images/1053277871769305088/Gtob86gl.jpg","View")</f>
        <v>View</v>
      </c>
      <c r="V1642" s="14"/>
      <c r="W1642" s="14"/>
      <c r="X1642" s="14"/>
      <c r="Y1642" s="14"/>
      <c r="Z1642" s="14"/>
    </row>
    <row r="1643">
      <c r="A1643" s="11">
        <v>43845.23958333333</v>
      </c>
      <c r="B1643" s="12" t="str">
        <f>HYPERLINK("https://twitter.com/TrainingMindful","@TrainingMindful")</f>
        <v>@TrainingMindful</v>
      </c>
      <c r="C1643" s="1" t="s">
        <v>94</v>
      </c>
      <c r="D1643" s="1" t="s">
        <v>7749</v>
      </c>
      <c r="E1643" s="12" t="str">
        <f>HYPERLINK("https://twitter.com/TrainingMindful/status/1217397263334563840","1217397263334563840")</f>
        <v>1217397263334563840</v>
      </c>
      <c r="F1643" s="13" t="s">
        <v>2641</v>
      </c>
      <c r="G1643" s="14"/>
      <c r="H1643" s="14"/>
      <c r="I1643" s="15">
        <v>1.0</v>
      </c>
      <c r="J1643" s="15">
        <v>4.0</v>
      </c>
      <c r="K1643" s="12" t="str">
        <f>HYPERLINK("https://www.socialoomph.com","SocialOomph")</f>
        <v>SocialOomph</v>
      </c>
      <c r="L1643" s="16">
        <v>185303.0</v>
      </c>
      <c r="M1643" s="16">
        <v>43980.0</v>
      </c>
      <c r="N1643" s="16">
        <v>2800.0</v>
      </c>
      <c r="O1643" s="17"/>
      <c r="P1643" s="18">
        <v>41286.039305555554</v>
      </c>
      <c r="Q1643" s="1" t="s">
        <v>97</v>
      </c>
      <c r="R1643" s="1" t="s">
        <v>98</v>
      </c>
      <c r="S1643" s="13" t="s">
        <v>99</v>
      </c>
      <c r="T1643" s="14"/>
      <c r="U1643" s="19" t="str">
        <f>HYPERLINK("https://pbs.twimg.com/profile_images/566526924059459584/gdMxDA9x.jpeg","View")</f>
        <v>View</v>
      </c>
      <c r="V1643" s="14"/>
      <c r="W1643" s="14"/>
      <c r="X1643" s="14"/>
      <c r="Y1643" s="14"/>
      <c r="Z1643" s="14"/>
    </row>
    <row r="1644">
      <c r="A1644" s="11">
        <v>43845.23884259259</v>
      </c>
      <c r="B1644" s="12" t="str">
        <f>HYPERLINK("https://twitter.com/linseyhl1978","@linseyhl1978")</f>
        <v>@linseyhl1978</v>
      </c>
      <c r="C1644" s="1" t="s">
        <v>7750</v>
      </c>
      <c r="D1644" s="1" t="s">
        <v>7751</v>
      </c>
      <c r="E1644" s="12" t="str">
        <f>HYPERLINK("https://twitter.com/linseyhl1978/status/1217396994534256640","1217396994534256640")</f>
        <v>1217396994534256640</v>
      </c>
      <c r="F1644" s="14"/>
      <c r="G1644" s="14"/>
      <c r="H1644" s="14"/>
      <c r="I1644" s="15">
        <v>0.0</v>
      </c>
      <c r="J1644" s="15">
        <v>0.0</v>
      </c>
      <c r="K1644" s="12" t="str">
        <f>HYPERLINK("http://twitter.com/download/android","Twitter for Android")</f>
        <v>Twitter for Android</v>
      </c>
      <c r="L1644" s="16">
        <v>1387.0</v>
      </c>
      <c r="M1644" s="16">
        <v>3873.0</v>
      </c>
      <c r="N1644" s="16">
        <v>5.0</v>
      </c>
      <c r="O1644" s="17"/>
      <c r="P1644" s="18">
        <v>42232.499826388885</v>
      </c>
      <c r="Q1644" s="1" t="s">
        <v>7752</v>
      </c>
      <c r="R1644" s="1" t="s">
        <v>7753</v>
      </c>
      <c r="S1644" s="14"/>
      <c r="T1644" s="14"/>
      <c r="U1644" s="19" t="str">
        <f>HYPERLINK("https://pbs.twimg.com/profile_images/1189834529428660226/9_E97nkq.jpg","View")</f>
        <v>View</v>
      </c>
      <c r="V1644" s="14"/>
      <c r="W1644" s="14"/>
      <c r="X1644" s="14"/>
      <c r="Y1644" s="14"/>
      <c r="Z1644" s="14"/>
    </row>
    <row r="1645">
      <c r="A1645" s="11">
        <v>43845.23784722222</v>
      </c>
      <c r="B1645" s="12" t="str">
        <f>HYPERLINK("https://twitter.com/salivatesting","@salivatesting")</f>
        <v>@salivatesting</v>
      </c>
      <c r="C1645" s="1" t="s">
        <v>5022</v>
      </c>
      <c r="D1645" s="1" t="s">
        <v>7754</v>
      </c>
      <c r="E1645" s="12" t="str">
        <f>HYPERLINK("https://twitter.com/salivatesting/status/1217396633463209984","1217396633463209984")</f>
        <v>1217396633463209984</v>
      </c>
      <c r="F1645" s="13" t="s">
        <v>7565</v>
      </c>
      <c r="G1645" s="14"/>
      <c r="H1645" s="14"/>
      <c r="I1645" s="15">
        <v>1.0</v>
      </c>
      <c r="J1645" s="15">
        <v>1.0</v>
      </c>
      <c r="K1645" s="12" t="str">
        <f>HYPERLINK("http://twitter.com","Twitter Web Client")</f>
        <v>Twitter Web Client</v>
      </c>
      <c r="L1645" s="16">
        <v>529.0</v>
      </c>
      <c r="M1645" s="16">
        <v>1075.0</v>
      </c>
      <c r="N1645" s="16">
        <v>23.0</v>
      </c>
      <c r="O1645" s="17"/>
      <c r="P1645" s="18">
        <v>41611.938935185186</v>
      </c>
      <c r="Q1645" s="1" t="s">
        <v>5026</v>
      </c>
      <c r="R1645" s="1" t="s">
        <v>5027</v>
      </c>
      <c r="S1645" s="13" t="s">
        <v>5028</v>
      </c>
      <c r="T1645" s="14"/>
      <c r="U1645" s="19" t="str">
        <f>HYPERLINK("https://pbs.twimg.com/profile_images/423399669775867905/6n7MsiGC.jpeg","View")</f>
        <v>View</v>
      </c>
      <c r="V1645" s="14"/>
      <c r="W1645" s="14"/>
      <c r="X1645" s="14"/>
      <c r="Y1645" s="14"/>
      <c r="Z1645" s="14"/>
    </row>
    <row r="1646">
      <c r="A1646" s="11">
        <v>43845.2375</v>
      </c>
      <c r="B1646" s="12" t="str">
        <f>HYPERLINK("https://twitter.com/annetteyoung","@annetteyoung")</f>
        <v>@annetteyoung</v>
      </c>
      <c r="C1646" s="1" t="s">
        <v>7755</v>
      </c>
      <c r="D1646" s="1" t="s">
        <v>7756</v>
      </c>
      <c r="E1646" s="12" t="str">
        <f>HYPERLINK("https://twitter.com/annetteyoung/status/1217396507558715392","1217396507558715392")</f>
        <v>1217396507558715392</v>
      </c>
      <c r="F1646" s="13" t="s">
        <v>7757</v>
      </c>
      <c r="G1646" s="14"/>
      <c r="H1646" s="14"/>
      <c r="I1646" s="15">
        <v>1.0</v>
      </c>
      <c r="J1646" s="15">
        <v>0.0</v>
      </c>
      <c r="K1646" s="12" t="str">
        <f>HYPERLINK("http://twitter.com/download/android","Twitter for Android")</f>
        <v>Twitter for Android</v>
      </c>
      <c r="L1646" s="16">
        <v>19383.0</v>
      </c>
      <c r="M1646" s="16">
        <v>19154.0</v>
      </c>
      <c r="N1646" s="16">
        <v>618.0</v>
      </c>
      <c r="O1646" s="17"/>
      <c r="P1646" s="18">
        <v>39797.20513888889</v>
      </c>
      <c r="Q1646" s="1" t="s">
        <v>2331</v>
      </c>
      <c r="R1646" s="1" t="s">
        <v>7758</v>
      </c>
      <c r="S1646" s="13" t="s">
        <v>7759</v>
      </c>
      <c r="T1646" s="14"/>
      <c r="U1646" s="19" t="str">
        <f>HYPERLINK("https://pbs.twimg.com/profile_images/1210950361097396230/sUiQvCIa.jpg","View")</f>
        <v>View</v>
      </c>
      <c r="V1646" s="14"/>
      <c r="W1646" s="14"/>
      <c r="X1646" s="14"/>
      <c r="Y1646" s="14"/>
      <c r="Z1646" s="14"/>
    </row>
    <row r="1647">
      <c r="A1647" s="11">
        <v>43845.22927083333</v>
      </c>
      <c r="B1647" s="12" t="str">
        <f>HYPERLINK("https://twitter.com/MeetIsaak","@MeetIsaak")</f>
        <v>@MeetIsaak</v>
      </c>
      <c r="C1647" s="1" t="s">
        <v>7760</v>
      </c>
      <c r="D1647" s="1" t="s">
        <v>7761</v>
      </c>
      <c r="E1647" s="12" t="str">
        <f>HYPERLINK("https://twitter.com/MeetIsaak/status/1217393524850733056","1217393524850733056")</f>
        <v>1217393524850733056</v>
      </c>
      <c r="F1647" s="14"/>
      <c r="G1647" s="13" t="s">
        <v>7762</v>
      </c>
      <c r="H1647" s="14"/>
      <c r="I1647" s="15">
        <v>0.0</v>
      </c>
      <c r="J1647" s="15">
        <v>0.0</v>
      </c>
      <c r="K1647" s="12" t="str">
        <f>HYPERLINK("https://buffer.com","Buffer")</f>
        <v>Buffer</v>
      </c>
      <c r="L1647" s="16">
        <v>4328.0</v>
      </c>
      <c r="M1647" s="16">
        <v>4488.0</v>
      </c>
      <c r="N1647" s="16">
        <v>121.0</v>
      </c>
      <c r="O1647" s="17"/>
      <c r="P1647" s="18">
        <v>42166.57564814815</v>
      </c>
      <c r="Q1647" s="1" t="s">
        <v>268</v>
      </c>
      <c r="R1647" s="1" t="s">
        <v>7763</v>
      </c>
      <c r="S1647" s="13" t="s">
        <v>7764</v>
      </c>
      <c r="T1647" s="14"/>
      <c r="U1647" s="19" t="str">
        <f>HYPERLINK("https://pbs.twimg.com/profile_images/1100798145745879040/haHTzW9F.png","View")</f>
        <v>View</v>
      </c>
      <c r="V1647" s="14"/>
      <c r="W1647" s="14"/>
      <c r="X1647" s="14"/>
      <c r="Y1647" s="14"/>
      <c r="Z1647" s="14"/>
    </row>
    <row r="1648">
      <c r="A1648" s="11">
        <v>43845.21888888889</v>
      </c>
      <c r="B1648" s="12" t="str">
        <f>HYPERLINK("https://twitter.com/myClevertouch","@myClevertouch")</f>
        <v>@myClevertouch</v>
      </c>
      <c r="C1648" s="1" t="s">
        <v>7765</v>
      </c>
      <c r="D1648" s="1" t="s">
        <v>7766</v>
      </c>
      <c r="E1648" s="12" t="str">
        <f>HYPERLINK("https://twitter.com/myClevertouch/status/1217389765772836865","1217389765772836865")</f>
        <v>1217389765772836865</v>
      </c>
      <c r="F1648" s="13" t="s">
        <v>7767</v>
      </c>
      <c r="G1648" s="13" t="s">
        <v>7768</v>
      </c>
      <c r="H1648" s="14"/>
      <c r="I1648" s="15">
        <v>3.0</v>
      </c>
      <c r="J1648" s="15">
        <v>1.0</v>
      </c>
      <c r="K1648" s="12" t="str">
        <f>HYPERLINK("https://smarterqueue.com","SmarterQueue")</f>
        <v>SmarterQueue</v>
      </c>
      <c r="L1648" s="16">
        <v>3154.0</v>
      </c>
      <c r="M1648" s="16">
        <v>2462.0</v>
      </c>
      <c r="N1648" s="16">
        <v>140.0</v>
      </c>
      <c r="O1648" s="17"/>
      <c r="P1648" s="18">
        <v>41614.15306712963</v>
      </c>
      <c r="Q1648" s="1" t="s">
        <v>342</v>
      </c>
      <c r="R1648" s="1" t="s">
        <v>7769</v>
      </c>
      <c r="S1648" s="13" t="s">
        <v>7770</v>
      </c>
      <c r="T1648" s="14"/>
      <c r="U1648" s="19" t="str">
        <f>HYPERLINK("https://pbs.twimg.com/profile_images/1148631175143002112/NV1Z8M4b.png","View")</f>
        <v>View</v>
      </c>
      <c r="V1648" s="14"/>
      <c r="W1648" s="14"/>
      <c r="X1648" s="14"/>
      <c r="Y1648" s="14"/>
      <c r="Z1648" s="14"/>
    </row>
    <row r="1649">
      <c r="A1649" s="11">
        <v>43845.21261574074</v>
      </c>
      <c r="B1649" s="12" t="str">
        <f>HYPERLINK("https://twitter.com/RumblesOfSteel","@RumblesOfSteel")</f>
        <v>@RumblesOfSteel</v>
      </c>
      <c r="C1649" s="1" t="s">
        <v>7771</v>
      </c>
      <c r="D1649" s="1" t="s">
        <v>7772</v>
      </c>
      <c r="E1649" s="12" t="str">
        <f>HYPERLINK("https://twitter.com/RumblesOfSteel/status/1217387489364717569","1217387489364717569")</f>
        <v>1217387489364717569</v>
      </c>
      <c r="F1649" s="13" t="s">
        <v>3400</v>
      </c>
      <c r="G1649" s="14"/>
      <c r="H1649" s="14"/>
      <c r="I1649" s="15">
        <v>5.0</v>
      </c>
      <c r="J1649" s="15">
        <v>5.0</v>
      </c>
      <c r="K1649" s="12" t="str">
        <f>HYPERLINK("http://twitter.com/download/android","Twitter for Android")</f>
        <v>Twitter for Android</v>
      </c>
      <c r="L1649" s="16">
        <v>464.0</v>
      </c>
      <c r="M1649" s="16">
        <v>1370.0</v>
      </c>
      <c r="N1649" s="16">
        <v>23.0</v>
      </c>
      <c r="O1649" s="17"/>
      <c r="P1649" s="18">
        <v>42582.5921412037</v>
      </c>
      <c r="Q1649" s="1" t="s">
        <v>268</v>
      </c>
      <c r="R1649" s="1" t="s">
        <v>7773</v>
      </c>
      <c r="S1649" s="14"/>
      <c r="T1649" s="14"/>
      <c r="U1649" s="19" t="str">
        <f>HYPERLINK("https://pbs.twimg.com/profile_images/1010898930526285825/h5w39vTw.jpg","View")</f>
        <v>View</v>
      </c>
      <c r="V1649" s="14"/>
      <c r="W1649" s="14"/>
      <c r="X1649" s="14"/>
      <c r="Y1649" s="14"/>
      <c r="Z1649" s="14"/>
    </row>
    <row r="1650">
      <c r="A1650" s="11">
        <v>43845.21258101852</v>
      </c>
      <c r="B1650" s="12" t="str">
        <f>HYPERLINK("https://twitter.com/swcoaching","@swcoaching")</f>
        <v>@swcoaching</v>
      </c>
      <c r="C1650" s="1" t="s">
        <v>7774</v>
      </c>
      <c r="D1650" s="1" t="s">
        <v>7775</v>
      </c>
      <c r="E1650" s="12" t="str">
        <f>HYPERLINK("https://twitter.com/swcoaching/status/1217387478685863936","1217387478685863936")</f>
        <v>1217387478685863936</v>
      </c>
      <c r="F1650" s="13" t="s">
        <v>7776</v>
      </c>
      <c r="G1650" s="14"/>
      <c r="H1650" s="14"/>
      <c r="I1650" s="15">
        <v>0.0</v>
      </c>
      <c r="J1650" s="15">
        <v>0.0</v>
      </c>
      <c r="K1650" s="12" t="str">
        <f>HYPERLINK("http://twitter.com","Twitter Web Client")</f>
        <v>Twitter Web Client</v>
      </c>
      <c r="L1650" s="16">
        <v>556.0</v>
      </c>
      <c r="M1650" s="16">
        <v>1232.0</v>
      </c>
      <c r="N1650" s="16">
        <v>13.0</v>
      </c>
      <c r="O1650" s="17"/>
      <c r="P1650" s="18">
        <v>40088.43759259259</v>
      </c>
      <c r="Q1650" s="1" t="s">
        <v>3395</v>
      </c>
      <c r="R1650" s="1" t="s">
        <v>7777</v>
      </c>
      <c r="S1650" s="13" t="s">
        <v>7778</v>
      </c>
      <c r="T1650" s="14"/>
      <c r="U1650" s="19" t="str">
        <f>HYPERLINK("https://pbs.twimg.com/profile_images/3429336386/f220dc1320d7fceb531575e6dbe53cbd.jpeg","View")</f>
        <v>View</v>
      </c>
      <c r="V1650" s="14"/>
      <c r="W1650" s="14"/>
      <c r="X1650" s="14"/>
      <c r="Y1650" s="14"/>
      <c r="Z1650" s="14"/>
    </row>
    <row r="1651">
      <c r="A1651" s="11">
        <v>43845.21041666667</v>
      </c>
      <c r="B1651" s="12" t="str">
        <f>HYPERLINK("https://twitter.com/HJAHousingLaw","@HJAHousingLaw")</f>
        <v>@HJAHousingLaw</v>
      </c>
      <c r="C1651" s="1" t="s">
        <v>4999</v>
      </c>
      <c r="D1651" s="1" t="s">
        <v>7779</v>
      </c>
      <c r="E1651" s="12" t="str">
        <f>HYPERLINK("https://twitter.com/HJAHousingLaw/status/1217386694112096256","1217386694112096256")</f>
        <v>1217386694112096256</v>
      </c>
      <c r="F1651" s="13" t="s">
        <v>7780</v>
      </c>
      <c r="G1651" s="14"/>
      <c r="H1651" s="14"/>
      <c r="I1651" s="15">
        <v>0.0</v>
      </c>
      <c r="J1651" s="15">
        <v>1.0</v>
      </c>
      <c r="K1651" s="12" t="str">
        <f>HYPERLINK("https://mobile.twitter.com","Twitter Web App")</f>
        <v>Twitter Web App</v>
      </c>
      <c r="L1651" s="16">
        <v>963.0</v>
      </c>
      <c r="M1651" s="16">
        <v>343.0</v>
      </c>
      <c r="N1651" s="16">
        <v>24.0</v>
      </c>
      <c r="O1651" s="17"/>
      <c r="P1651" s="18">
        <v>40683.410150462965</v>
      </c>
      <c r="Q1651" s="1" t="s">
        <v>5002</v>
      </c>
      <c r="R1651" s="1" t="s">
        <v>5003</v>
      </c>
      <c r="S1651" s="13" t="s">
        <v>5004</v>
      </c>
      <c r="T1651" s="14"/>
      <c r="U1651" s="19" t="str">
        <f>HYPERLINK("https://pbs.twimg.com/profile_images/959446119842484224/65jsJaUx.jpg","View")</f>
        <v>View</v>
      </c>
      <c r="V1651" s="14"/>
      <c r="W1651" s="14"/>
      <c r="X1651" s="14"/>
      <c r="Y1651" s="14"/>
      <c r="Z1651" s="14"/>
    </row>
    <row r="1652">
      <c r="A1652" s="11">
        <v>43845.20909722222</v>
      </c>
      <c r="B1652" s="12" t="str">
        <f>HYPERLINK("https://twitter.com/COME_outreach","@COME_outreach")</f>
        <v>@COME_outreach</v>
      </c>
      <c r="C1652" s="1" t="s">
        <v>3408</v>
      </c>
      <c r="D1652" s="1" t="s">
        <v>7781</v>
      </c>
      <c r="E1652" s="12" t="str">
        <f>HYPERLINK("https://twitter.com/COME_outreach/status/1217386215474855938","1217386215474855938")</f>
        <v>1217386215474855938</v>
      </c>
      <c r="F1652" s="14"/>
      <c r="G1652" s="13" t="s">
        <v>7782</v>
      </c>
      <c r="H1652" s="14"/>
      <c r="I1652" s="15">
        <v>1.0</v>
      </c>
      <c r="J1652" s="15">
        <v>1.0</v>
      </c>
      <c r="K1652" s="12" t="str">
        <f>HYPERLINK("https://www.later.com","LaterMedia")</f>
        <v>LaterMedia</v>
      </c>
      <c r="L1652" s="16">
        <v>122.0</v>
      </c>
      <c r="M1652" s="16">
        <v>285.0</v>
      </c>
      <c r="N1652" s="16">
        <v>23.0</v>
      </c>
      <c r="O1652" s="17"/>
      <c r="P1652" s="18">
        <v>42603.736608796295</v>
      </c>
      <c r="Q1652" s="1" t="s">
        <v>3411</v>
      </c>
      <c r="R1652" s="1" t="s">
        <v>3412</v>
      </c>
      <c r="S1652" s="13" t="s">
        <v>3413</v>
      </c>
      <c r="T1652" s="14"/>
      <c r="U1652" s="19" t="str">
        <f>HYPERLINK("https://pbs.twimg.com/profile_images/1168633618807345152/1n9w7b3P.jpg","View")</f>
        <v>View</v>
      </c>
      <c r="V1652" s="14"/>
      <c r="W1652" s="14"/>
      <c r="X1652" s="14"/>
      <c r="Y1652" s="14"/>
      <c r="Z1652" s="14"/>
    </row>
    <row r="1653">
      <c r="A1653" s="11">
        <v>43845.204780092594</v>
      </c>
      <c r="B1653" s="12" t="str">
        <f>HYPERLINK("https://twitter.com/eclectic1","@eclectic1")</f>
        <v>@eclectic1</v>
      </c>
      <c r="C1653" s="1" t="s">
        <v>7783</v>
      </c>
      <c r="D1653" s="1" t="s">
        <v>7784</v>
      </c>
      <c r="E1653" s="12" t="str">
        <f>HYPERLINK("https://twitter.com/eclectic1/status/1217384650303295488","1217384650303295488")</f>
        <v>1217384650303295488</v>
      </c>
      <c r="F1653" s="13" t="s">
        <v>7785</v>
      </c>
      <c r="G1653" s="13" t="s">
        <v>7786</v>
      </c>
      <c r="H1653" s="14"/>
      <c r="I1653" s="15">
        <v>0.0</v>
      </c>
      <c r="J1653" s="15">
        <v>0.0</v>
      </c>
      <c r="K1653" s="12" t="str">
        <f>HYPERLINK("http://www.edgetheory.com","EdgeTheory")</f>
        <v>EdgeTheory</v>
      </c>
      <c r="L1653" s="16">
        <v>833.0</v>
      </c>
      <c r="M1653" s="16">
        <v>1141.0</v>
      </c>
      <c r="N1653" s="16">
        <v>109.0</v>
      </c>
      <c r="O1653" s="17"/>
      <c r="P1653" s="18">
        <v>39761.97483796296</v>
      </c>
      <c r="Q1653" s="1" t="s">
        <v>2546</v>
      </c>
      <c r="R1653" s="1" t="s">
        <v>7787</v>
      </c>
      <c r="S1653" s="14"/>
      <c r="T1653" s="14"/>
      <c r="U1653" s="19" t="str">
        <f>HYPERLINK("https://pbs.twimg.com/profile_images/800508005108301826/aCa1_Q9o.jpg","View")</f>
        <v>View</v>
      </c>
      <c r="V1653" s="14"/>
      <c r="W1653" s="14"/>
      <c r="X1653" s="14"/>
      <c r="Y1653" s="14"/>
      <c r="Z1653" s="14"/>
    </row>
    <row r="1654">
      <c r="A1654" s="11">
        <v>43845.20476851852</v>
      </c>
      <c r="B1654" s="12" t="str">
        <f>HYPERLINK("https://twitter.com/lifesortedapp","@lifesortedapp")</f>
        <v>@lifesortedapp</v>
      </c>
      <c r="C1654" s="1" t="s">
        <v>5684</v>
      </c>
      <c r="D1654" s="1" t="s">
        <v>7788</v>
      </c>
      <c r="E1654" s="12" t="str">
        <f>HYPERLINK("https://twitter.com/lifesortedapp/status/1217384648390729728","1217384648390729728")</f>
        <v>1217384648390729728</v>
      </c>
      <c r="F1654" s="13" t="s">
        <v>7789</v>
      </c>
      <c r="G1654" s="13" t="s">
        <v>7790</v>
      </c>
      <c r="H1654" s="14"/>
      <c r="I1654" s="15">
        <v>0.0</v>
      </c>
      <c r="J1654" s="15">
        <v>0.0</v>
      </c>
      <c r="K1654" s="12" t="str">
        <f>HYPERLINK("https://missinglettr.com","Missinglettr")</f>
        <v>Missinglettr</v>
      </c>
      <c r="L1654" s="16">
        <v>6.0</v>
      </c>
      <c r="M1654" s="16">
        <v>0.0</v>
      </c>
      <c r="N1654" s="16">
        <v>0.0</v>
      </c>
      <c r="O1654" s="17"/>
      <c r="P1654" s="18">
        <v>42831.26565972222</v>
      </c>
      <c r="Q1654" s="14"/>
      <c r="R1654" s="14"/>
      <c r="S1654" s="14"/>
      <c r="T1654" s="14"/>
      <c r="U1654" s="19" t="str">
        <f>HYPERLINK("https://pbs.twimg.com/profile_images/849930867367583744/A52pt3eN.jpg","View")</f>
        <v>View</v>
      </c>
      <c r="V1654" s="14"/>
      <c r="W1654" s="14"/>
      <c r="X1654" s="14"/>
      <c r="Y1654" s="14"/>
      <c r="Z1654" s="14"/>
    </row>
    <row r="1655">
      <c r="A1655" s="11">
        <v>43845.20175925926</v>
      </c>
      <c r="B1655" s="12" t="str">
        <f>HYPERLINK("https://twitter.com/ahomeideas","@ahomeideas")</f>
        <v>@ahomeideas</v>
      </c>
      <c r="C1655" s="1" t="s">
        <v>7791</v>
      </c>
      <c r="D1655" s="1" t="s">
        <v>7792</v>
      </c>
      <c r="E1655" s="12" t="str">
        <f>HYPERLINK("https://twitter.com/ahomeideas/status/1217383558064623616","1217383558064623616")</f>
        <v>1217383558064623616</v>
      </c>
      <c r="F1655" s="13" t="s">
        <v>7793</v>
      </c>
      <c r="G1655" s="14"/>
      <c r="H1655" s="14"/>
      <c r="I1655" s="15">
        <v>0.0</v>
      </c>
      <c r="J1655" s="15">
        <v>0.0</v>
      </c>
      <c r="K1655" s="12" t="str">
        <f>HYPERLINK("https://ifttt.com","IFTTT")</f>
        <v>IFTTT</v>
      </c>
      <c r="L1655" s="16">
        <v>92.0</v>
      </c>
      <c r="M1655" s="16">
        <v>17.0</v>
      </c>
      <c r="N1655" s="16">
        <v>0.0</v>
      </c>
      <c r="O1655" s="17"/>
      <c r="P1655" s="18">
        <v>43099.12719907408</v>
      </c>
      <c r="Q1655" s="14"/>
      <c r="R1655" s="1" t="s">
        <v>7794</v>
      </c>
      <c r="S1655" s="14"/>
      <c r="T1655" s="14"/>
      <c r="U1655" s="19" t="str">
        <f>HYPERLINK("https://pbs.twimg.com/profile_images/947015958404755457/XZaKeTsa.jpg","View")</f>
        <v>View</v>
      </c>
      <c r="V1655" s="14"/>
      <c r="W1655" s="14"/>
      <c r="X1655" s="14"/>
      <c r="Y1655" s="14"/>
      <c r="Z1655" s="14"/>
    </row>
    <row r="1656">
      <c r="A1656" s="11">
        <v>43845.20138888889</v>
      </c>
      <c r="B1656" s="12" t="str">
        <f>HYPERLINK("https://twitter.com/VolActionLeeds","@VolActionLeeds")</f>
        <v>@VolActionLeeds</v>
      </c>
      <c r="C1656" s="1" t="s">
        <v>7795</v>
      </c>
      <c r="D1656" s="1" t="s">
        <v>7796</v>
      </c>
      <c r="E1656" s="12" t="str">
        <f>HYPERLINK("https://twitter.com/VolActionLeeds/status/1217383421510594560","1217383421510594560")</f>
        <v>1217383421510594560</v>
      </c>
      <c r="F1656" s="13" t="s">
        <v>7797</v>
      </c>
      <c r="G1656" s="13" t="s">
        <v>7798</v>
      </c>
      <c r="H1656" s="14"/>
      <c r="I1656" s="15">
        <v>1.0</v>
      </c>
      <c r="J1656" s="15">
        <v>0.0</v>
      </c>
      <c r="K1656" s="12" t="str">
        <f>HYPERLINK("https://about.twitter.com/products/tweetdeck","TweetDeck")</f>
        <v>TweetDeck</v>
      </c>
      <c r="L1656" s="16">
        <v>5588.0</v>
      </c>
      <c r="M1656" s="16">
        <v>785.0</v>
      </c>
      <c r="N1656" s="16">
        <v>0.0</v>
      </c>
      <c r="O1656" s="17"/>
      <c r="P1656" s="18">
        <v>41113.139710648145</v>
      </c>
      <c r="Q1656" s="1" t="s">
        <v>7799</v>
      </c>
      <c r="R1656" s="1" t="s">
        <v>7800</v>
      </c>
      <c r="S1656" s="13" t="s">
        <v>7801</v>
      </c>
      <c r="T1656" s="14"/>
      <c r="U1656" s="19" t="str">
        <f>HYPERLINK("https://pbs.twimg.com/profile_images/1093131679575785472/OYNcVt4m.jpg","View")</f>
        <v>View</v>
      </c>
      <c r="V1656" s="14"/>
      <c r="W1656" s="14"/>
      <c r="X1656" s="14"/>
      <c r="Y1656" s="14"/>
      <c r="Z1656" s="14"/>
    </row>
    <row r="1657">
      <c r="A1657" s="11">
        <v>43845.19976851852</v>
      </c>
      <c r="B1657" s="12" t="str">
        <f>HYPERLINK("https://twitter.com/swcoaching","@swcoaching")</f>
        <v>@swcoaching</v>
      </c>
      <c r="C1657" s="1" t="s">
        <v>7774</v>
      </c>
      <c r="D1657" s="1" t="s">
        <v>7802</v>
      </c>
      <c r="E1657" s="12" t="str">
        <f>HYPERLINK("https://twitter.com/swcoaching/status/1217382834710536193","1217382834710536193")</f>
        <v>1217382834710536193</v>
      </c>
      <c r="F1657" s="13" t="s">
        <v>7803</v>
      </c>
      <c r="G1657" s="14"/>
      <c r="H1657" s="14"/>
      <c r="I1657" s="15">
        <v>0.0</v>
      </c>
      <c r="J1657" s="15">
        <v>0.0</v>
      </c>
      <c r="K1657" s="12" t="str">
        <f>HYPERLINK("http://twitter.com","Twitter Web Client")</f>
        <v>Twitter Web Client</v>
      </c>
      <c r="L1657" s="16">
        <v>556.0</v>
      </c>
      <c r="M1657" s="16">
        <v>1232.0</v>
      </c>
      <c r="N1657" s="16">
        <v>13.0</v>
      </c>
      <c r="O1657" s="17"/>
      <c r="P1657" s="18">
        <v>40088.43759259259</v>
      </c>
      <c r="Q1657" s="1" t="s">
        <v>3395</v>
      </c>
      <c r="R1657" s="1" t="s">
        <v>7777</v>
      </c>
      <c r="S1657" s="13" t="s">
        <v>7778</v>
      </c>
      <c r="T1657" s="14"/>
      <c r="U1657" s="19" t="str">
        <f>HYPERLINK("https://pbs.twimg.com/profile_images/3429336386/f220dc1320d7fceb531575e6dbe53cbd.jpeg","View")</f>
        <v>View</v>
      </c>
      <c r="V1657" s="14"/>
      <c r="W1657" s="14"/>
      <c r="X1657" s="14"/>
      <c r="Y1657" s="14"/>
      <c r="Z1657" s="14"/>
    </row>
    <row r="1658">
      <c r="A1658" s="11">
        <v>43845.194502314815</v>
      </c>
      <c r="B1658" s="12" t="str">
        <f>HYPERLINK("https://twitter.com/AnxietyUK","@AnxietyUK")</f>
        <v>@AnxietyUK</v>
      </c>
      <c r="C1658" s="1" t="s">
        <v>1420</v>
      </c>
      <c r="D1658" s="1" t="s">
        <v>7804</v>
      </c>
      <c r="E1658" s="12" t="str">
        <f>HYPERLINK("https://twitter.com/AnxietyUK/status/1217380925689954304","1217380925689954304")</f>
        <v>1217380925689954304</v>
      </c>
      <c r="F1658" s="14"/>
      <c r="G1658" s="14"/>
      <c r="H1658" s="14"/>
      <c r="I1658" s="15">
        <v>13.0</v>
      </c>
      <c r="J1658" s="15">
        <v>12.0</v>
      </c>
      <c r="K1658" s="12" t="str">
        <f>HYPERLINK("https://www.hootsuite.com","Hootsuite Inc.")</f>
        <v>Hootsuite Inc.</v>
      </c>
      <c r="L1658" s="16">
        <v>130198.0</v>
      </c>
      <c r="M1658" s="16">
        <v>2538.0</v>
      </c>
      <c r="N1658" s="16">
        <v>1114.0</v>
      </c>
      <c r="O1658" s="17"/>
      <c r="P1658" s="18">
        <v>39854.57107638889</v>
      </c>
      <c r="Q1658" s="1" t="s">
        <v>1423</v>
      </c>
      <c r="R1658" s="1" t="s">
        <v>1424</v>
      </c>
      <c r="S1658" s="13" t="s">
        <v>1425</v>
      </c>
      <c r="T1658" s="14"/>
      <c r="U1658" s="19" t="str">
        <f>HYPERLINK("https://pbs.twimg.com/profile_images/1184032569148485632/ARtaFKKO.jpg","View")</f>
        <v>View</v>
      </c>
      <c r="V1658" s="14"/>
      <c r="W1658" s="14"/>
      <c r="X1658" s="14"/>
      <c r="Y1658" s="14"/>
      <c r="Z1658" s="14"/>
    </row>
    <row r="1659">
      <c r="A1659" s="11">
        <v>43845.19440972222</v>
      </c>
      <c r="B1659" s="12" t="str">
        <f>HYPERLINK("https://twitter.com/pschemist","@pschemist")</f>
        <v>@pschemist</v>
      </c>
      <c r="C1659" s="1" t="s">
        <v>3461</v>
      </c>
      <c r="D1659" s="1" t="s">
        <v>7805</v>
      </c>
      <c r="E1659" s="12" t="str">
        <f>HYPERLINK("https://twitter.com/pschemist/status/1217380892936720385","1217380892936720385")</f>
        <v>1217380892936720385</v>
      </c>
      <c r="F1659" s="14"/>
      <c r="G1659" s="13" t="s">
        <v>7806</v>
      </c>
      <c r="H1659" s="14"/>
      <c r="I1659" s="15">
        <v>0.0</v>
      </c>
      <c r="J1659" s="15">
        <v>0.0</v>
      </c>
      <c r="K1659" s="12" t="str">
        <f>HYPERLINK("https://mobile.twitter.com","Twitter Web App")</f>
        <v>Twitter Web App</v>
      </c>
      <c r="L1659" s="16">
        <v>1253.0</v>
      </c>
      <c r="M1659" s="16">
        <v>1034.0</v>
      </c>
      <c r="N1659" s="16">
        <v>14.0</v>
      </c>
      <c r="O1659" s="17"/>
      <c r="P1659" s="18">
        <v>41024.317291666666</v>
      </c>
      <c r="Q1659" s="1" t="s">
        <v>3464</v>
      </c>
      <c r="R1659" s="1" t="s">
        <v>3465</v>
      </c>
      <c r="S1659" s="13" t="s">
        <v>3466</v>
      </c>
      <c r="T1659" s="14"/>
      <c r="U1659" s="19" t="str">
        <f>HYPERLINK("https://pbs.twimg.com/profile_images/1055458765007392769/YUNE4sjc.jpg","View")</f>
        <v>View</v>
      </c>
      <c r="V1659" s="14"/>
      <c r="W1659" s="14"/>
      <c r="X1659" s="14"/>
      <c r="Y1659" s="14"/>
      <c r="Z1659" s="14"/>
    </row>
    <row r="1660">
      <c r="A1660" s="11">
        <v>43845.189733796295</v>
      </c>
      <c r="B1660" s="12" t="str">
        <f>HYPERLINK("https://twitter.com/ganggangg119","@ganggangg119")</f>
        <v>@ganggangg119</v>
      </c>
      <c r="C1660" s="1" t="s">
        <v>7807</v>
      </c>
      <c r="D1660" s="1" t="s">
        <v>7808</v>
      </c>
      <c r="E1660" s="12" t="str">
        <f>HYPERLINK("https://twitter.com/ganggangg119/status/1217379197368164352","1217379197368164352")</f>
        <v>1217379197368164352</v>
      </c>
      <c r="F1660" s="14"/>
      <c r="G1660" s="13" t="s">
        <v>7809</v>
      </c>
      <c r="H1660" s="14"/>
      <c r="I1660" s="15">
        <v>0.0</v>
      </c>
      <c r="J1660" s="15">
        <v>3.0</v>
      </c>
      <c r="K1660" s="12" t="str">
        <f>HYPERLINK("http://twitter.com/download/android","Twitter for Android")</f>
        <v>Twitter for Android</v>
      </c>
      <c r="L1660" s="16">
        <v>6.0</v>
      </c>
      <c r="M1660" s="16">
        <v>26.0</v>
      </c>
      <c r="N1660" s="16">
        <v>0.0</v>
      </c>
      <c r="O1660" s="17"/>
      <c r="P1660" s="18">
        <v>43604.270648148144</v>
      </c>
      <c r="Q1660" s="14"/>
      <c r="R1660" s="1" t="s">
        <v>7810</v>
      </c>
      <c r="S1660" s="14"/>
      <c r="T1660" s="14"/>
      <c r="U1660" s="19" t="str">
        <f>HYPERLINK("https://pbs.twimg.com/profile_images/1217380471492886528/Da1QZvLs.jpg","View")</f>
        <v>View</v>
      </c>
      <c r="V1660" s="14"/>
      <c r="W1660" s="14"/>
      <c r="X1660" s="14"/>
      <c r="Y1660" s="14"/>
      <c r="Z1660" s="14"/>
    </row>
    <row r="1661">
      <c r="A1661" s="11">
        <v>43845.187673611115</v>
      </c>
      <c r="B1661" s="12" t="str">
        <f>HYPERLINK("https://twitter.com/EXDDesign","@EXDDesign")</f>
        <v>@EXDDesign</v>
      </c>
      <c r="C1661" s="1" t="s">
        <v>7811</v>
      </c>
      <c r="D1661" s="1" t="s">
        <v>7812</v>
      </c>
      <c r="E1661" s="12" t="str">
        <f>HYPERLINK("https://twitter.com/EXDDesign/status/1217378450882924545","1217378450882924545")</f>
        <v>1217378450882924545</v>
      </c>
      <c r="F1661" s="13" t="s">
        <v>7813</v>
      </c>
      <c r="G1661" s="13" t="s">
        <v>7814</v>
      </c>
      <c r="H1661" s="14"/>
      <c r="I1661" s="15">
        <v>3.0</v>
      </c>
      <c r="J1661" s="15">
        <v>2.0</v>
      </c>
      <c r="K1661" s="12" t="str">
        <f>HYPERLINK("https://smartpostapp.com","Smart Post App")</f>
        <v>Smart Post App</v>
      </c>
      <c r="L1661" s="16">
        <v>4857.0</v>
      </c>
      <c r="M1661" s="16">
        <v>5253.0</v>
      </c>
      <c r="N1661" s="16">
        <v>47.0</v>
      </c>
      <c r="O1661" s="17"/>
      <c r="P1661" s="18">
        <v>42212.554398148146</v>
      </c>
      <c r="Q1661" s="1" t="s">
        <v>7815</v>
      </c>
      <c r="R1661" s="1" t="s">
        <v>7816</v>
      </c>
      <c r="S1661" s="13" t="s">
        <v>7813</v>
      </c>
      <c r="T1661" s="14"/>
      <c r="U1661" s="19" t="str">
        <f>HYPERLINK("https://pbs.twimg.com/profile_images/793025264607518722/4dLu_-iX.jpg","View")</f>
        <v>View</v>
      </c>
      <c r="V1661" s="14"/>
      <c r="W1661" s="14"/>
      <c r="X1661" s="14"/>
      <c r="Y1661" s="14"/>
      <c r="Z1661" s="14"/>
    </row>
    <row r="1662">
      <c r="A1662" s="11">
        <v>43845.18611111111</v>
      </c>
      <c r="B1662" s="12" t="str">
        <f>HYPERLINK("https://twitter.com/BrauerAus","@BrauerAus")</f>
        <v>@BrauerAus</v>
      </c>
      <c r="C1662" s="1" t="s">
        <v>6004</v>
      </c>
      <c r="D1662" s="1" t="s">
        <v>7817</v>
      </c>
      <c r="E1662" s="12" t="str">
        <f>HYPERLINK("https://twitter.com/BrauerAus/status/1217377886778413057","1217377886778413057")</f>
        <v>1217377886778413057</v>
      </c>
      <c r="F1662" s="13" t="s">
        <v>7818</v>
      </c>
      <c r="G1662" s="13" t="s">
        <v>7819</v>
      </c>
      <c r="H1662" s="14"/>
      <c r="I1662" s="15">
        <v>0.0</v>
      </c>
      <c r="J1662" s="15">
        <v>0.0</v>
      </c>
      <c r="K1662" s="12" t="str">
        <f>HYPERLINK("http://www.hubspot.com/","HubSpot")</f>
        <v>HubSpot</v>
      </c>
      <c r="L1662" s="16">
        <v>705.0</v>
      </c>
      <c r="M1662" s="16">
        <v>1001.0</v>
      </c>
      <c r="N1662" s="16">
        <v>126.0</v>
      </c>
      <c r="O1662" s="17"/>
      <c r="P1662" s="18">
        <v>40927.179444444446</v>
      </c>
      <c r="Q1662" s="1" t="s">
        <v>51</v>
      </c>
      <c r="R1662" s="1" t="s">
        <v>6008</v>
      </c>
      <c r="S1662" s="13" t="s">
        <v>6009</v>
      </c>
      <c r="T1662" s="14"/>
      <c r="U1662" s="19" t="str">
        <f>HYPERLINK("https://pbs.twimg.com/profile_images/1128462921661435904/YpJbR3vz.png","View")</f>
        <v>View</v>
      </c>
      <c r="V1662" s="14"/>
      <c r="W1662" s="14"/>
      <c r="X1662" s="14"/>
      <c r="Y1662" s="14"/>
      <c r="Z1662" s="14"/>
    </row>
    <row r="1663">
      <c r="A1663" s="11">
        <v>43845.1834375</v>
      </c>
      <c r="B1663" s="12" t="str">
        <f>HYPERLINK("https://twitter.com/buckets_of_tea","@buckets_of_tea")</f>
        <v>@buckets_of_tea</v>
      </c>
      <c r="C1663" s="1" t="s">
        <v>3659</v>
      </c>
      <c r="D1663" s="1" t="s">
        <v>7820</v>
      </c>
      <c r="E1663" s="12" t="str">
        <f>HYPERLINK("https://twitter.com/buckets_of_tea/status/1217376915453030400","1217376915453030400")</f>
        <v>1217376915453030400</v>
      </c>
      <c r="F1663" s="13" t="s">
        <v>7821</v>
      </c>
      <c r="G1663" s="13" t="s">
        <v>7822</v>
      </c>
      <c r="H1663" s="14"/>
      <c r="I1663" s="15">
        <v>0.0</v>
      </c>
      <c r="J1663" s="15">
        <v>0.0</v>
      </c>
      <c r="K1663" s="12" t="str">
        <f>HYPERLINK("https://www.socialoomph.com","SocialOomph")</f>
        <v>SocialOomph</v>
      </c>
      <c r="L1663" s="16">
        <v>5136.0</v>
      </c>
      <c r="M1663" s="16">
        <v>2140.0</v>
      </c>
      <c r="N1663" s="16">
        <v>513.0</v>
      </c>
      <c r="O1663" s="17"/>
      <c r="P1663" s="18">
        <v>41389.51627314815</v>
      </c>
      <c r="Q1663" s="1" t="s">
        <v>3264</v>
      </c>
      <c r="R1663" s="1" t="s">
        <v>3663</v>
      </c>
      <c r="S1663" s="13" t="s">
        <v>3664</v>
      </c>
      <c r="T1663" s="14"/>
      <c r="U1663" s="19" t="str">
        <f>HYPERLINK("https://pbs.twimg.com/profile_images/1213521384149786624/cYLzrnhd.jpg","View")</f>
        <v>View</v>
      </c>
      <c r="V1663" s="14"/>
      <c r="W1663" s="14"/>
      <c r="X1663" s="14"/>
      <c r="Y1663" s="14"/>
      <c r="Z1663" s="14"/>
    </row>
    <row r="1664">
      <c r="A1664" s="11">
        <v>43845.18263888889</v>
      </c>
      <c r="B1664" s="12" t="str">
        <f>HYPERLINK("https://twitter.com/APainPrincess","@APainPrincess")</f>
        <v>@APainPrincess</v>
      </c>
      <c r="C1664" s="1" t="s">
        <v>7823</v>
      </c>
      <c r="D1664" s="1" t="s">
        <v>7824</v>
      </c>
      <c r="E1664" s="12" t="str">
        <f>HYPERLINK("https://twitter.com/APainPrincess/status/1217376628386467841","1217376628386467841")</f>
        <v>1217376628386467841</v>
      </c>
      <c r="F1664" s="13" t="s">
        <v>7825</v>
      </c>
      <c r="G1664" s="14"/>
      <c r="H1664" s="14"/>
      <c r="I1664" s="15">
        <v>10.0</v>
      </c>
      <c r="J1664" s="15">
        <v>47.0</v>
      </c>
      <c r="K1664" s="12" t="str">
        <f>HYPERLINK("https://buffer.com","Buffer")</f>
        <v>Buffer</v>
      </c>
      <c r="L1664" s="16">
        <v>20352.0</v>
      </c>
      <c r="M1664" s="16">
        <v>21454.0</v>
      </c>
      <c r="N1664" s="16">
        <v>363.0</v>
      </c>
      <c r="O1664" s="17"/>
      <c r="P1664" s="18">
        <v>41221.41792824074</v>
      </c>
      <c r="Q1664" s="1" t="s">
        <v>7826</v>
      </c>
      <c r="R1664" s="1" t="s">
        <v>7827</v>
      </c>
      <c r="S1664" s="13" t="s">
        <v>7828</v>
      </c>
      <c r="T1664" s="14"/>
      <c r="U1664" s="19" t="str">
        <f>HYPERLINK("https://pbs.twimg.com/profile_images/499454704401661952/YUUtHJFH.jpeg","View")</f>
        <v>View</v>
      </c>
      <c r="V1664" s="14"/>
      <c r="W1664" s="14"/>
      <c r="X1664" s="14"/>
      <c r="Y1664" s="14"/>
      <c r="Z1664" s="14"/>
    </row>
    <row r="1665">
      <c r="A1665" s="11">
        <v>43845.179027777776</v>
      </c>
      <c r="B1665" s="12" t="str">
        <f>HYPERLINK("https://twitter.com/therawrainbow","@therawrainbow")</f>
        <v>@therawrainbow</v>
      </c>
      <c r="C1665" s="1" t="s">
        <v>1365</v>
      </c>
      <c r="D1665" s="1" t="s">
        <v>1366</v>
      </c>
      <c r="E1665" s="12" t="str">
        <f>HYPERLINK("https://twitter.com/therawrainbow/status/1217375320996810752","1217375320996810752")</f>
        <v>1217375320996810752</v>
      </c>
      <c r="F1665" s="13" t="s">
        <v>1367</v>
      </c>
      <c r="G1665" s="13" t="s">
        <v>7829</v>
      </c>
      <c r="H1665" s="14"/>
      <c r="I1665" s="15">
        <v>1.0</v>
      </c>
      <c r="J1665" s="15">
        <v>4.0</v>
      </c>
      <c r="K1665" s="12" t="str">
        <f t="shared" ref="K1665:K1666" si="162">HYPERLINK("http://twitter.com/download/iphone","Twitter for iPhone")</f>
        <v>Twitter for iPhone</v>
      </c>
      <c r="L1665" s="16">
        <v>150.0</v>
      </c>
      <c r="M1665" s="16">
        <v>17.0</v>
      </c>
      <c r="N1665" s="16">
        <v>112.0</v>
      </c>
      <c r="O1665" s="17"/>
      <c r="P1665" s="18">
        <v>42219.45300925926</v>
      </c>
      <c r="Q1665" s="1" t="s">
        <v>268</v>
      </c>
      <c r="R1665" s="1" t="s">
        <v>1369</v>
      </c>
      <c r="S1665" s="13" t="s">
        <v>1367</v>
      </c>
      <c r="T1665" s="14"/>
      <c r="U1665" s="19" t="str">
        <f>HYPERLINK("https://pbs.twimg.com/profile_images/628219046991908864/zKJx4dmP.jpg","View")</f>
        <v>View</v>
      </c>
      <c r="V1665" s="14"/>
      <c r="W1665" s="14"/>
      <c r="X1665" s="14"/>
      <c r="Y1665" s="14"/>
      <c r="Z1665" s="14"/>
    </row>
    <row r="1666">
      <c r="A1666" s="11">
        <v>43845.17883101852</v>
      </c>
      <c r="B1666" s="12" t="str">
        <f>HYPERLINK("https://twitter.com/rikidavies1","@rikidavies1")</f>
        <v>@rikidavies1</v>
      </c>
      <c r="C1666" s="1" t="s">
        <v>1372</v>
      </c>
      <c r="D1666" s="1" t="s">
        <v>1366</v>
      </c>
      <c r="E1666" s="12" t="str">
        <f>HYPERLINK("https://twitter.com/rikidavies1/status/1217375247504154624","1217375247504154624")</f>
        <v>1217375247504154624</v>
      </c>
      <c r="F1666" s="13" t="s">
        <v>1373</v>
      </c>
      <c r="G1666" s="13" t="s">
        <v>7830</v>
      </c>
      <c r="H1666" s="14"/>
      <c r="I1666" s="15">
        <v>0.0</v>
      </c>
      <c r="J1666" s="15">
        <v>1.0</v>
      </c>
      <c r="K1666" s="12" t="str">
        <f t="shared" si="162"/>
        <v>Twitter for iPhone</v>
      </c>
      <c r="L1666" s="16">
        <v>325.0</v>
      </c>
      <c r="M1666" s="16">
        <v>377.0</v>
      </c>
      <c r="N1666" s="16">
        <v>100.0</v>
      </c>
      <c r="O1666" s="17"/>
      <c r="P1666" s="18">
        <v>41072.61628472222</v>
      </c>
      <c r="Q1666" s="1" t="s">
        <v>342</v>
      </c>
      <c r="R1666" s="1" t="s">
        <v>1375</v>
      </c>
      <c r="S1666" s="13" t="s">
        <v>1376</v>
      </c>
      <c r="T1666" s="14"/>
      <c r="U1666" s="19" t="str">
        <f>HYPERLINK("https://pbs.twimg.com/profile_images/2302574368/b6tu6ogl3vs4m4f75y4o.png","View")</f>
        <v>View</v>
      </c>
      <c r="V1666" s="14"/>
      <c r="W1666" s="14"/>
      <c r="X1666" s="14"/>
      <c r="Y1666" s="14"/>
      <c r="Z1666" s="14"/>
    </row>
    <row r="1667">
      <c r="A1667" s="11">
        <v>43845.17228009259</v>
      </c>
      <c r="B1667" s="12" t="str">
        <f>HYPERLINK("https://twitter.com/ChaplaincyYSJU","@ChaplaincyYSJU")</f>
        <v>@ChaplaincyYSJU</v>
      </c>
      <c r="C1667" s="1" t="s">
        <v>7831</v>
      </c>
      <c r="D1667" s="1" t="s">
        <v>7832</v>
      </c>
      <c r="E1667" s="12" t="str">
        <f>HYPERLINK("https://twitter.com/ChaplaincyYSJU/status/1217372873884684289","1217372873884684289")</f>
        <v>1217372873884684289</v>
      </c>
      <c r="F1667" s="14"/>
      <c r="G1667" s="13" t="s">
        <v>7833</v>
      </c>
      <c r="H1667" s="14"/>
      <c r="I1667" s="15">
        <v>1.0</v>
      </c>
      <c r="J1667" s="15">
        <v>1.0</v>
      </c>
      <c r="K1667" s="12" t="str">
        <f>HYPERLINK("https://mobile.twitter.com","Twitter Web App")</f>
        <v>Twitter Web App</v>
      </c>
      <c r="L1667" s="16">
        <v>398.0</v>
      </c>
      <c r="M1667" s="16">
        <v>424.0</v>
      </c>
      <c r="N1667" s="16">
        <v>7.0</v>
      </c>
      <c r="O1667" s="17"/>
      <c r="P1667" s="18">
        <v>42067.32070601852</v>
      </c>
      <c r="Q1667" s="1" t="s">
        <v>7834</v>
      </c>
      <c r="R1667" s="1" t="s">
        <v>7835</v>
      </c>
      <c r="S1667" s="13" t="s">
        <v>7836</v>
      </c>
      <c r="T1667" s="14"/>
      <c r="U1667" s="19" t="str">
        <f>HYPERLINK("https://pbs.twimg.com/profile_images/1143453676419321857/Rnx__j1m.png","View")</f>
        <v>View</v>
      </c>
      <c r="V1667" s="14"/>
      <c r="W1667" s="14"/>
      <c r="X1667" s="14"/>
      <c r="Y1667" s="14"/>
      <c r="Z1667" s="14"/>
    </row>
    <row r="1668">
      <c r="A1668" s="11">
        <v>43845.167025462964</v>
      </c>
      <c r="B1668" s="12" t="str">
        <f>HYPERLINK("https://twitter.com/ChakraCorporate","@ChakraCorporate")</f>
        <v>@ChakraCorporate</v>
      </c>
      <c r="C1668" s="1" t="s">
        <v>7837</v>
      </c>
      <c r="D1668" s="1" t="s">
        <v>7838</v>
      </c>
      <c r="E1668" s="12" t="str">
        <f>HYPERLINK("https://twitter.com/ChakraCorporate/status/1217370969284673537","1217370969284673537")</f>
        <v>1217370969284673537</v>
      </c>
      <c r="F1668" s="14"/>
      <c r="G1668" s="13" t="s">
        <v>7839</v>
      </c>
      <c r="H1668" s="14"/>
      <c r="I1668" s="15">
        <v>0.0</v>
      </c>
      <c r="J1668" s="15">
        <v>0.0</v>
      </c>
      <c r="K1668" s="12" t="str">
        <f>HYPERLINK("https://www.hootsuite.com","Hootsuite Inc.")</f>
        <v>Hootsuite Inc.</v>
      </c>
      <c r="L1668" s="16">
        <v>492.0</v>
      </c>
      <c r="M1668" s="16">
        <v>1015.0</v>
      </c>
      <c r="N1668" s="16">
        <v>8.0</v>
      </c>
      <c r="O1668" s="17"/>
      <c r="P1668" s="18">
        <v>42599.5777662037</v>
      </c>
      <c r="Q1668" s="1" t="s">
        <v>4884</v>
      </c>
      <c r="R1668" s="1" t="s">
        <v>7840</v>
      </c>
      <c r="S1668" s="13" t="s">
        <v>7841</v>
      </c>
      <c r="T1668" s="14"/>
      <c r="U1668" s="19" t="str">
        <f>HYPERLINK("https://pbs.twimg.com/profile_images/1002186060040998913/Zi3dRsDe.jpg","View")</f>
        <v>View</v>
      </c>
      <c r="V1668" s="14"/>
      <c r="W1668" s="14"/>
      <c r="X1668" s="14"/>
      <c r="Y1668" s="14"/>
      <c r="Z1668" s="14"/>
    </row>
    <row r="1669">
      <c r="A1669" s="11">
        <v>43845.166979166665</v>
      </c>
      <c r="B1669" s="12" t="str">
        <f>HYPERLINK("https://twitter.com/GinLalli","@GinLalli")</f>
        <v>@GinLalli</v>
      </c>
      <c r="C1669" s="1" t="s">
        <v>7842</v>
      </c>
      <c r="D1669" s="1" t="s">
        <v>7843</v>
      </c>
      <c r="E1669" s="12" t="str">
        <f>HYPERLINK("https://twitter.com/GinLalli/status/1217370953384185857","1217370953384185857")</f>
        <v>1217370953384185857</v>
      </c>
      <c r="F1669" s="13" t="s">
        <v>7844</v>
      </c>
      <c r="G1669" s="14"/>
      <c r="H1669" s="14"/>
      <c r="I1669" s="15">
        <v>1.0</v>
      </c>
      <c r="J1669" s="15">
        <v>5.0</v>
      </c>
      <c r="K1669" s="12" t="str">
        <f>HYPERLINK("https://socialbee.io/","SocialBee.io v2")</f>
        <v>SocialBee.io v2</v>
      </c>
      <c r="L1669" s="16">
        <v>334.0</v>
      </c>
      <c r="M1669" s="16">
        <v>371.0</v>
      </c>
      <c r="N1669" s="16">
        <v>2.0</v>
      </c>
      <c r="O1669" s="17"/>
      <c r="P1669" s="18">
        <v>43266.48836805555</v>
      </c>
      <c r="Q1669" s="1" t="s">
        <v>5663</v>
      </c>
      <c r="R1669" s="1" t="s">
        <v>7845</v>
      </c>
      <c r="S1669" s="13" t="s">
        <v>7846</v>
      </c>
      <c r="T1669" s="14"/>
      <c r="U1669" s="19" t="str">
        <f>HYPERLINK("https://pbs.twimg.com/profile_images/1078404567015088133/FSS5F0XO.jpg","View")</f>
        <v>View</v>
      </c>
      <c r="V1669" s="14"/>
      <c r="W1669" s="14"/>
      <c r="X1669" s="14"/>
      <c r="Y1669" s="14"/>
      <c r="Z1669" s="14"/>
    </row>
    <row r="1670">
      <c r="A1670" s="11">
        <v>43845.166967592595</v>
      </c>
      <c r="B1670" s="12" t="str">
        <f>HYPERLINK("https://twitter.com/TTBerkshire","@TTBerkshire")</f>
        <v>@TTBerkshire</v>
      </c>
      <c r="C1670" s="1" t="s">
        <v>5377</v>
      </c>
      <c r="D1670" s="1" t="s">
        <v>7847</v>
      </c>
      <c r="E1670" s="12" t="str">
        <f>HYPERLINK("https://twitter.com/TTBerkshire/status/1217370947763699713","1217370947763699713")</f>
        <v>1217370947763699713</v>
      </c>
      <c r="F1670" s="14"/>
      <c r="G1670" s="13" t="s">
        <v>7848</v>
      </c>
      <c r="H1670" s="14"/>
      <c r="I1670" s="15">
        <v>0.0</v>
      </c>
      <c r="J1670" s="15">
        <v>0.0</v>
      </c>
      <c r="K1670" s="12" t="str">
        <f>HYPERLINK("https://orlo.tech","Orlo")</f>
        <v>Orlo</v>
      </c>
      <c r="L1670" s="16">
        <v>1064.0</v>
      </c>
      <c r="M1670" s="16">
        <v>453.0</v>
      </c>
      <c r="N1670" s="16">
        <v>14.0</v>
      </c>
      <c r="O1670" s="17"/>
      <c r="P1670" s="18">
        <v>41768.21959490741</v>
      </c>
      <c r="Q1670" s="1" t="s">
        <v>5381</v>
      </c>
      <c r="R1670" s="1" t="s">
        <v>5382</v>
      </c>
      <c r="S1670" s="13" t="s">
        <v>5383</v>
      </c>
      <c r="T1670" s="14"/>
      <c r="U1670" s="19" t="str">
        <f>HYPERLINK("https://pbs.twimg.com/profile_images/894936860375515136/4zGSlG2B.jpg","View")</f>
        <v>View</v>
      </c>
      <c r="V1670" s="14"/>
      <c r="W1670" s="14"/>
      <c r="X1670" s="14"/>
      <c r="Y1670" s="14"/>
      <c r="Z1670" s="14"/>
    </row>
    <row r="1671">
      <c r="A1671" s="11">
        <v>43845.16666666667</v>
      </c>
      <c r="B1671" s="12" t="str">
        <f>HYPERLINK("https://twitter.com/21st_child","@21st_child")</f>
        <v>@21st_child</v>
      </c>
      <c r="C1671" s="1" t="s">
        <v>7849</v>
      </c>
      <c r="D1671" s="1" t="s">
        <v>7850</v>
      </c>
      <c r="E1671" s="12" t="str">
        <f>HYPERLINK("https://twitter.com/21st_child/status/1217370838808309760","1217370838808309760")</f>
        <v>1217370838808309760</v>
      </c>
      <c r="F1671" s="14"/>
      <c r="G1671" s="14"/>
      <c r="H1671" s="14"/>
      <c r="I1671" s="15">
        <v>0.0</v>
      </c>
      <c r="J1671" s="15">
        <v>2.0</v>
      </c>
      <c r="K1671" s="12" t="str">
        <f>HYPERLINK("http://twitter.com/download/iphone","Twitter for iPhone")</f>
        <v>Twitter for iPhone</v>
      </c>
      <c r="L1671" s="16">
        <v>73.0</v>
      </c>
      <c r="M1671" s="16">
        <v>193.0</v>
      </c>
      <c r="N1671" s="16">
        <v>0.0</v>
      </c>
      <c r="O1671" s="17"/>
      <c r="P1671" s="18">
        <v>43762.31254629629</v>
      </c>
      <c r="Q1671" s="14"/>
      <c r="R1671" s="1" t="s">
        <v>7851</v>
      </c>
      <c r="S1671" s="14"/>
      <c r="T1671" s="14"/>
      <c r="U1671" s="19" t="str">
        <f>HYPERLINK("https://pbs.twimg.com/profile_images/1187336936589058050/tYM4pFjU.jpg","View")</f>
        <v>View</v>
      </c>
      <c r="V1671" s="14"/>
      <c r="W1671" s="14"/>
      <c r="X1671" s="14"/>
      <c r="Y1671" s="14"/>
      <c r="Z1671" s="14"/>
    </row>
    <row r="1672">
      <c r="A1672" s="11">
        <v>43845.160150462965</v>
      </c>
      <c r="B1672" s="12" t="str">
        <f>HYPERLINK("https://twitter.com/MummyMatters","@MummyMatters")</f>
        <v>@MummyMatters</v>
      </c>
      <c r="C1672" s="1" t="s">
        <v>7852</v>
      </c>
      <c r="D1672" s="1" t="s">
        <v>7853</v>
      </c>
      <c r="E1672" s="12" t="str">
        <f>HYPERLINK("https://twitter.com/MummyMatters/status/1217368480078553088","1217368480078553088")</f>
        <v>1217368480078553088</v>
      </c>
      <c r="F1672" s="13" t="s">
        <v>7854</v>
      </c>
      <c r="G1672" s="13" t="s">
        <v>7855</v>
      </c>
      <c r="H1672" s="14"/>
      <c r="I1672" s="15">
        <v>1.0</v>
      </c>
      <c r="J1672" s="15">
        <v>0.0</v>
      </c>
      <c r="K1672" s="12" t="str">
        <f>HYPERLINK("https://missinglettr.com","Missinglettr")</f>
        <v>Missinglettr</v>
      </c>
      <c r="L1672" s="16">
        <v>9904.0</v>
      </c>
      <c r="M1672" s="16">
        <v>1129.0</v>
      </c>
      <c r="N1672" s="16">
        <v>202.0</v>
      </c>
      <c r="O1672" s="17"/>
      <c r="P1672" s="18">
        <v>40067.37957175926</v>
      </c>
      <c r="Q1672" s="1" t="s">
        <v>7856</v>
      </c>
      <c r="R1672" s="1" t="s">
        <v>7857</v>
      </c>
      <c r="S1672" s="13" t="s">
        <v>7858</v>
      </c>
      <c r="T1672" s="14"/>
      <c r="U1672" s="19" t="str">
        <f>HYPERLINK("https://pbs.twimg.com/profile_images/830180040100966403/TiTdhw40.jpg","View")</f>
        <v>View</v>
      </c>
      <c r="V1672" s="14"/>
      <c r="W1672" s="14"/>
      <c r="X1672" s="14"/>
      <c r="Y1672" s="14"/>
      <c r="Z1672" s="14"/>
    </row>
    <row r="1673">
      <c r="A1673" s="11">
        <v>43845.15991898148</v>
      </c>
      <c r="B1673" s="12" t="str">
        <f>HYPERLINK("https://twitter.com/5bestthing","@5bestthing")</f>
        <v>@5bestthing</v>
      </c>
      <c r="C1673" s="13" t="s">
        <v>7859</v>
      </c>
      <c r="D1673" s="1" t="s">
        <v>7860</v>
      </c>
      <c r="E1673" s="12" t="str">
        <f>HYPERLINK("https://twitter.com/5bestthing/status/1217368394376404999","1217368394376404999")</f>
        <v>1217368394376404999</v>
      </c>
      <c r="F1673" s="13" t="s">
        <v>7861</v>
      </c>
      <c r="G1673" s="14"/>
      <c r="H1673" s="14"/>
      <c r="I1673" s="15">
        <v>0.0</v>
      </c>
      <c r="J1673" s="15">
        <v>0.0</v>
      </c>
      <c r="K1673" s="12" t="str">
        <f>HYPERLINK("https://mobile.twitter.com","Twitter Web App")</f>
        <v>Twitter Web App</v>
      </c>
      <c r="L1673" s="16">
        <v>52663.0</v>
      </c>
      <c r="M1673" s="16">
        <v>50182.0</v>
      </c>
      <c r="N1673" s="16">
        <v>1684.0</v>
      </c>
      <c r="O1673" s="17"/>
      <c r="P1673" s="18">
        <v>40759.9549537037</v>
      </c>
      <c r="Q1673" s="14"/>
      <c r="R1673" s="1" t="s">
        <v>7862</v>
      </c>
      <c r="S1673" s="13" t="s">
        <v>7863</v>
      </c>
      <c r="T1673" s="14"/>
      <c r="U1673" s="19" t="str">
        <f>HYPERLINK("https://pbs.twimg.com/profile_images/477220992637358082/d3Tb9wRd.jpeg","View")</f>
        <v>View</v>
      </c>
      <c r="V1673" s="14"/>
      <c r="W1673" s="14"/>
      <c r="X1673" s="14"/>
      <c r="Y1673" s="14"/>
      <c r="Z1673" s="14"/>
    </row>
    <row r="1674">
      <c r="A1674" s="11">
        <v>43845.15835648148</v>
      </c>
      <c r="B1674" s="12" t="str">
        <f>HYPERLINK("https://twitter.com/uktimefairy","@uktimefairy")</f>
        <v>@uktimefairy</v>
      </c>
      <c r="C1674" s="1" t="s">
        <v>7864</v>
      </c>
      <c r="D1674" s="1" t="s">
        <v>7865</v>
      </c>
      <c r="E1674" s="12" t="str">
        <f>HYPERLINK("https://twitter.com/uktimefairy/status/1217367827683926016","1217367827683926016")</f>
        <v>1217367827683926016</v>
      </c>
      <c r="F1674" s="14"/>
      <c r="G1674" s="13" t="s">
        <v>7866</v>
      </c>
      <c r="H1674" s="14"/>
      <c r="I1674" s="15">
        <v>0.0</v>
      </c>
      <c r="J1674" s="15">
        <v>0.0</v>
      </c>
      <c r="K1674" s="12" t="str">
        <f>HYPERLINK("https://buffer.com","Buffer")</f>
        <v>Buffer</v>
      </c>
      <c r="L1674" s="16">
        <v>654.0</v>
      </c>
      <c r="M1674" s="16">
        <v>495.0</v>
      </c>
      <c r="N1674" s="16">
        <v>37.0</v>
      </c>
      <c r="O1674" s="17"/>
      <c r="P1674" s="18">
        <v>41922.290300925924</v>
      </c>
      <c r="Q1674" s="1" t="s">
        <v>7867</v>
      </c>
      <c r="R1674" s="1" t="s">
        <v>7868</v>
      </c>
      <c r="S1674" s="13" t="s">
        <v>7869</v>
      </c>
      <c r="T1674" s="14"/>
      <c r="U1674" s="19" t="str">
        <f>HYPERLINK("https://pbs.twimg.com/profile_images/1174603096133111809/igbuPCVI.jpg","View")</f>
        <v>View</v>
      </c>
      <c r="V1674" s="14"/>
      <c r="W1674" s="14"/>
      <c r="X1674" s="14"/>
      <c r="Y1674" s="14"/>
      <c r="Z1674" s="14"/>
    </row>
    <row r="1675">
      <c r="A1675" s="11">
        <v>43845.15789351852</v>
      </c>
      <c r="B1675" s="12" t="str">
        <f>HYPERLINK("https://twitter.com/JayneLinney","@JayneLinney")</f>
        <v>@JayneLinney</v>
      </c>
      <c r="C1675" s="1" t="s">
        <v>7870</v>
      </c>
      <c r="D1675" s="1" t="s">
        <v>7871</v>
      </c>
      <c r="E1675" s="12" t="str">
        <f>HYPERLINK("https://twitter.com/JayneLinney/status/1217367659328589824","1217367659328589824")</f>
        <v>1217367659328589824</v>
      </c>
      <c r="F1675" s="13" t="s">
        <v>7872</v>
      </c>
      <c r="G1675" s="14"/>
      <c r="H1675" s="14"/>
      <c r="I1675" s="15">
        <v>2.0</v>
      </c>
      <c r="J1675" s="15">
        <v>1.0</v>
      </c>
      <c r="K1675" s="12" t="str">
        <f>HYPERLINK("http://twitter.com","Twitter Web Client")</f>
        <v>Twitter Web Client</v>
      </c>
      <c r="L1675" s="16">
        <v>4306.0</v>
      </c>
      <c r="M1675" s="16">
        <v>3917.0</v>
      </c>
      <c r="N1675" s="16">
        <v>114.0</v>
      </c>
      <c r="O1675" s="17"/>
      <c r="P1675" s="18">
        <v>40914.302824074075</v>
      </c>
      <c r="Q1675" s="1" t="s">
        <v>7873</v>
      </c>
      <c r="R1675" s="1" t="s">
        <v>7874</v>
      </c>
      <c r="S1675" s="13" t="s">
        <v>7875</v>
      </c>
      <c r="T1675" s="14"/>
      <c r="U1675" s="19" t="str">
        <f>HYPERLINK("https://pbs.twimg.com/profile_images/1090250983207305216/4A8Ueiiq.jpg","View")</f>
        <v>View</v>
      </c>
      <c r="V1675" s="14"/>
      <c r="W1675" s="14"/>
      <c r="X1675" s="14"/>
      <c r="Y1675" s="14"/>
      <c r="Z1675" s="14"/>
    </row>
    <row r="1676">
      <c r="A1676" s="11">
        <v>43845.156331018516</v>
      </c>
      <c r="B1676" s="12" t="str">
        <f>HYPERLINK("https://twitter.com/thestressclinic","@thestressclinic")</f>
        <v>@thestressclinic</v>
      </c>
      <c r="C1676" s="1" t="s">
        <v>282</v>
      </c>
      <c r="D1676" s="1" t="s">
        <v>7876</v>
      </c>
      <c r="E1676" s="12" t="str">
        <f>HYPERLINK("https://twitter.com/thestressclinic/status/1217367092862820352","1217367092862820352")</f>
        <v>1217367092862820352</v>
      </c>
      <c r="F1676" s="14"/>
      <c r="G1676" s="14"/>
      <c r="H1676" s="14"/>
      <c r="I1676" s="15">
        <v>0.0</v>
      </c>
      <c r="J1676" s="15">
        <v>0.0</v>
      </c>
      <c r="K1676" s="12" t="str">
        <f>HYPERLINK("https://www.hootsuite.com","Hootsuite Inc.")</f>
        <v>Hootsuite Inc.</v>
      </c>
      <c r="L1676" s="16">
        <v>548.0</v>
      </c>
      <c r="M1676" s="16">
        <v>148.0</v>
      </c>
      <c r="N1676" s="16">
        <v>21.0</v>
      </c>
      <c r="O1676" s="17"/>
      <c r="P1676" s="18">
        <v>40837.51666666666</v>
      </c>
      <c r="Q1676" s="1" t="s">
        <v>284</v>
      </c>
      <c r="R1676" s="1" t="s">
        <v>285</v>
      </c>
      <c r="S1676" s="13" t="s">
        <v>286</v>
      </c>
      <c r="T1676" s="14"/>
      <c r="U1676" s="19" t="str">
        <f>HYPERLINK("https://pbs.twimg.com/profile_images/1786841943/RelaxButton.jpg","View")</f>
        <v>View</v>
      </c>
      <c r="V1676" s="14"/>
      <c r="W1676" s="14"/>
      <c r="X1676" s="14"/>
      <c r="Y1676" s="14"/>
      <c r="Z1676" s="14"/>
    </row>
    <row r="1677">
      <c r="A1677" s="11">
        <v>43845.14965277778</v>
      </c>
      <c r="B1677" s="12" t="str">
        <f>HYPERLINK("https://twitter.com/ashishrbedekar","@ashishrbedekar")</f>
        <v>@ashishrbedekar</v>
      </c>
      <c r="C1677" s="1" t="s">
        <v>7877</v>
      </c>
      <c r="D1677" s="1" t="s">
        <v>7509</v>
      </c>
      <c r="E1677" s="12" t="str">
        <f>HYPERLINK("https://twitter.com/ashishrbedekar/status/1217364672049008640","1217364672049008640")</f>
        <v>1217364672049008640</v>
      </c>
      <c r="F1677" s="1" t="s">
        <v>7510</v>
      </c>
      <c r="G1677" s="14"/>
      <c r="H1677" s="14"/>
      <c r="I1677" s="15">
        <v>1.0</v>
      </c>
      <c r="J1677" s="15">
        <v>0.0</v>
      </c>
      <c r="K1677" s="12" t="str">
        <f>HYPERLINK("http://twinybots.com","TwinyBots")</f>
        <v>TwinyBots</v>
      </c>
      <c r="L1677" s="16">
        <v>2726.0</v>
      </c>
      <c r="M1677" s="16">
        <v>5005.0</v>
      </c>
      <c r="N1677" s="16">
        <v>172.0</v>
      </c>
      <c r="O1677" s="17"/>
      <c r="P1677" s="18">
        <v>39844.105717592596</v>
      </c>
      <c r="Q1677" s="1" t="s">
        <v>7878</v>
      </c>
      <c r="R1677" s="1" t="s">
        <v>7879</v>
      </c>
      <c r="S1677" s="13" t="s">
        <v>7880</v>
      </c>
      <c r="T1677" s="14"/>
      <c r="U1677" s="19" t="str">
        <f>HYPERLINK("https://pbs.twimg.com/profile_images/499050855379660800/uaCUHvfh.jpeg","View")</f>
        <v>View</v>
      </c>
      <c r="V1677" s="14"/>
      <c r="W1677" s="14"/>
      <c r="X1677" s="14"/>
      <c r="Y1677" s="14"/>
      <c r="Z1677" s="14"/>
    </row>
    <row r="1678">
      <c r="A1678" s="11">
        <v>43845.14841435185</v>
      </c>
      <c r="B1678" s="12" t="str">
        <f>HYPERLINK("https://twitter.com/NormaEsler","@NormaEsler")</f>
        <v>@NormaEsler</v>
      </c>
      <c r="C1678" s="1" t="s">
        <v>7881</v>
      </c>
      <c r="D1678" s="1" t="s">
        <v>7882</v>
      </c>
      <c r="E1678" s="12" t="str">
        <f>HYPERLINK("https://twitter.com/NormaEsler/status/1217364225296949249","1217364225296949249")</f>
        <v>1217364225296949249</v>
      </c>
      <c r="F1678" s="13" t="s">
        <v>7883</v>
      </c>
      <c r="G1678" s="13" t="s">
        <v>7884</v>
      </c>
      <c r="H1678" s="14"/>
      <c r="I1678" s="15">
        <v>0.0</v>
      </c>
      <c r="J1678" s="15">
        <v>0.0</v>
      </c>
      <c r="K1678" s="12" t="str">
        <f>HYPERLINK("https://missinglettr.com","Missinglettr")</f>
        <v>Missinglettr</v>
      </c>
      <c r="L1678" s="16">
        <v>106.0</v>
      </c>
      <c r="M1678" s="16">
        <v>225.0</v>
      </c>
      <c r="N1678" s="16">
        <v>3.0</v>
      </c>
      <c r="O1678" s="17"/>
      <c r="P1678" s="18">
        <v>42328.496145833335</v>
      </c>
      <c r="Q1678" s="14"/>
      <c r="R1678" s="14"/>
      <c r="S1678" s="13" t="s">
        <v>7885</v>
      </c>
      <c r="T1678" s="14"/>
      <c r="U1678" s="19" t="str">
        <f>HYPERLINK("https://pbs.twimg.com/profile_images/667748618669981696/Fsvmx-FC.jpg","View")</f>
        <v>View</v>
      </c>
      <c r="V1678" s="14"/>
      <c r="W1678" s="14"/>
      <c r="X1678" s="14"/>
      <c r="Y1678" s="14"/>
      <c r="Z1678" s="14"/>
    </row>
    <row r="1679">
      <c r="A1679" s="11">
        <v>43845.145995370374</v>
      </c>
      <c r="B1679" s="12" t="str">
        <f>HYPERLINK("https://twitter.com/CraigHeimbichn1","@CraigHeimbichn1")</f>
        <v>@CraigHeimbichn1</v>
      </c>
      <c r="C1679" s="1" t="s">
        <v>7886</v>
      </c>
      <c r="D1679" s="1" t="s">
        <v>7887</v>
      </c>
      <c r="E1679" s="12" t="str">
        <f>HYPERLINK("https://twitter.com/CraigHeimbichn1/status/1217363350096498689","1217363350096498689")</f>
        <v>1217363350096498689</v>
      </c>
      <c r="F1679" s="14"/>
      <c r="G1679" s="13" t="s">
        <v>7888</v>
      </c>
      <c r="H1679" s="14"/>
      <c r="I1679" s="15">
        <v>0.0</v>
      </c>
      <c r="J1679" s="15">
        <v>1.0</v>
      </c>
      <c r="K1679" s="12" t="str">
        <f>HYPERLINK("http://twitter.com/download/iphone","Twitter for iPhone")</f>
        <v>Twitter for iPhone</v>
      </c>
      <c r="L1679" s="16">
        <v>2765.0</v>
      </c>
      <c r="M1679" s="16">
        <v>2360.0</v>
      </c>
      <c r="N1679" s="16">
        <v>76.0</v>
      </c>
      <c r="O1679" s="17"/>
      <c r="P1679" s="18">
        <v>41217.06030092593</v>
      </c>
      <c r="Q1679" s="1" t="s">
        <v>521</v>
      </c>
      <c r="R1679" s="1" t="s">
        <v>7889</v>
      </c>
      <c r="S1679" s="13" t="s">
        <v>7890</v>
      </c>
      <c r="T1679" s="14"/>
      <c r="U1679" s="19" t="str">
        <f>HYPERLINK("https://pbs.twimg.com/profile_images/1215831886695559169/a-OvSy_o.jpg","View")</f>
        <v>View</v>
      </c>
      <c r="V1679" s="14"/>
      <c r="W1679" s="14"/>
      <c r="X1679" s="14"/>
      <c r="Y1679" s="14"/>
      <c r="Z1679" s="14"/>
    </row>
    <row r="1680">
      <c r="A1680" s="11">
        <v>43845.1459837963</v>
      </c>
      <c r="B1680" s="12" t="str">
        <f>HYPERLINK("https://twitter.com/ibdrelief","@ibdrelief")</f>
        <v>@ibdrelief</v>
      </c>
      <c r="C1680" s="1" t="s">
        <v>7891</v>
      </c>
      <c r="D1680" s="1" t="s">
        <v>7892</v>
      </c>
      <c r="E1680" s="12" t="str">
        <f>HYPERLINK("https://twitter.com/ibdrelief/status/1217363346141470721","1217363346141470721")</f>
        <v>1217363346141470721</v>
      </c>
      <c r="F1680" s="14"/>
      <c r="G1680" s="13" t="s">
        <v>7893</v>
      </c>
      <c r="H1680" s="14"/>
      <c r="I1680" s="15">
        <v>0.0</v>
      </c>
      <c r="J1680" s="15">
        <v>3.0</v>
      </c>
      <c r="K1680" s="12" t="str">
        <f>HYPERLINK("https://www.hootsuite.com","Hootsuite Inc.")</f>
        <v>Hootsuite Inc.</v>
      </c>
      <c r="L1680" s="16">
        <v>3534.0</v>
      </c>
      <c r="M1680" s="16">
        <v>2443.0</v>
      </c>
      <c r="N1680" s="16">
        <v>66.0</v>
      </c>
      <c r="O1680" s="17"/>
      <c r="P1680" s="18">
        <v>42049.43976851852</v>
      </c>
      <c r="Q1680" s="1" t="s">
        <v>2125</v>
      </c>
      <c r="R1680" s="1" t="s">
        <v>7894</v>
      </c>
      <c r="S1680" s="13" t="s">
        <v>7895</v>
      </c>
      <c r="T1680" s="14"/>
      <c r="U1680" s="19" t="str">
        <f>HYPERLINK("https://pbs.twimg.com/profile_images/1140597836557537281/z_Cd0mu7.png","View")</f>
        <v>View</v>
      </c>
      <c r="V1680" s="14"/>
      <c r="W1680" s="14"/>
      <c r="X1680" s="14"/>
      <c r="Y1680" s="14"/>
      <c r="Z1680" s="14"/>
    </row>
    <row r="1681">
      <c r="A1681" s="11">
        <v>43845.14439814815</v>
      </c>
      <c r="B1681" s="12" t="str">
        <f>HYPERLINK("https://twitter.com/MikeKai31642287","@MikeKai31642287")</f>
        <v>@MikeKai31642287</v>
      </c>
      <c r="C1681" s="1" t="s">
        <v>7896</v>
      </c>
      <c r="D1681" s="1" t="s">
        <v>7897</v>
      </c>
      <c r="E1681" s="12" t="str">
        <f>HYPERLINK("https://twitter.com/MikeKai31642287/status/1217362769995014145","1217362769995014145")</f>
        <v>1217362769995014145</v>
      </c>
      <c r="F1681" s="13" t="s">
        <v>7898</v>
      </c>
      <c r="G1681" s="13" t="s">
        <v>7899</v>
      </c>
      <c r="H1681" s="14"/>
      <c r="I1681" s="15">
        <v>0.0</v>
      </c>
      <c r="J1681" s="15">
        <v>0.0</v>
      </c>
      <c r="K1681" s="12" t="str">
        <f>HYPERLINK("https://missinglettr.com","Missinglettr")</f>
        <v>Missinglettr</v>
      </c>
      <c r="L1681" s="16">
        <v>38.0</v>
      </c>
      <c r="M1681" s="16">
        <v>493.0</v>
      </c>
      <c r="N1681" s="16">
        <v>0.0</v>
      </c>
      <c r="O1681" s="17"/>
      <c r="P1681" s="18">
        <v>43480.5387037037</v>
      </c>
      <c r="Q1681" s="14"/>
      <c r="R1681" s="1" t="s">
        <v>7900</v>
      </c>
      <c r="S1681" s="13" t="s">
        <v>7901</v>
      </c>
      <c r="T1681" s="14"/>
      <c r="U1681" s="19" t="str">
        <f>HYPERLINK("https://pbs.twimg.com/profile_images/1085235787992489984/wDYg7PT_.jpg","View")</f>
        <v>View</v>
      </c>
      <c r="V1681" s="14"/>
      <c r="W1681" s="14"/>
      <c r="X1681" s="14"/>
      <c r="Y1681" s="14"/>
      <c r="Z1681" s="14"/>
    </row>
    <row r="1682">
      <c r="A1682" s="11">
        <v>43845.13847222222</v>
      </c>
      <c r="B1682" s="12" t="str">
        <f>HYPERLINK("https://twitter.com/Ashish__Bhalla","@Ashish__Bhalla")</f>
        <v>@Ashish__Bhalla</v>
      </c>
      <c r="C1682" s="1" t="s">
        <v>7902</v>
      </c>
      <c r="D1682" s="1" t="s">
        <v>7903</v>
      </c>
      <c r="E1682" s="12" t="str">
        <f>HYPERLINK("https://twitter.com/Ashish__Bhalla/status/1217360621685133312","1217360621685133312")</f>
        <v>1217360621685133312</v>
      </c>
      <c r="F1682" s="13" t="s">
        <v>7904</v>
      </c>
      <c r="G1682" s="13" t="s">
        <v>7905</v>
      </c>
      <c r="H1682" s="14"/>
      <c r="I1682" s="15">
        <v>0.0</v>
      </c>
      <c r="J1682" s="15">
        <v>0.0</v>
      </c>
      <c r="K1682" s="12" t="str">
        <f>HYPERLINK("https://ifttt.com","IFTTT")</f>
        <v>IFTTT</v>
      </c>
      <c r="L1682" s="16">
        <v>283.0</v>
      </c>
      <c r="M1682" s="16">
        <v>1688.0</v>
      </c>
      <c r="N1682" s="16">
        <v>3.0</v>
      </c>
      <c r="O1682" s="17"/>
      <c r="P1682" s="18">
        <v>43139.08148148148</v>
      </c>
      <c r="Q1682" s="1" t="s">
        <v>7906</v>
      </c>
      <c r="R1682" s="1" t="s">
        <v>7907</v>
      </c>
      <c r="S1682" s="14"/>
      <c r="T1682" s="14"/>
      <c r="U1682" s="19" t="str">
        <f>HYPERLINK("https://pbs.twimg.com/profile_images/961495127209533440/HhIqH55O.jpg","View")</f>
        <v>View</v>
      </c>
      <c r="V1682" s="14"/>
      <c r="W1682" s="14"/>
      <c r="X1682" s="14"/>
      <c r="Y1682" s="14"/>
      <c r="Z1682" s="14"/>
    </row>
    <row r="1683">
      <c r="A1683" s="11">
        <v>43845.13550925926</v>
      </c>
      <c r="B1683" s="12" t="str">
        <f>HYPERLINK("https://twitter.com/AcupunctureLINY","@AcupunctureLINY")</f>
        <v>@AcupunctureLINY</v>
      </c>
      <c r="C1683" s="1" t="s">
        <v>7908</v>
      </c>
      <c r="D1683" s="1" t="s">
        <v>7909</v>
      </c>
      <c r="E1683" s="12" t="str">
        <f>HYPERLINK("https://twitter.com/AcupunctureLINY/status/1217359548001980417","1217359548001980417")</f>
        <v>1217359548001980417</v>
      </c>
      <c r="F1683" s="13" t="s">
        <v>7910</v>
      </c>
      <c r="G1683" s="13" t="s">
        <v>7911</v>
      </c>
      <c r="H1683" s="14"/>
      <c r="I1683" s="15">
        <v>0.0</v>
      </c>
      <c r="J1683" s="15">
        <v>0.0</v>
      </c>
      <c r="K1683" s="12" t="str">
        <f>HYPERLINK("https://www.hootsuite.com","Hootsuite Inc.")</f>
        <v>Hootsuite Inc.</v>
      </c>
      <c r="L1683" s="16">
        <v>37.0</v>
      </c>
      <c r="M1683" s="16">
        <v>44.0</v>
      </c>
      <c r="N1683" s="16">
        <v>0.0</v>
      </c>
      <c r="O1683" s="17"/>
      <c r="P1683" s="18">
        <v>42346.06755787037</v>
      </c>
      <c r="Q1683" s="1" t="s">
        <v>7912</v>
      </c>
      <c r="R1683" s="1" t="s">
        <v>7913</v>
      </c>
      <c r="S1683" s="13" t="s">
        <v>7914</v>
      </c>
      <c r="T1683" s="14"/>
      <c r="U1683" s="19" t="str">
        <f>HYPERLINK("https://pbs.twimg.com/profile_images/1138873761816612865/g-RWXmEu.png","View")</f>
        <v>View</v>
      </c>
      <c r="V1683" s="14"/>
      <c r="W1683" s="14"/>
      <c r="X1683" s="14"/>
      <c r="Y1683" s="14"/>
      <c r="Z1683" s="14"/>
    </row>
    <row r="1684">
      <c r="A1684" s="11">
        <v>43845.13543981481</v>
      </c>
      <c r="B1684" s="12" t="str">
        <f>HYPERLINK("https://twitter.com/TrainingMindful","@TrainingMindful")</f>
        <v>@TrainingMindful</v>
      </c>
      <c r="C1684" s="1" t="s">
        <v>94</v>
      </c>
      <c r="D1684" s="1" t="s">
        <v>7915</v>
      </c>
      <c r="E1684" s="12" t="str">
        <f>HYPERLINK("https://twitter.com/TrainingMindful/status/1217359521590456321","1217359521590456321")</f>
        <v>1217359521590456321</v>
      </c>
      <c r="F1684" s="13" t="s">
        <v>2966</v>
      </c>
      <c r="G1684" s="14"/>
      <c r="H1684" s="14"/>
      <c r="I1684" s="15">
        <v>0.0</v>
      </c>
      <c r="J1684" s="15">
        <v>1.0</v>
      </c>
      <c r="K1684" s="12" t="str">
        <f>HYPERLINK("https://www.socialoomph.com","SocialOomph")</f>
        <v>SocialOomph</v>
      </c>
      <c r="L1684" s="16">
        <v>185303.0</v>
      </c>
      <c r="M1684" s="16">
        <v>43980.0</v>
      </c>
      <c r="N1684" s="16">
        <v>2800.0</v>
      </c>
      <c r="O1684" s="17"/>
      <c r="P1684" s="18">
        <v>41286.039305555554</v>
      </c>
      <c r="Q1684" s="1" t="s">
        <v>97</v>
      </c>
      <c r="R1684" s="1" t="s">
        <v>98</v>
      </c>
      <c r="S1684" s="13" t="s">
        <v>99</v>
      </c>
      <c r="T1684" s="14"/>
      <c r="U1684" s="19" t="str">
        <f>HYPERLINK("https://pbs.twimg.com/profile_images/566526924059459584/gdMxDA9x.jpeg","View")</f>
        <v>View</v>
      </c>
      <c r="V1684" s="14"/>
      <c r="W1684" s="14"/>
      <c r="X1684" s="14"/>
      <c r="Y1684" s="14"/>
      <c r="Z1684" s="14"/>
    </row>
    <row r="1685">
      <c r="A1685" s="11">
        <v>43845.12752314815</v>
      </c>
      <c r="B1685" s="12" t="str">
        <f>HYPERLINK("https://twitter.com/2b_622_b","@2b_622_b")</f>
        <v>@2b_622_b</v>
      </c>
      <c r="C1685" s="1" t="s">
        <v>7916</v>
      </c>
      <c r="D1685" s="1" t="s">
        <v>7509</v>
      </c>
      <c r="E1685" s="12" t="str">
        <f>HYPERLINK("https://twitter.com/2b_622_b/status/1217356655706484736","1217356655706484736")</f>
        <v>1217356655706484736</v>
      </c>
      <c r="F1685" s="1" t="s">
        <v>7510</v>
      </c>
      <c r="G1685" s="14"/>
      <c r="H1685" s="14"/>
      <c r="I1685" s="15">
        <v>0.0</v>
      </c>
      <c r="J1685" s="15">
        <v>0.0</v>
      </c>
      <c r="K1685" s="12" t="str">
        <f>HYPERLINK("http://twinybots.com","TwinyBots")</f>
        <v>TwinyBots</v>
      </c>
      <c r="L1685" s="16">
        <v>422.0</v>
      </c>
      <c r="M1685" s="16">
        <v>952.0</v>
      </c>
      <c r="N1685" s="16">
        <v>16.0</v>
      </c>
      <c r="O1685" s="17"/>
      <c r="P1685" s="18">
        <v>43333.355578703704</v>
      </c>
      <c r="Q1685" s="1" t="s">
        <v>7917</v>
      </c>
      <c r="R1685" s="1" t="s">
        <v>7918</v>
      </c>
      <c r="S1685" s="14"/>
      <c r="T1685" s="14"/>
      <c r="U1685" s="19" t="str">
        <f>HYPERLINK("https://pbs.twimg.com/profile_images/1033038053135314944/3GGBEWc-.jpg","View")</f>
        <v>View</v>
      </c>
      <c r="V1685" s="14"/>
      <c r="W1685" s="14"/>
      <c r="X1685" s="14"/>
      <c r="Y1685" s="14"/>
      <c r="Z1685" s="14"/>
    </row>
    <row r="1686">
      <c r="A1686" s="11">
        <v>43845.1258912037</v>
      </c>
      <c r="B1686" s="12" t="str">
        <f>HYPERLINK("https://twitter.com/BoulderNuadThai","@BoulderNuadThai")</f>
        <v>@BoulderNuadThai</v>
      </c>
      <c r="C1686" s="1" t="s">
        <v>1482</v>
      </c>
      <c r="D1686" s="1" t="s">
        <v>7919</v>
      </c>
      <c r="E1686" s="12" t="str">
        <f>HYPERLINK("https://twitter.com/BoulderNuadThai/status/1217356065244712960","1217356065244712960")</f>
        <v>1217356065244712960</v>
      </c>
      <c r="F1686" s="13" t="s">
        <v>1484</v>
      </c>
      <c r="G1686" s="14"/>
      <c r="H1686" s="14"/>
      <c r="I1686" s="15">
        <v>0.0</v>
      </c>
      <c r="J1686" s="15">
        <v>1.0</v>
      </c>
      <c r="K1686" s="12" t="str">
        <f>HYPERLINK("https://mobile.twitter.com","Twitter Web App")</f>
        <v>Twitter Web App</v>
      </c>
      <c r="L1686" s="16">
        <v>96.0</v>
      </c>
      <c r="M1686" s="16">
        <v>413.0</v>
      </c>
      <c r="N1686" s="16">
        <v>2.0</v>
      </c>
      <c r="O1686" s="17"/>
      <c r="P1686" s="18">
        <v>41746.65761574074</v>
      </c>
      <c r="Q1686" s="1" t="s">
        <v>1485</v>
      </c>
      <c r="R1686" s="1" t="s">
        <v>1486</v>
      </c>
      <c r="S1686" s="13" t="s">
        <v>1487</v>
      </c>
      <c r="T1686" s="14"/>
      <c r="U1686" s="19" t="str">
        <f>HYPERLINK("https://pbs.twimg.com/profile_images/456887490003996672/p75vwFyz.jpeg","View")</f>
        <v>View</v>
      </c>
      <c r="V1686" s="14"/>
      <c r="W1686" s="14"/>
      <c r="X1686" s="14"/>
      <c r="Y1686" s="14"/>
      <c r="Z1686" s="14"/>
    </row>
    <row r="1687">
      <c r="A1687" s="11">
        <v>43845.12574074074</v>
      </c>
      <c r="B1687" s="12" t="str">
        <f>HYPERLINK("https://twitter.com/DYBforBusiness","@DYBforBusiness")</f>
        <v>@DYBforBusiness</v>
      </c>
      <c r="C1687" s="1" t="s">
        <v>7920</v>
      </c>
      <c r="D1687" s="1" t="s">
        <v>7921</v>
      </c>
      <c r="E1687" s="12" t="str">
        <f>HYPERLINK("https://twitter.com/DYBforBusiness/status/1217356009146134528","1217356009146134528")</f>
        <v>1217356009146134528</v>
      </c>
      <c r="F1687" s="13" t="s">
        <v>7922</v>
      </c>
      <c r="G1687" s="14"/>
      <c r="H1687" s="14"/>
      <c r="I1687" s="15">
        <v>1.0</v>
      </c>
      <c r="J1687" s="15">
        <v>2.0</v>
      </c>
      <c r="K1687" s="12" t="str">
        <f t="shared" ref="K1687:K1688" si="163">HYPERLINK("https://www.hootsuite.com","Hootsuite Inc.")</f>
        <v>Hootsuite Inc.</v>
      </c>
      <c r="L1687" s="16">
        <v>3996.0</v>
      </c>
      <c r="M1687" s="16">
        <v>3451.0</v>
      </c>
      <c r="N1687" s="16">
        <v>36.0</v>
      </c>
      <c r="O1687" s="17"/>
      <c r="P1687" s="18">
        <v>42845.40939814815</v>
      </c>
      <c r="Q1687" s="1" t="s">
        <v>263</v>
      </c>
      <c r="R1687" s="1" t="s">
        <v>7923</v>
      </c>
      <c r="S1687" s="13" t="s">
        <v>7924</v>
      </c>
      <c r="T1687" s="14"/>
      <c r="U1687" s="19" t="str">
        <f>HYPERLINK("https://pbs.twimg.com/profile_images/855413153886334977/ELYFfkkS.jpg","View")</f>
        <v>View</v>
      </c>
      <c r="V1687" s="14"/>
      <c r="W1687" s="14"/>
      <c r="X1687" s="14"/>
      <c r="Y1687" s="14"/>
      <c r="Z1687" s="14"/>
    </row>
    <row r="1688">
      <c r="A1688" s="11">
        <v>43845.12567129629</v>
      </c>
      <c r="B1688" s="12" t="str">
        <f>HYPERLINK("https://twitter.com/Belgraviacentre","@Belgraviacentre")</f>
        <v>@Belgraviacentre</v>
      </c>
      <c r="C1688" s="1" t="s">
        <v>7925</v>
      </c>
      <c r="D1688" s="1" t="s">
        <v>7926</v>
      </c>
      <c r="E1688" s="12" t="str">
        <f>HYPERLINK("https://twitter.com/Belgraviacentre/status/1217355985213325314","1217355985213325314")</f>
        <v>1217355985213325314</v>
      </c>
      <c r="F1688" s="13" t="s">
        <v>7927</v>
      </c>
      <c r="G1688" s="13" t="s">
        <v>7928</v>
      </c>
      <c r="H1688" s="14"/>
      <c r="I1688" s="15">
        <v>0.0</v>
      </c>
      <c r="J1688" s="15">
        <v>1.0</v>
      </c>
      <c r="K1688" s="12" t="str">
        <f t="shared" si="163"/>
        <v>Hootsuite Inc.</v>
      </c>
      <c r="L1688" s="16">
        <v>6059.0</v>
      </c>
      <c r="M1688" s="16">
        <v>418.0</v>
      </c>
      <c r="N1688" s="16">
        <v>104.0</v>
      </c>
      <c r="O1688" s="17"/>
      <c r="P1688" s="18">
        <v>39771.71928240741</v>
      </c>
      <c r="Q1688" s="1" t="s">
        <v>342</v>
      </c>
      <c r="R1688" s="1" t="s">
        <v>7929</v>
      </c>
      <c r="S1688" s="13" t="s">
        <v>7930</v>
      </c>
      <c r="T1688" s="14"/>
      <c r="U1688" s="19" t="str">
        <f>HYPERLINK("https://pbs.twimg.com/profile_images/3466354023/4e9ca9c51b1026f2f5a79b07dfaf6790.jpeg","View")</f>
        <v>View</v>
      </c>
      <c r="V1688" s="14"/>
      <c r="W1688" s="14"/>
      <c r="X1688" s="14"/>
      <c r="Y1688" s="14"/>
      <c r="Z1688" s="14"/>
    </row>
    <row r="1689">
      <c r="A1689" s="11">
        <v>43845.12502314815</v>
      </c>
      <c r="B1689" s="12" t="str">
        <f>HYPERLINK("https://twitter.com/BrainCollectiv1","@BrainCollectiv1")</f>
        <v>@BrainCollectiv1</v>
      </c>
      <c r="C1689" s="1" t="s">
        <v>300</v>
      </c>
      <c r="D1689" s="1" t="s">
        <v>7931</v>
      </c>
      <c r="E1689" s="12" t="str">
        <f>HYPERLINK("https://twitter.com/BrainCollectiv1/status/1217355748906360839","1217355748906360839")</f>
        <v>1217355748906360839</v>
      </c>
      <c r="F1689" s="13" t="s">
        <v>7932</v>
      </c>
      <c r="G1689" s="14"/>
      <c r="H1689" s="14"/>
      <c r="I1689" s="15">
        <v>0.0</v>
      </c>
      <c r="J1689" s="15">
        <v>0.0</v>
      </c>
      <c r="K1689" s="12" t="str">
        <f>HYPERLINK("https://www.socialreport.com","SocialReport.com")</f>
        <v>SocialReport.com</v>
      </c>
      <c r="L1689" s="16">
        <v>210.0</v>
      </c>
      <c r="M1689" s="16">
        <v>340.0</v>
      </c>
      <c r="N1689" s="16">
        <v>1.0</v>
      </c>
      <c r="O1689" s="17"/>
      <c r="P1689" s="18">
        <v>43033.30827546296</v>
      </c>
      <c r="Q1689" s="1" t="s">
        <v>303</v>
      </c>
      <c r="R1689" s="1" t="s">
        <v>304</v>
      </c>
      <c r="S1689" s="13" t="s">
        <v>305</v>
      </c>
      <c r="T1689" s="14"/>
      <c r="U1689" s="19" t="str">
        <f>HYPERLINK("https://pbs.twimg.com/profile_images/923152499946737664/liFNQKWG.jpg","View")</f>
        <v>View</v>
      </c>
      <c r="V1689" s="14"/>
      <c r="W1689" s="14"/>
      <c r="X1689" s="14"/>
      <c r="Y1689" s="14"/>
      <c r="Z1689" s="14"/>
    </row>
    <row r="1690">
      <c r="A1690" s="11">
        <v>43845.11646990741</v>
      </c>
      <c r="B1690" s="12" t="str">
        <f>HYPERLINK("https://twitter.com/MLFuentesHypno","@MLFuentesHypno")</f>
        <v>@MLFuentesHypno</v>
      </c>
      <c r="C1690" s="1" t="s">
        <v>7933</v>
      </c>
      <c r="D1690" s="1" t="s">
        <v>7934</v>
      </c>
      <c r="E1690" s="12" t="str">
        <f>HYPERLINK("https://twitter.com/MLFuentesHypno/status/1217352648506011649","1217352648506011649")</f>
        <v>1217352648506011649</v>
      </c>
      <c r="F1690" s="14"/>
      <c r="G1690" s="13" t="s">
        <v>7935</v>
      </c>
      <c r="H1690" s="14"/>
      <c r="I1690" s="15">
        <v>1.0</v>
      </c>
      <c r="J1690" s="15">
        <v>2.0</v>
      </c>
      <c r="K1690" s="12" t="str">
        <f t="shared" ref="K1690:K1691" si="164">HYPERLINK("http://twitter.com/download/android","Twitter for Android")</f>
        <v>Twitter for Android</v>
      </c>
      <c r="L1690" s="16">
        <v>138.0</v>
      </c>
      <c r="M1690" s="16">
        <v>337.0</v>
      </c>
      <c r="N1690" s="16">
        <v>1.0</v>
      </c>
      <c r="O1690" s="17"/>
      <c r="P1690" s="18">
        <v>41453.64738425926</v>
      </c>
      <c r="Q1690" s="14"/>
      <c r="R1690" s="14"/>
      <c r="S1690" s="13" t="s">
        <v>7936</v>
      </c>
      <c r="T1690" s="14"/>
      <c r="U1690" s="19" t="str">
        <f>HYPERLINK("https://pbs.twimg.com/profile_images/378800000060078281/f4e4669ad928f61960b1d36ba6dca598.jpeg","View")</f>
        <v>View</v>
      </c>
      <c r="V1690" s="14"/>
      <c r="W1690" s="14"/>
      <c r="X1690" s="14"/>
      <c r="Y1690" s="14"/>
      <c r="Z1690" s="14"/>
    </row>
    <row r="1691">
      <c r="A1691" s="11">
        <v>43845.11619212963</v>
      </c>
      <c r="B1691" s="12" t="str">
        <f>HYPERLINK("https://twitter.com/kamna_chhibber","@kamna_chhibber")</f>
        <v>@kamna_chhibber</v>
      </c>
      <c r="C1691" s="1" t="s">
        <v>7937</v>
      </c>
      <c r="D1691" s="1" t="s">
        <v>7938</v>
      </c>
      <c r="E1691" s="12" t="str">
        <f>HYPERLINK("https://twitter.com/kamna_chhibber/status/1217352548094377984","1217352548094377984")</f>
        <v>1217352548094377984</v>
      </c>
      <c r="F1691" s="13" t="s">
        <v>7939</v>
      </c>
      <c r="G1691" s="13" t="s">
        <v>7940</v>
      </c>
      <c r="H1691" s="14"/>
      <c r="I1691" s="15">
        <v>4.0</v>
      </c>
      <c r="J1691" s="15">
        <v>13.0</v>
      </c>
      <c r="K1691" s="12" t="str">
        <f t="shared" si="164"/>
        <v>Twitter for Android</v>
      </c>
      <c r="L1691" s="16">
        <v>861.0</v>
      </c>
      <c r="M1691" s="16">
        <v>250.0</v>
      </c>
      <c r="N1691" s="16">
        <v>16.0</v>
      </c>
      <c r="O1691" s="17"/>
      <c r="P1691" s="18">
        <v>40326.63486111111</v>
      </c>
      <c r="Q1691" s="1" t="s">
        <v>7941</v>
      </c>
      <c r="R1691" s="1" t="s">
        <v>7942</v>
      </c>
      <c r="S1691" s="13" t="s">
        <v>7943</v>
      </c>
      <c r="T1691" s="14"/>
      <c r="U1691" s="19" t="str">
        <f>HYPERLINK("https://pbs.twimg.com/profile_images/1149006789188304897/Ir4wfnvn.jpg","View")</f>
        <v>View</v>
      </c>
      <c r="V1691" s="14"/>
      <c r="W1691" s="14"/>
      <c r="X1691" s="14"/>
      <c r="Y1691" s="14"/>
      <c r="Z1691" s="14"/>
    </row>
    <row r="1692">
      <c r="A1692" s="11">
        <v>43845.11608796296</v>
      </c>
      <c r="B1692" s="12" t="str">
        <f>HYPERLINK("https://twitter.com/BloodFuryArt","@BloodFuryArt")</f>
        <v>@BloodFuryArt</v>
      </c>
      <c r="C1692" s="1" t="s">
        <v>7944</v>
      </c>
      <c r="D1692" s="1" t="s">
        <v>7945</v>
      </c>
      <c r="E1692" s="12" t="str">
        <f>HYPERLINK("https://twitter.com/BloodFuryArt/status/1217352510320582656","1217352510320582656")</f>
        <v>1217352510320582656</v>
      </c>
      <c r="F1692" s="13" t="s">
        <v>7946</v>
      </c>
      <c r="G1692" s="13" t="s">
        <v>7947</v>
      </c>
      <c r="H1692" s="14"/>
      <c r="I1692" s="15">
        <v>0.0</v>
      </c>
      <c r="J1692" s="15">
        <v>1.0</v>
      </c>
      <c r="K1692" s="12" t="str">
        <f>HYPERLINK("https://ifttt.com","IFTTT")</f>
        <v>IFTTT</v>
      </c>
      <c r="L1692" s="16">
        <v>131.0</v>
      </c>
      <c r="M1692" s="16">
        <v>620.0</v>
      </c>
      <c r="N1692" s="16">
        <v>2.0</v>
      </c>
      <c r="O1692" s="17"/>
      <c r="P1692" s="18">
        <v>42763.584074074075</v>
      </c>
      <c r="Q1692" s="1" t="s">
        <v>1493</v>
      </c>
      <c r="R1692" s="1" t="s">
        <v>7948</v>
      </c>
      <c r="S1692" s="13" t="s">
        <v>7949</v>
      </c>
      <c r="T1692" s="14"/>
      <c r="U1692" s="19" t="str">
        <f>HYPERLINK("https://pbs.twimg.com/profile_images/1192810112878088192/QHrowMKy.jpg","View")</f>
        <v>View</v>
      </c>
      <c r="V1692" s="14"/>
      <c r="W1692" s="14"/>
      <c r="X1692" s="14"/>
      <c r="Y1692" s="14"/>
      <c r="Z1692" s="14"/>
    </row>
    <row r="1693">
      <c r="A1693" s="11">
        <v>43845.1111574074</v>
      </c>
      <c r="B1693" s="12" t="str">
        <f>HYPERLINK("https://twitter.com/RedwayHR","@RedwayHR")</f>
        <v>@RedwayHR</v>
      </c>
      <c r="C1693" s="1" t="s">
        <v>4265</v>
      </c>
      <c r="D1693" s="1" t="s">
        <v>4266</v>
      </c>
      <c r="E1693" s="12" t="str">
        <f>HYPERLINK("https://twitter.com/RedwayHR/status/1217350725497434113","1217350725497434113")</f>
        <v>1217350725497434113</v>
      </c>
      <c r="F1693" s="13" t="s">
        <v>4267</v>
      </c>
      <c r="G1693" s="13" t="s">
        <v>7950</v>
      </c>
      <c r="H1693" s="14"/>
      <c r="I1693" s="15">
        <v>0.0</v>
      </c>
      <c r="J1693" s="15">
        <v>0.0</v>
      </c>
      <c r="K1693" s="12" t="str">
        <f>HYPERLINK("https://www.hootsuite.com","Hootsuite Inc.")</f>
        <v>Hootsuite Inc.</v>
      </c>
      <c r="L1693" s="16">
        <v>188.0</v>
      </c>
      <c r="M1693" s="16">
        <v>218.0</v>
      </c>
      <c r="N1693" s="16">
        <v>7.0</v>
      </c>
      <c r="O1693" s="17"/>
      <c r="P1693" s="18">
        <v>41374.669710648144</v>
      </c>
      <c r="Q1693" s="1" t="s">
        <v>1270</v>
      </c>
      <c r="R1693" s="1" t="s">
        <v>4269</v>
      </c>
      <c r="S1693" s="13" t="s">
        <v>4270</v>
      </c>
      <c r="T1693" s="14"/>
      <c r="U1693" s="19" t="str">
        <f>HYPERLINK("https://pbs.twimg.com/profile_images/1197536035120521218/E04eAkgX.jpg","View")</f>
        <v>View</v>
      </c>
      <c r="V1693" s="14"/>
      <c r="W1693" s="14"/>
      <c r="X1693" s="14"/>
      <c r="Y1693" s="14"/>
      <c r="Z1693" s="14"/>
    </row>
    <row r="1694">
      <c r="A1694" s="11">
        <v>43845.10947916667</v>
      </c>
      <c r="B1694" s="12" t="str">
        <f>HYPERLINK("https://twitter.com/KellyHainsworth","@KellyHainsworth")</f>
        <v>@KellyHainsworth</v>
      </c>
      <c r="C1694" s="1" t="s">
        <v>7951</v>
      </c>
      <c r="D1694" s="1" t="s">
        <v>7952</v>
      </c>
      <c r="E1694" s="12" t="str">
        <f>HYPERLINK("https://twitter.com/KellyHainsworth/status/1217350116497141760","1217350116497141760")</f>
        <v>1217350116497141760</v>
      </c>
      <c r="F1694" s="13" t="s">
        <v>7676</v>
      </c>
      <c r="G1694" s="14"/>
      <c r="H1694" s="14"/>
      <c r="I1694" s="15">
        <v>1.0</v>
      </c>
      <c r="J1694" s="15">
        <v>2.0</v>
      </c>
      <c r="K1694" s="12" t="str">
        <f>HYPERLINK("http://twitter.com/download/iphone","Twitter for iPhone")</f>
        <v>Twitter for iPhone</v>
      </c>
      <c r="L1694" s="16">
        <v>2454.0</v>
      </c>
      <c r="M1694" s="16">
        <v>2119.0</v>
      </c>
      <c r="N1694" s="16">
        <v>103.0</v>
      </c>
      <c r="O1694" s="17"/>
      <c r="P1694" s="18">
        <v>40632.17912037037</v>
      </c>
      <c r="Q1694" s="1" t="s">
        <v>7953</v>
      </c>
      <c r="R1694" s="1" t="s">
        <v>7954</v>
      </c>
      <c r="S1694" s="13" t="s">
        <v>7955</v>
      </c>
      <c r="T1694" s="14"/>
      <c r="U1694" s="19" t="str">
        <f>HYPERLINK("https://pbs.twimg.com/profile_images/1069236804275093506/mihSWwlA.jpg","View")</f>
        <v>View</v>
      </c>
      <c r="V1694" s="14"/>
      <c r="W1694" s="14"/>
      <c r="X1694" s="14"/>
      <c r="Y1694" s="14"/>
      <c r="Z1694" s="14"/>
    </row>
    <row r="1695">
      <c r="A1695" s="11">
        <v>43845.10430555556</v>
      </c>
      <c r="B1695" s="12" t="str">
        <f>HYPERLINK("https://twitter.com/SleepRenewal","@SleepRenewal")</f>
        <v>@SleepRenewal</v>
      </c>
      <c r="C1695" s="1" t="s">
        <v>3107</v>
      </c>
      <c r="D1695" s="1" t="s">
        <v>7956</v>
      </c>
      <c r="E1695" s="12" t="str">
        <f>HYPERLINK("https://twitter.com/SleepRenewal/status/1217348240401752065","1217348240401752065")</f>
        <v>1217348240401752065</v>
      </c>
      <c r="F1695" s="13" t="s">
        <v>7957</v>
      </c>
      <c r="G1695" s="13" t="s">
        <v>7958</v>
      </c>
      <c r="H1695" s="14"/>
      <c r="I1695" s="15">
        <v>1.0</v>
      </c>
      <c r="J1695" s="15">
        <v>1.0</v>
      </c>
      <c r="K1695" s="12" t="str">
        <f>HYPERLINK("https://www.hootsuite.com","Hootsuite Inc.")</f>
        <v>Hootsuite Inc.</v>
      </c>
      <c r="L1695" s="16">
        <v>528.0</v>
      </c>
      <c r="M1695" s="16">
        <v>700.0</v>
      </c>
      <c r="N1695" s="16">
        <v>4.0</v>
      </c>
      <c r="O1695" s="17"/>
      <c r="P1695" s="18">
        <v>43011.41084490741</v>
      </c>
      <c r="Q1695" s="1" t="s">
        <v>3111</v>
      </c>
      <c r="R1695" s="1" t="s">
        <v>3112</v>
      </c>
      <c r="S1695" s="13" t="s">
        <v>3113</v>
      </c>
      <c r="T1695" s="14"/>
      <c r="U1695" s="19" t="str">
        <f>HYPERLINK("https://pbs.twimg.com/profile_images/915215285078118401/qS7AjPem.jpg","View")</f>
        <v>View</v>
      </c>
      <c r="V1695" s="14"/>
      <c r="W1695" s="14"/>
      <c r="X1695" s="14"/>
      <c r="Y1695" s="14"/>
      <c r="Z1695" s="14"/>
    </row>
    <row r="1696">
      <c r="A1696" s="11">
        <v>43845.10344907407</v>
      </c>
      <c r="B1696" s="12" t="str">
        <f>HYPERLINK("https://twitter.com/sales_trudy","@sales_trudy")</f>
        <v>@sales_trudy</v>
      </c>
      <c r="C1696" s="1" t="s">
        <v>7959</v>
      </c>
      <c r="D1696" s="1" t="s">
        <v>7960</v>
      </c>
      <c r="E1696" s="12" t="str">
        <f>HYPERLINK("https://twitter.com/sales_trudy/status/1217347929138176000","1217347929138176000")</f>
        <v>1217347929138176000</v>
      </c>
      <c r="F1696" s="13" t="s">
        <v>7961</v>
      </c>
      <c r="G1696" s="14"/>
      <c r="H1696" s="14"/>
      <c r="I1696" s="15">
        <v>0.0</v>
      </c>
      <c r="J1696" s="15">
        <v>1.0</v>
      </c>
      <c r="K1696" s="12" t="str">
        <f>HYPERLINK("https://mobile.twitter.com","Twitter Web App")</f>
        <v>Twitter Web App</v>
      </c>
      <c r="L1696" s="16">
        <v>439.0</v>
      </c>
      <c r="M1696" s="16">
        <v>833.0</v>
      </c>
      <c r="N1696" s="16">
        <v>7.0</v>
      </c>
      <c r="O1696" s="17"/>
      <c r="P1696" s="18">
        <v>42343.74847222222</v>
      </c>
      <c r="Q1696" s="1" t="s">
        <v>1194</v>
      </c>
      <c r="R1696" s="1" t="s">
        <v>7962</v>
      </c>
      <c r="S1696" s="14"/>
      <c r="T1696" s="14"/>
      <c r="U1696" s="19" t="str">
        <f>HYPERLINK("https://pbs.twimg.com/profile_images/1078716511789957120/3rMWvaBX.jpg","View")</f>
        <v>View</v>
      </c>
      <c r="V1696" s="14"/>
      <c r="W1696" s="14"/>
      <c r="X1696" s="14"/>
      <c r="Y1696" s="14"/>
      <c r="Z1696" s="14"/>
    </row>
    <row r="1697">
      <c r="A1697" s="11">
        <v>43845.103310185186</v>
      </c>
      <c r="B1697" s="12" t="str">
        <f>HYPERLINK("https://twitter.com/officiallutrell","@officiallutrell")</f>
        <v>@officiallutrell</v>
      </c>
      <c r="C1697" s="1" t="s">
        <v>7963</v>
      </c>
      <c r="D1697" s="1" t="s">
        <v>7964</v>
      </c>
      <c r="E1697" s="12" t="str">
        <f>HYPERLINK("https://twitter.com/officiallutrell/status/1217347878282096641","1217347878282096641")</f>
        <v>1217347878282096641</v>
      </c>
      <c r="F1697" s="14"/>
      <c r="G1697" s="14"/>
      <c r="H1697" s="14"/>
      <c r="I1697" s="15">
        <v>0.0</v>
      </c>
      <c r="J1697" s="15">
        <v>0.0</v>
      </c>
      <c r="K1697" s="12" t="str">
        <f>HYPERLINK("http://twitter.com/download/android","Twitter for Android")</f>
        <v>Twitter for Android</v>
      </c>
      <c r="L1697" s="16">
        <v>24.0</v>
      </c>
      <c r="M1697" s="16">
        <v>55.0</v>
      </c>
      <c r="N1697" s="16">
        <v>0.0</v>
      </c>
      <c r="O1697" s="17"/>
      <c r="P1697" s="18">
        <v>43514.36269675926</v>
      </c>
      <c r="Q1697" s="14"/>
      <c r="R1697" s="1" t="s">
        <v>7965</v>
      </c>
      <c r="S1697" s="14"/>
      <c r="T1697" s="14"/>
      <c r="U1697" s="19" t="str">
        <f>HYPERLINK("https://pbs.twimg.com/profile_images/1112726584027312134/6Zm9tQMi.jpg","View")</f>
        <v>View</v>
      </c>
      <c r="V1697" s="14"/>
      <c r="W1697" s="14"/>
      <c r="X1697" s="14"/>
      <c r="Y1697" s="14"/>
      <c r="Z1697" s="14"/>
    </row>
    <row r="1698">
      <c r="A1698" s="11">
        <v>43845.09459490741</v>
      </c>
      <c r="B1698" s="12" t="str">
        <f>HYPERLINK("https://twitter.com/BatesBobbi","@BatesBobbi")</f>
        <v>@BatesBobbi</v>
      </c>
      <c r="C1698" s="1" t="s">
        <v>7966</v>
      </c>
      <c r="D1698" s="1" t="s">
        <v>3923</v>
      </c>
      <c r="E1698" s="12" t="str">
        <f>HYPERLINK("https://twitter.com/BatesBobbi/status/1217344721334472705","1217344721334472705")</f>
        <v>1217344721334472705</v>
      </c>
      <c r="F1698" s="13" t="s">
        <v>7967</v>
      </c>
      <c r="G1698" s="13" t="s">
        <v>7968</v>
      </c>
      <c r="H1698" s="14"/>
      <c r="I1698" s="15">
        <v>0.0</v>
      </c>
      <c r="J1698" s="15">
        <v>1.0</v>
      </c>
      <c r="K1698" s="12" t="str">
        <f>HYPERLINK("http://www.edgetheory.com","EdgeTheory")</f>
        <v>EdgeTheory</v>
      </c>
      <c r="L1698" s="16">
        <v>50.0</v>
      </c>
      <c r="M1698" s="16">
        <v>168.0</v>
      </c>
      <c r="N1698" s="16">
        <v>1.0</v>
      </c>
      <c r="O1698" s="17"/>
      <c r="P1698" s="18">
        <v>41348.730775462966</v>
      </c>
      <c r="Q1698" s="1" t="s">
        <v>7969</v>
      </c>
      <c r="R1698" s="14"/>
      <c r="S1698" s="14"/>
      <c r="T1698" s="14"/>
      <c r="U1698" s="19" t="str">
        <f>HYPERLINK("https://pbs.twimg.com/profile_images/856970642163326976/WZTQw5kf.jpg","View")</f>
        <v>View</v>
      </c>
      <c r="V1698" s="14"/>
      <c r="W1698" s="14"/>
      <c r="X1698" s="14"/>
      <c r="Y1698" s="14"/>
      <c r="Z1698" s="14"/>
    </row>
    <row r="1699">
      <c r="A1699" s="11">
        <v>43845.09402777778</v>
      </c>
      <c r="B1699" s="12" t="str">
        <f>HYPERLINK("https://twitter.com/GS_Naturals","@GS_Naturals")</f>
        <v>@GS_Naturals</v>
      </c>
      <c r="C1699" s="1" t="s">
        <v>7970</v>
      </c>
      <c r="D1699" s="1" t="s">
        <v>7971</v>
      </c>
      <c r="E1699" s="12" t="str">
        <f>HYPERLINK("https://twitter.com/GS_Naturals/status/1217344515897360385","1217344515897360385")</f>
        <v>1217344515897360385</v>
      </c>
      <c r="F1699" s="14"/>
      <c r="G1699" s="13" t="s">
        <v>7972</v>
      </c>
      <c r="H1699" s="14"/>
      <c r="I1699" s="15">
        <v>0.0</v>
      </c>
      <c r="J1699" s="15">
        <v>9.0</v>
      </c>
      <c r="K1699" s="12" t="str">
        <f>HYPERLINK("http://twitter.com/download/iphone","Twitter for iPhone")</f>
        <v>Twitter for iPhone</v>
      </c>
      <c r="L1699" s="16">
        <v>5010.0</v>
      </c>
      <c r="M1699" s="16">
        <v>3812.0</v>
      </c>
      <c r="N1699" s="16">
        <v>3.0</v>
      </c>
      <c r="O1699" s="17"/>
      <c r="P1699" s="18">
        <v>43640.6884375</v>
      </c>
      <c r="Q1699" s="1" t="s">
        <v>7973</v>
      </c>
      <c r="R1699" s="1" t="s">
        <v>7974</v>
      </c>
      <c r="S1699" s="13" t="s">
        <v>7975</v>
      </c>
      <c r="T1699" s="14"/>
      <c r="U1699" s="19" t="str">
        <f>HYPERLINK("https://pbs.twimg.com/profile_images/1144438180164317185/rFK7F7AV.jpg","View")</f>
        <v>View</v>
      </c>
      <c r="V1699" s="14"/>
      <c r="W1699" s="14"/>
      <c r="X1699" s="14"/>
      <c r="Y1699" s="14"/>
      <c r="Z1699" s="14"/>
    </row>
    <row r="1700">
      <c r="A1700" s="11">
        <v>43845.087002314816</v>
      </c>
      <c r="B1700" s="12" t="str">
        <f>HYPERLINK("https://twitter.com/albertfong98","@albertfong98")</f>
        <v>@albertfong98</v>
      </c>
      <c r="C1700" s="1" t="s">
        <v>1779</v>
      </c>
      <c r="D1700" s="1" t="s">
        <v>7976</v>
      </c>
      <c r="E1700" s="12" t="str">
        <f>HYPERLINK("https://twitter.com/albertfong98/status/1217341968881078272","1217341968881078272")</f>
        <v>1217341968881078272</v>
      </c>
      <c r="F1700" s="13" t="s">
        <v>7977</v>
      </c>
      <c r="G1700" s="14"/>
      <c r="H1700" s="14"/>
      <c r="I1700" s="15">
        <v>0.0</v>
      </c>
      <c r="J1700" s="15">
        <v>0.0</v>
      </c>
      <c r="K1700" s="12" t="str">
        <f>HYPERLINK("https://mobile.twitter.com","Twitter Web App")</f>
        <v>Twitter Web App</v>
      </c>
      <c r="L1700" s="16">
        <v>791.0</v>
      </c>
      <c r="M1700" s="16">
        <v>656.0</v>
      </c>
      <c r="N1700" s="16">
        <v>75.0</v>
      </c>
      <c r="O1700" s="17"/>
      <c r="P1700" s="18">
        <v>40077.477430555555</v>
      </c>
      <c r="Q1700" s="1" t="s">
        <v>1782</v>
      </c>
      <c r="R1700" s="1" t="s">
        <v>1783</v>
      </c>
      <c r="S1700" s="13" t="s">
        <v>1784</v>
      </c>
      <c r="T1700" s="14"/>
      <c r="U1700" s="19" t="str">
        <f>HYPERLINK("https://pbs.twimg.com/profile_images/461301153557258240/tGS0akef.jpeg","View")</f>
        <v>View</v>
      </c>
      <c r="V1700" s="14"/>
      <c r="W1700" s="14"/>
      <c r="X1700" s="14"/>
      <c r="Y1700" s="14"/>
      <c r="Z1700" s="14"/>
    </row>
    <row r="1701">
      <c r="A1701" s="11">
        <v>43845.08479166667</v>
      </c>
      <c r="B1701" s="12" t="str">
        <f>HYPERLINK("https://twitter.com/sostostress","@sostostress")</f>
        <v>@sostostress</v>
      </c>
      <c r="C1701" s="1" t="s">
        <v>1042</v>
      </c>
      <c r="D1701" s="1" t="s">
        <v>1477</v>
      </c>
      <c r="E1701" s="12" t="str">
        <f>HYPERLINK("https://twitter.com/sostostress/status/1217341169807568897","1217341169807568897")</f>
        <v>1217341169807568897</v>
      </c>
      <c r="F1701" s="13" t="s">
        <v>7978</v>
      </c>
      <c r="G1701" s="14"/>
      <c r="H1701" s="14"/>
      <c r="I1701" s="15">
        <v>0.0</v>
      </c>
      <c r="J1701" s="15">
        <v>0.0</v>
      </c>
      <c r="K1701" s="12" t="str">
        <f>HYPERLINK("http://www.podbean.com","Podbean Podcast")</f>
        <v>Podbean Podcast</v>
      </c>
      <c r="L1701" s="16">
        <v>333.0</v>
      </c>
      <c r="M1701" s="16">
        <v>171.0</v>
      </c>
      <c r="N1701" s="16">
        <v>46.0</v>
      </c>
      <c r="O1701" s="17"/>
      <c r="P1701" s="18">
        <v>40529.642071759255</v>
      </c>
      <c r="Q1701" s="1" t="s">
        <v>143</v>
      </c>
      <c r="R1701" s="1" t="s">
        <v>1046</v>
      </c>
      <c r="S1701" s="13" t="s">
        <v>1047</v>
      </c>
      <c r="T1701" s="14"/>
      <c r="U1701" s="19" t="str">
        <f>HYPERLINK("https://pbs.twimg.com/profile_images/1192953737/image006_pp_-_2__2_.jpg","View")</f>
        <v>View</v>
      </c>
      <c r="V1701" s="14"/>
      <c r="W1701" s="14"/>
      <c r="X1701" s="14"/>
      <c r="Y1701" s="14"/>
      <c r="Z1701" s="14"/>
    </row>
    <row r="1702">
      <c r="A1702" s="11">
        <v>43845.08373842592</v>
      </c>
      <c r="B1702" s="12" t="str">
        <f>HYPERLINK("https://twitter.com/CarreJardiniers","@CarreJardiniers")</f>
        <v>@CarreJardiniers</v>
      </c>
      <c r="C1702" s="1" t="s">
        <v>7979</v>
      </c>
      <c r="D1702" s="1" t="s">
        <v>7980</v>
      </c>
      <c r="E1702" s="12" t="str">
        <f>HYPERLINK("https://twitter.com/CarreJardiniers/status/1217340786540531712","1217340786540531712")</f>
        <v>1217340786540531712</v>
      </c>
      <c r="F1702" s="13" t="s">
        <v>7981</v>
      </c>
      <c r="G1702" s="13" t="s">
        <v>7982</v>
      </c>
      <c r="H1702" s="14"/>
      <c r="I1702" s="15">
        <v>0.0</v>
      </c>
      <c r="J1702" s="15">
        <v>0.0</v>
      </c>
      <c r="K1702" s="12" t="str">
        <f>HYPERLINK("https://www.hootsuite.com","Hootsuite Inc.")</f>
        <v>Hootsuite Inc.</v>
      </c>
      <c r="L1702" s="16">
        <v>252.0</v>
      </c>
      <c r="M1702" s="16">
        <v>78.0</v>
      </c>
      <c r="N1702" s="16">
        <v>5.0</v>
      </c>
      <c r="O1702" s="17"/>
      <c r="P1702" s="18">
        <v>42522.25115740741</v>
      </c>
      <c r="Q1702" s="1" t="s">
        <v>7983</v>
      </c>
      <c r="R1702" s="1" t="s">
        <v>7984</v>
      </c>
      <c r="S1702" s="13" t="s">
        <v>7985</v>
      </c>
      <c r="T1702" s="14"/>
      <c r="U1702" s="19" t="str">
        <f>HYPERLINK("https://pbs.twimg.com/profile_images/965636375516274694/bAtD9BUd.jpg","View")</f>
        <v>View</v>
      </c>
      <c r="V1702" s="14"/>
      <c r="W1702" s="14"/>
      <c r="X1702" s="14"/>
      <c r="Y1702" s="14"/>
      <c r="Z1702" s="14"/>
    </row>
    <row r="1703">
      <c r="A1703" s="11">
        <v>43845.081296296295</v>
      </c>
      <c r="B1703" s="12" t="str">
        <f>HYPERLINK("https://twitter.com/VizWorld","@VizWorld")</f>
        <v>@VizWorld</v>
      </c>
      <c r="C1703" s="1" t="s">
        <v>7986</v>
      </c>
      <c r="D1703" s="1" t="s">
        <v>7987</v>
      </c>
      <c r="E1703" s="12" t="str">
        <f>HYPERLINK("https://twitter.com/VizWorld/status/1217339902398025728","1217339902398025728")</f>
        <v>1217339902398025728</v>
      </c>
      <c r="F1703" s="13" t="s">
        <v>7988</v>
      </c>
      <c r="G1703" s="14"/>
      <c r="H1703" s="14"/>
      <c r="I1703" s="15">
        <v>2.0</v>
      </c>
      <c r="J1703" s="15">
        <v>2.0</v>
      </c>
      <c r="K1703" s="12" t="str">
        <f>HYPERLINK("http://twinybots.com","TwinyBots")</f>
        <v>TwinyBots</v>
      </c>
      <c r="L1703" s="16">
        <v>9516.0</v>
      </c>
      <c r="M1703" s="16">
        <v>6681.0</v>
      </c>
      <c r="N1703" s="16">
        <v>2319.0</v>
      </c>
      <c r="O1703" s="17"/>
      <c r="P1703" s="18">
        <v>39835.87663194444</v>
      </c>
      <c r="Q1703" s="14"/>
      <c r="R1703" s="1" t="s">
        <v>7989</v>
      </c>
      <c r="S1703" s="13" t="s">
        <v>7990</v>
      </c>
      <c r="T1703" s="14"/>
      <c r="U1703" s="19" t="str">
        <f>HYPERLINK("https://pbs.twimg.com/profile_images/378800000522081628/bbb70960bc16b2ccbd32d9d2ed251751.jpeg","View")</f>
        <v>View</v>
      </c>
      <c r="V1703" s="14"/>
      <c r="W1703" s="14"/>
      <c r="X1703" s="14"/>
      <c r="Y1703" s="14"/>
      <c r="Z1703" s="14"/>
    </row>
    <row r="1704">
      <c r="A1704" s="11">
        <v>43845.07855324074</v>
      </c>
      <c r="B1704" s="12" t="str">
        <f>HYPERLINK("https://twitter.com/steadycaremedi","@steadycaremedi")</f>
        <v>@steadycaremedi</v>
      </c>
      <c r="C1704" s="1" t="s">
        <v>7991</v>
      </c>
      <c r="D1704" s="1" t="s">
        <v>7992</v>
      </c>
      <c r="E1704" s="12" t="str">
        <f>HYPERLINK("https://twitter.com/steadycaremedi/status/1217338907915776000","1217338907915776000")</f>
        <v>1217338907915776000</v>
      </c>
      <c r="F1704" s="13" t="s">
        <v>7993</v>
      </c>
      <c r="G1704" s="14"/>
      <c r="H1704" s="14"/>
      <c r="I1704" s="15">
        <v>0.0</v>
      </c>
      <c r="J1704" s="15">
        <v>1.0</v>
      </c>
      <c r="K1704" s="12" t="str">
        <f>HYPERLINK("https://mobile.twitter.com","Twitter Web App")</f>
        <v>Twitter Web App</v>
      </c>
      <c r="L1704" s="16">
        <v>113.0</v>
      </c>
      <c r="M1704" s="16">
        <v>480.0</v>
      </c>
      <c r="N1704" s="16">
        <v>0.0</v>
      </c>
      <c r="O1704" s="17"/>
      <c r="P1704" s="18">
        <v>43153.592465277776</v>
      </c>
      <c r="Q1704" s="1" t="s">
        <v>7994</v>
      </c>
      <c r="R1704" s="1" t="s">
        <v>7995</v>
      </c>
      <c r="S1704" s="13" t="s">
        <v>7996</v>
      </c>
      <c r="T1704" s="14"/>
      <c r="U1704" s="19" t="str">
        <f>HYPERLINK("https://pbs.twimg.com/profile_images/966754214541131776/U4njkTuL.jpg","View")</f>
        <v>View</v>
      </c>
      <c r="V1704" s="14"/>
      <c r="W1704" s="14"/>
      <c r="X1704" s="14"/>
      <c r="Y1704" s="14"/>
      <c r="Z1704" s="14"/>
    </row>
    <row r="1705">
      <c r="A1705" s="11">
        <v>43845.077314814815</v>
      </c>
      <c r="B1705" s="12" t="str">
        <f>HYPERLINK("https://twitter.com/CPTBookings","@CPTBookings")</f>
        <v>@CPTBookings</v>
      </c>
      <c r="C1705" s="1" t="s">
        <v>7997</v>
      </c>
      <c r="D1705" s="1" t="s">
        <v>7509</v>
      </c>
      <c r="E1705" s="12" t="str">
        <f>HYPERLINK("https://twitter.com/CPTBookings/status/1217338460299767809","1217338460299767809")</f>
        <v>1217338460299767809</v>
      </c>
      <c r="F1705" s="1" t="s">
        <v>7510</v>
      </c>
      <c r="G1705" s="14"/>
      <c r="H1705" s="14"/>
      <c r="I1705" s="15">
        <v>0.0</v>
      </c>
      <c r="J1705" s="15">
        <v>1.0</v>
      </c>
      <c r="K1705" s="12" t="str">
        <f>HYPERLINK("http://twinybots.com","TwinyBots")</f>
        <v>TwinyBots</v>
      </c>
      <c r="L1705" s="16">
        <v>5374.0</v>
      </c>
      <c r="M1705" s="16">
        <v>4904.0</v>
      </c>
      <c r="N1705" s="16">
        <v>404.0</v>
      </c>
      <c r="O1705" s="17"/>
      <c r="P1705" s="18">
        <v>41927.43171296296</v>
      </c>
      <c r="Q1705" s="1" t="s">
        <v>7998</v>
      </c>
      <c r="R1705" s="1" t="s">
        <v>7999</v>
      </c>
      <c r="S1705" s="13" t="s">
        <v>8000</v>
      </c>
      <c r="T1705" s="14"/>
      <c r="U1705" s="19" t="str">
        <f>HYPERLINK("https://pbs.twimg.com/profile_images/522392795613392898/S8qra1sM.png","View")</f>
        <v>View</v>
      </c>
      <c r="V1705" s="14"/>
      <c r="W1705" s="14"/>
      <c r="X1705" s="14"/>
      <c r="Y1705" s="14"/>
      <c r="Z1705" s="14"/>
    </row>
    <row r="1706">
      <c r="A1706" s="11">
        <v>43845.07712962963</v>
      </c>
      <c r="B1706" s="12" t="str">
        <f>HYPERLINK("https://twitter.com/Yogaoftheday1","@Yogaoftheday1")</f>
        <v>@Yogaoftheday1</v>
      </c>
      <c r="C1706" s="1" t="s">
        <v>8001</v>
      </c>
      <c r="D1706" s="1" t="s">
        <v>8002</v>
      </c>
      <c r="E1706" s="12" t="str">
        <f>HYPERLINK("https://twitter.com/Yogaoftheday1/status/1217338394449080320","1217338394449080320")</f>
        <v>1217338394449080320</v>
      </c>
      <c r="F1706" s="14"/>
      <c r="G1706" s="13" t="s">
        <v>8003</v>
      </c>
      <c r="H1706" s="14"/>
      <c r="I1706" s="15">
        <v>1.0</v>
      </c>
      <c r="J1706" s="15">
        <v>2.0</v>
      </c>
      <c r="K1706" s="12" t="str">
        <f>HYPERLINK("http://twitter.com/download/android","Twitter for Android")</f>
        <v>Twitter for Android</v>
      </c>
      <c r="L1706" s="16">
        <v>4.0</v>
      </c>
      <c r="M1706" s="16">
        <v>18.0</v>
      </c>
      <c r="N1706" s="16">
        <v>0.0</v>
      </c>
      <c r="O1706" s="17"/>
      <c r="P1706" s="18">
        <v>43844.413136574076</v>
      </c>
      <c r="Q1706" s="1" t="s">
        <v>1472</v>
      </c>
      <c r="R1706" s="1" t="s">
        <v>8004</v>
      </c>
      <c r="S1706" s="13" t="s">
        <v>8005</v>
      </c>
      <c r="T1706" s="14"/>
      <c r="U1706" s="19" t="str">
        <f>HYPERLINK("https://pbs.twimg.com/profile_images/1217097888800673794/DjrzExUr.jpg","View")</f>
        <v>View</v>
      </c>
      <c r="V1706" s="14"/>
      <c r="W1706" s="14"/>
      <c r="X1706" s="14"/>
      <c r="Y1706" s="14"/>
      <c r="Z1706" s="14"/>
    </row>
    <row r="1707">
      <c r="A1707" s="11">
        <v>43845.074166666665</v>
      </c>
      <c r="B1707" s="12" t="str">
        <f>HYPERLINK("https://twitter.com/TAFTalks","@TAFTalks")</f>
        <v>@TAFTalks</v>
      </c>
      <c r="C1707" s="1" t="s">
        <v>8006</v>
      </c>
      <c r="D1707" s="1" t="s">
        <v>8007</v>
      </c>
      <c r="E1707" s="12" t="str">
        <f>HYPERLINK("https://twitter.com/TAFTalks/status/1217337317049786368","1217337317049786368")</f>
        <v>1217337317049786368</v>
      </c>
      <c r="F1707" s="14"/>
      <c r="G1707" s="13" t="s">
        <v>8008</v>
      </c>
      <c r="H1707" s="14"/>
      <c r="I1707" s="15">
        <v>2.0</v>
      </c>
      <c r="J1707" s="15">
        <v>2.0</v>
      </c>
      <c r="K1707" s="12" t="str">
        <f t="shared" ref="K1707:K1708" si="165">HYPERLINK("https://mobile.twitter.com","Twitter Web App")</f>
        <v>Twitter Web App</v>
      </c>
      <c r="L1707" s="16">
        <v>118.0</v>
      </c>
      <c r="M1707" s="16">
        <v>342.0</v>
      </c>
      <c r="N1707" s="16">
        <v>5.0</v>
      </c>
      <c r="O1707" s="17"/>
      <c r="P1707" s="18">
        <v>42775.22011574074</v>
      </c>
      <c r="Q1707" s="14"/>
      <c r="R1707" s="1" t="s">
        <v>8009</v>
      </c>
      <c r="S1707" s="13" t="s">
        <v>8010</v>
      </c>
      <c r="T1707" s="14"/>
      <c r="U1707" s="19" t="str">
        <f>HYPERLINK("https://pbs.twimg.com/profile_images/940131592353202176/aGgI6yZC.jpg","View")</f>
        <v>View</v>
      </c>
      <c r="V1707" s="14"/>
      <c r="W1707" s="14"/>
      <c r="X1707" s="14"/>
      <c r="Y1707" s="14"/>
      <c r="Z1707" s="14"/>
    </row>
    <row r="1708">
      <c r="A1708" s="11">
        <v>43845.068518518514</v>
      </c>
      <c r="B1708" s="12" t="str">
        <f>HYPERLINK("https://twitter.com/albertfong98","@albertfong98")</f>
        <v>@albertfong98</v>
      </c>
      <c r="C1708" s="1" t="s">
        <v>1779</v>
      </c>
      <c r="D1708" s="1" t="s">
        <v>8011</v>
      </c>
      <c r="E1708" s="12" t="str">
        <f>HYPERLINK("https://twitter.com/albertfong98/status/1217335272112738304","1217335272112738304")</f>
        <v>1217335272112738304</v>
      </c>
      <c r="F1708" s="13" t="s">
        <v>8012</v>
      </c>
      <c r="G1708" s="14"/>
      <c r="H1708" s="14"/>
      <c r="I1708" s="15">
        <v>0.0</v>
      </c>
      <c r="J1708" s="15">
        <v>0.0</v>
      </c>
      <c r="K1708" s="12" t="str">
        <f t="shared" si="165"/>
        <v>Twitter Web App</v>
      </c>
      <c r="L1708" s="16">
        <v>791.0</v>
      </c>
      <c r="M1708" s="16">
        <v>656.0</v>
      </c>
      <c r="N1708" s="16">
        <v>75.0</v>
      </c>
      <c r="O1708" s="17"/>
      <c r="P1708" s="18">
        <v>40077.477430555555</v>
      </c>
      <c r="Q1708" s="1" t="s">
        <v>1782</v>
      </c>
      <c r="R1708" s="1" t="s">
        <v>1783</v>
      </c>
      <c r="S1708" s="13" t="s">
        <v>1784</v>
      </c>
      <c r="T1708" s="14"/>
      <c r="U1708" s="19" t="str">
        <f>HYPERLINK("https://pbs.twimg.com/profile_images/461301153557258240/tGS0akef.jpeg","View")</f>
        <v>View</v>
      </c>
      <c r="V1708" s="14"/>
      <c r="W1708" s="14"/>
      <c r="X1708" s="14"/>
      <c r="Y1708" s="14"/>
      <c r="Z1708" s="14"/>
    </row>
    <row r="1709">
      <c r="A1709" s="11">
        <v>43845.066782407404</v>
      </c>
      <c r="B1709" s="12" t="str">
        <f>HYPERLINK("https://twitter.com/elliot__liber","@elliot__liber")</f>
        <v>@elliot__liber</v>
      </c>
      <c r="C1709" s="1" t="s">
        <v>8013</v>
      </c>
      <c r="D1709" s="1" t="s">
        <v>7509</v>
      </c>
      <c r="E1709" s="12" t="str">
        <f>HYPERLINK("https://twitter.com/elliot__liber/status/1217334641964744704","1217334641964744704")</f>
        <v>1217334641964744704</v>
      </c>
      <c r="F1709" s="1" t="s">
        <v>7510</v>
      </c>
      <c r="G1709" s="14"/>
      <c r="H1709" s="14"/>
      <c r="I1709" s="15">
        <v>0.0</v>
      </c>
      <c r="J1709" s="15">
        <v>0.0</v>
      </c>
      <c r="K1709" s="12" t="str">
        <f>HYPERLINK("http://twinybots.com","TwinyBots")</f>
        <v>TwinyBots</v>
      </c>
      <c r="L1709" s="16">
        <v>285.0</v>
      </c>
      <c r="M1709" s="16">
        <v>1578.0</v>
      </c>
      <c r="N1709" s="16">
        <v>1.0</v>
      </c>
      <c r="O1709" s="17"/>
      <c r="P1709" s="18">
        <v>43467.61853009259</v>
      </c>
      <c r="Q1709" s="14"/>
      <c r="R1709" s="1" t="s">
        <v>8014</v>
      </c>
      <c r="S1709" s="14"/>
      <c r="T1709" s="14"/>
      <c r="U1709" s="19" t="str">
        <f>HYPERLINK("https://pbs.twimg.com/profile_images/1080553303799484416/Luo1ELp2.jpg","View")</f>
        <v>View</v>
      </c>
      <c r="V1709" s="14"/>
      <c r="W1709" s="14"/>
      <c r="X1709" s="14"/>
      <c r="Y1709" s="14"/>
      <c r="Z1709" s="14"/>
    </row>
    <row r="1710">
      <c r="A1710" s="11">
        <v>43845.06623842593</v>
      </c>
      <c r="B1710" s="12" t="str">
        <f>HYPERLINK("https://twitter.com/Studywithjoanne","@Studywithjoanne")</f>
        <v>@Studywithjoanne</v>
      </c>
      <c r="C1710" s="1" t="s">
        <v>3732</v>
      </c>
      <c r="D1710" s="1" t="s">
        <v>8015</v>
      </c>
      <c r="E1710" s="12" t="str">
        <f>HYPERLINK("https://twitter.com/Studywithjoanne/status/1217334445838979074","1217334445838979074")</f>
        <v>1217334445838979074</v>
      </c>
      <c r="F1710" s="13" t="s">
        <v>8016</v>
      </c>
      <c r="G1710" s="13" t="s">
        <v>8017</v>
      </c>
      <c r="H1710" s="14"/>
      <c r="I1710" s="15">
        <v>0.0</v>
      </c>
      <c r="J1710" s="15">
        <v>1.0</v>
      </c>
      <c r="K1710" s="12" t="str">
        <f>HYPERLINK("https://mobile.twitter.com","Twitter Web App")</f>
        <v>Twitter Web App</v>
      </c>
      <c r="L1710" s="16">
        <v>86.0</v>
      </c>
      <c r="M1710" s="16">
        <v>100.0</v>
      </c>
      <c r="N1710" s="16">
        <v>0.0</v>
      </c>
      <c r="O1710" s="17"/>
      <c r="P1710" s="18">
        <v>43365.56454861111</v>
      </c>
      <c r="Q1710" s="1" t="s">
        <v>727</v>
      </c>
      <c r="R1710" s="1" t="s">
        <v>3736</v>
      </c>
      <c r="S1710" s="13" t="s">
        <v>3737</v>
      </c>
      <c r="T1710" s="14"/>
      <c r="U1710" s="19" t="str">
        <f>HYPERLINK("https://pbs.twimg.com/profile_images/1043553978045292544/kZrhFvvR.jpg","View")</f>
        <v>View</v>
      </c>
      <c r="V1710" s="14"/>
      <c r="W1710" s="14"/>
      <c r="X1710" s="14"/>
      <c r="Y1710" s="14"/>
      <c r="Z1710" s="14"/>
    </row>
    <row r="1711">
      <c r="A1711" s="11">
        <v>43845.066203703704</v>
      </c>
      <c r="B1711" s="12" t="str">
        <f>HYPERLINK("https://twitter.com/FirmForum","@FirmForum")</f>
        <v>@FirmForum</v>
      </c>
      <c r="C1711" s="1" t="s">
        <v>8018</v>
      </c>
      <c r="D1711" s="1" t="s">
        <v>7509</v>
      </c>
      <c r="E1711" s="12" t="str">
        <f>HYPERLINK("https://twitter.com/FirmForum/status/1217334431444357120","1217334431444357120")</f>
        <v>1217334431444357120</v>
      </c>
      <c r="F1711" s="1" t="s">
        <v>7510</v>
      </c>
      <c r="G1711" s="14"/>
      <c r="H1711" s="14"/>
      <c r="I1711" s="15">
        <v>0.0</v>
      </c>
      <c r="J1711" s="15">
        <v>0.0</v>
      </c>
      <c r="K1711" s="12" t="str">
        <f>HYPERLINK("http://twinybots.com","TwinyBots")</f>
        <v>TwinyBots</v>
      </c>
      <c r="L1711" s="16">
        <v>197.0</v>
      </c>
      <c r="M1711" s="16">
        <v>196.0</v>
      </c>
      <c r="N1711" s="16">
        <v>5.0</v>
      </c>
      <c r="O1711" s="17"/>
      <c r="P1711" s="18">
        <v>43518.2503125</v>
      </c>
      <c r="Q1711" s="14"/>
      <c r="R1711" s="1" t="s">
        <v>8019</v>
      </c>
      <c r="S1711" s="13" t="s">
        <v>8020</v>
      </c>
      <c r="T1711" s="14"/>
      <c r="U1711" s="19" t="str">
        <f>HYPERLINK("https://pbs.twimg.com/profile_images/1105548532759568384/2lKfWRth.png","View")</f>
        <v>View</v>
      </c>
      <c r="V1711" s="14"/>
      <c r="W1711" s="14"/>
      <c r="X1711" s="14"/>
      <c r="Y1711" s="14"/>
      <c r="Z1711" s="14"/>
    </row>
    <row r="1712">
      <c r="A1712" s="11">
        <v>43845.06355324074</v>
      </c>
      <c r="B1712" s="12" t="str">
        <f>HYPERLINK("https://twitter.com/SirAundre","@SirAundre")</f>
        <v>@SirAundre</v>
      </c>
      <c r="C1712" s="1" t="s">
        <v>8021</v>
      </c>
      <c r="D1712" s="1" t="s">
        <v>8022</v>
      </c>
      <c r="E1712" s="12" t="str">
        <f>HYPERLINK("https://twitter.com/SirAundre/status/1217333470629896193","1217333470629896193")</f>
        <v>1217333470629896193</v>
      </c>
      <c r="F1712" s="14"/>
      <c r="G1712" s="14"/>
      <c r="H1712" s="14"/>
      <c r="I1712" s="15">
        <v>0.0</v>
      </c>
      <c r="J1712" s="15">
        <v>0.0</v>
      </c>
      <c r="K1712" s="12" t="str">
        <f>HYPERLINK("http://twitter.com/download/iphone","Twitter for iPhone")</f>
        <v>Twitter for iPhone</v>
      </c>
      <c r="L1712" s="16">
        <v>183.0</v>
      </c>
      <c r="M1712" s="16">
        <v>616.0</v>
      </c>
      <c r="N1712" s="16">
        <v>11.0</v>
      </c>
      <c r="O1712" s="17"/>
      <c r="P1712" s="18">
        <v>40119.99898148148</v>
      </c>
      <c r="Q1712" s="1" t="s">
        <v>8023</v>
      </c>
      <c r="R1712" s="1" t="s">
        <v>8024</v>
      </c>
      <c r="S1712" s="14"/>
      <c r="T1712" s="14"/>
      <c r="U1712" s="19" t="str">
        <f>HYPERLINK("https://pbs.twimg.com/profile_images/1159096819407884289/XCKZp34o.jpg","View")</f>
        <v>View</v>
      </c>
      <c r="V1712" s="14"/>
      <c r="W1712" s="14"/>
      <c r="X1712" s="14"/>
      <c r="Y1712" s="14"/>
      <c r="Z1712" s="14"/>
    </row>
    <row r="1713">
      <c r="A1713" s="11">
        <v>43845.06251157407</v>
      </c>
      <c r="B1713" s="12" t="str">
        <f>HYPERLINK("https://twitter.com/AskDrGanz","@AskDrGanz")</f>
        <v>@AskDrGanz</v>
      </c>
      <c r="C1713" s="13" t="s">
        <v>1747</v>
      </c>
      <c r="D1713" s="1" t="s">
        <v>8025</v>
      </c>
      <c r="E1713" s="12" t="str">
        <f>HYPERLINK("https://twitter.com/AskDrGanz/status/1217333095826907137","1217333095826907137")</f>
        <v>1217333095826907137</v>
      </c>
      <c r="F1713" s="13" t="s">
        <v>8026</v>
      </c>
      <c r="G1713" s="13" t="s">
        <v>8027</v>
      </c>
      <c r="H1713" s="14"/>
      <c r="I1713" s="15">
        <v>0.0</v>
      </c>
      <c r="J1713" s="15">
        <v>0.0</v>
      </c>
      <c r="K1713" s="12" t="str">
        <f>HYPERLINK("https://hiplayapp.com","Hiplay")</f>
        <v>Hiplay</v>
      </c>
      <c r="L1713" s="16">
        <v>1112.0</v>
      </c>
      <c r="M1713" s="16">
        <v>4975.0</v>
      </c>
      <c r="N1713" s="16">
        <v>5.0</v>
      </c>
      <c r="O1713" s="17"/>
      <c r="P1713" s="18">
        <v>43517.01850694444</v>
      </c>
      <c r="Q1713" s="1" t="s">
        <v>1751</v>
      </c>
      <c r="R1713" s="1" t="s">
        <v>1752</v>
      </c>
      <c r="S1713" s="13" t="s">
        <v>1753</v>
      </c>
      <c r="T1713" s="14"/>
      <c r="U1713" s="19" t="str">
        <f>HYPERLINK("https://pbs.twimg.com/profile_images/1180437526374301697/0MYADYa_.jpg","View")</f>
        <v>View</v>
      </c>
      <c r="V1713" s="14"/>
      <c r="W1713" s="14"/>
      <c r="X1713" s="14"/>
      <c r="Y1713" s="14"/>
      <c r="Z1713" s="14"/>
    </row>
    <row r="1714">
      <c r="A1714" s="11">
        <v>43845.06175925926</v>
      </c>
      <c r="B1714" s="12" t="str">
        <f>HYPERLINK("https://twitter.com/meetLindaSage","@meetLindaSage")</f>
        <v>@meetLindaSage</v>
      </c>
      <c r="C1714" s="1" t="s">
        <v>8028</v>
      </c>
      <c r="D1714" s="1" t="s">
        <v>8029</v>
      </c>
      <c r="E1714" s="12" t="str">
        <f>HYPERLINK("https://twitter.com/meetLindaSage/status/1217332822299627522","1217332822299627522")</f>
        <v>1217332822299627522</v>
      </c>
      <c r="F1714" s="13" t="s">
        <v>8030</v>
      </c>
      <c r="G1714" s="14"/>
      <c r="H1714" s="14"/>
      <c r="I1714" s="15">
        <v>0.0</v>
      </c>
      <c r="J1714" s="15">
        <v>0.0</v>
      </c>
      <c r="K1714" s="12" t="str">
        <f>HYPERLINK("http://www.facebook.com/twitter","Facebook")</f>
        <v>Facebook</v>
      </c>
      <c r="L1714" s="16">
        <v>6235.0</v>
      </c>
      <c r="M1714" s="16">
        <v>474.0</v>
      </c>
      <c r="N1714" s="16">
        <v>285.0</v>
      </c>
      <c r="O1714" s="17"/>
      <c r="P1714" s="18">
        <v>40326.409039351856</v>
      </c>
      <c r="Q1714" s="1" t="s">
        <v>1194</v>
      </c>
      <c r="R1714" s="1" t="s">
        <v>8031</v>
      </c>
      <c r="S1714" s="13" t="s">
        <v>8032</v>
      </c>
      <c r="T1714" s="14"/>
      <c r="U1714" s="19" t="str">
        <f>HYPERLINK("https://pbs.twimg.com/profile_images/1061317885199597571/RqFTh1W_.jpg","View")</f>
        <v>View</v>
      </c>
      <c r="V1714" s="14"/>
      <c r="W1714" s="14"/>
      <c r="X1714" s="14"/>
      <c r="Y1714" s="14"/>
      <c r="Z1714" s="14"/>
    </row>
    <row r="1715">
      <c r="A1715" s="11">
        <v>43845.05186342592</v>
      </c>
      <c r="B1715" s="12" t="str">
        <f>HYPERLINK("https://twitter.com/Re_activ8","@Re_activ8")</f>
        <v>@Re_activ8</v>
      </c>
      <c r="C1715" s="1" t="s">
        <v>8033</v>
      </c>
      <c r="D1715" s="1" t="s">
        <v>8034</v>
      </c>
      <c r="E1715" s="12" t="str">
        <f>HYPERLINK("https://twitter.com/Re_activ8/status/1217329235188039680","1217329235188039680")</f>
        <v>1217329235188039680</v>
      </c>
      <c r="F1715" s="13" t="s">
        <v>8035</v>
      </c>
      <c r="G1715" s="14"/>
      <c r="H1715" s="14"/>
      <c r="I1715" s="15">
        <v>0.0</v>
      </c>
      <c r="J1715" s="15">
        <v>0.0</v>
      </c>
      <c r="K1715" s="12" t="str">
        <f>HYPERLINK("http://twitter.com","Twitter Web Client")</f>
        <v>Twitter Web Client</v>
      </c>
      <c r="L1715" s="16">
        <v>284.0</v>
      </c>
      <c r="M1715" s="16">
        <v>339.0</v>
      </c>
      <c r="N1715" s="16">
        <v>1.0</v>
      </c>
      <c r="O1715" s="17"/>
      <c r="P1715" s="18">
        <v>42440.61744212963</v>
      </c>
      <c r="Q1715" s="1" t="s">
        <v>1255</v>
      </c>
      <c r="R1715" s="1" t="s">
        <v>8036</v>
      </c>
      <c r="S1715" s="13" t="s">
        <v>8037</v>
      </c>
      <c r="T1715" s="14"/>
      <c r="U1715" s="19" t="str">
        <f>HYPERLINK("https://pbs.twimg.com/profile_images/1157970205789818886/hLcSZpg_.jpg","View")</f>
        <v>View</v>
      </c>
      <c r="V1715" s="14"/>
      <c r="W1715" s="14"/>
      <c r="X1715" s="14"/>
      <c r="Y1715" s="14"/>
      <c r="Z1715" s="14"/>
    </row>
    <row r="1716">
      <c r="A1716" s="11">
        <v>43845.050034722226</v>
      </c>
      <c r="B1716" s="12" t="str">
        <f>HYPERLINK("https://twitter.com/howiestweett","@howiestweett")</f>
        <v>@howiestweett</v>
      </c>
      <c r="C1716" s="1" t="s">
        <v>8038</v>
      </c>
      <c r="D1716" s="1" t="s">
        <v>8039</v>
      </c>
      <c r="E1716" s="12" t="str">
        <f>HYPERLINK("https://twitter.com/howiestweett/status/1217328573180047361","1217328573180047361")</f>
        <v>1217328573180047361</v>
      </c>
      <c r="F1716" s="14"/>
      <c r="G1716" s="14"/>
      <c r="H1716" s="14"/>
      <c r="I1716" s="15">
        <v>1.0</v>
      </c>
      <c r="J1716" s="15">
        <v>5.0</v>
      </c>
      <c r="K1716" s="12" t="str">
        <f t="shared" ref="K1716:K1717" si="166">HYPERLINK("https://mobile.twitter.com","Twitter Web App")</f>
        <v>Twitter Web App</v>
      </c>
      <c r="L1716" s="16">
        <v>6.0</v>
      </c>
      <c r="M1716" s="16">
        <v>185.0</v>
      </c>
      <c r="N1716" s="16">
        <v>0.0</v>
      </c>
      <c r="O1716" s="17"/>
      <c r="P1716" s="18">
        <v>43436.493368055555</v>
      </c>
      <c r="Q1716" s="1" t="s">
        <v>8040</v>
      </c>
      <c r="R1716" s="1" t="s">
        <v>8041</v>
      </c>
      <c r="S1716" s="14"/>
      <c r="T1716" s="14"/>
      <c r="U1716" s="19" t="str">
        <f>HYPERLINK("https://pbs.twimg.com/profile_images/1189576493837406208/HCpqusB9.png","View")</f>
        <v>View</v>
      </c>
      <c r="V1716" s="14"/>
      <c r="W1716" s="14"/>
      <c r="X1716" s="14"/>
      <c r="Y1716" s="14"/>
      <c r="Z1716" s="14"/>
    </row>
    <row r="1717">
      <c r="A1717" s="11">
        <v>43845.0437962963</v>
      </c>
      <c r="B1717" s="12" t="str">
        <f>HYPERLINK("https://twitter.com/UpNowHypnosis","@UpNowHypnosis")</f>
        <v>@UpNowHypnosis</v>
      </c>
      <c r="C1717" s="1" t="s">
        <v>8042</v>
      </c>
      <c r="D1717" s="1" t="s">
        <v>8043</v>
      </c>
      <c r="E1717" s="12" t="str">
        <f>HYPERLINK("https://twitter.com/UpNowHypnosis/status/1217326312290840576","1217326312290840576")</f>
        <v>1217326312290840576</v>
      </c>
      <c r="F1717" s="13" t="s">
        <v>8044</v>
      </c>
      <c r="G1717" s="13" t="s">
        <v>8045</v>
      </c>
      <c r="H1717" s="14"/>
      <c r="I1717" s="15">
        <v>1.0</v>
      </c>
      <c r="J1717" s="15">
        <v>0.0</v>
      </c>
      <c r="K1717" s="12" t="str">
        <f t="shared" si="166"/>
        <v>Twitter Web App</v>
      </c>
      <c r="L1717" s="16">
        <v>35.0</v>
      </c>
      <c r="M1717" s="16">
        <v>216.0</v>
      </c>
      <c r="N1717" s="16">
        <v>0.0</v>
      </c>
      <c r="O1717" s="17"/>
      <c r="P1717" s="18">
        <v>43607.164131944446</v>
      </c>
      <c r="Q1717" s="14"/>
      <c r="R1717" s="1" t="s">
        <v>8046</v>
      </c>
      <c r="S1717" s="13" t="s">
        <v>8047</v>
      </c>
      <c r="T1717" s="14"/>
      <c r="U1717" s="19" t="str">
        <f>HYPERLINK("https://pbs.twimg.com/profile_images/1135882710906417154/HRllu7sW.png","View")</f>
        <v>View</v>
      </c>
      <c r="V1717" s="14"/>
      <c r="W1717" s="14"/>
      <c r="X1717" s="14"/>
      <c r="Y1717" s="14"/>
      <c r="Z1717" s="14"/>
    </row>
    <row r="1718">
      <c r="A1718" s="11">
        <v>43845.04175925926</v>
      </c>
      <c r="B1718" s="12" t="str">
        <f>HYPERLINK("https://twitter.com/LenmedHealth","@LenmedHealth")</f>
        <v>@LenmedHealth</v>
      </c>
      <c r="C1718" s="1" t="s">
        <v>3754</v>
      </c>
      <c r="D1718" s="1" t="s">
        <v>8048</v>
      </c>
      <c r="E1718" s="12" t="str">
        <f>HYPERLINK("https://twitter.com/LenmedHealth/status/1217325576131883008","1217325576131883008")</f>
        <v>1217325576131883008</v>
      </c>
      <c r="F1718" s="1" t="s">
        <v>3756</v>
      </c>
      <c r="G1718" s="13" t="s">
        <v>8049</v>
      </c>
      <c r="H1718" s="14"/>
      <c r="I1718" s="15">
        <v>0.0</v>
      </c>
      <c r="J1718" s="15">
        <v>0.0</v>
      </c>
      <c r="K1718" s="12" t="str">
        <f t="shared" ref="K1718:K1719" si="167">HYPERLINK("https://buffer.com","Buffer")</f>
        <v>Buffer</v>
      </c>
      <c r="L1718" s="16">
        <v>311.0</v>
      </c>
      <c r="M1718" s="16">
        <v>45.0</v>
      </c>
      <c r="N1718" s="16">
        <v>1.0</v>
      </c>
      <c r="O1718" s="17"/>
      <c r="P1718" s="18">
        <v>41437.22425925926</v>
      </c>
      <c r="Q1718" s="14"/>
      <c r="R1718" s="1" t="s">
        <v>3758</v>
      </c>
      <c r="S1718" s="13" t="s">
        <v>3759</v>
      </c>
      <c r="T1718" s="14"/>
      <c r="U1718" s="19" t="str">
        <f>HYPERLINK("https://pbs.twimg.com/profile_images/978599410128117761/eYcx6TWK.jpg","View")</f>
        <v>View</v>
      </c>
      <c r="V1718" s="14"/>
      <c r="W1718" s="14"/>
      <c r="X1718" s="14"/>
      <c r="Y1718" s="14"/>
      <c r="Z1718" s="14"/>
    </row>
    <row r="1719">
      <c r="A1719" s="11">
        <v>43845.04175925926</v>
      </c>
      <c r="B1719" s="12" t="str">
        <f>HYPERLINK("https://twitter.com/ehhc_kzn","@ehhc_kzn")</f>
        <v>@ehhc_kzn</v>
      </c>
      <c r="C1719" s="1" t="s">
        <v>3767</v>
      </c>
      <c r="D1719" s="1" t="s">
        <v>8048</v>
      </c>
      <c r="E1719" s="12" t="str">
        <f>HYPERLINK("https://twitter.com/ehhc_kzn/status/1217325575410503680","1217325575410503680")</f>
        <v>1217325575410503680</v>
      </c>
      <c r="F1719" s="1" t="s">
        <v>3756</v>
      </c>
      <c r="G1719" s="13" t="s">
        <v>8050</v>
      </c>
      <c r="H1719" s="14"/>
      <c r="I1719" s="15">
        <v>0.0</v>
      </c>
      <c r="J1719" s="15">
        <v>0.0</v>
      </c>
      <c r="K1719" s="12" t="str">
        <f t="shared" si="167"/>
        <v>Buffer</v>
      </c>
      <c r="L1719" s="16">
        <v>32.0</v>
      </c>
      <c r="M1719" s="16">
        <v>23.0</v>
      </c>
      <c r="N1719" s="16">
        <v>0.0</v>
      </c>
      <c r="O1719" s="17"/>
      <c r="P1719" s="18">
        <v>41491.5903587963</v>
      </c>
      <c r="Q1719" s="1" t="s">
        <v>3769</v>
      </c>
      <c r="R1719" s="1" t="s">
        <v>3770</v>
      </c>
      <c r="S1719" s="13" t="s">
        <v>3771</v>
      </c>
      <c r="T1719" s="14"/>
      <c r="U1719" s="19" t="str">
        <f>HYPERLINK("https://pbs.twimg.com/profile_images/892060707922915330/dRK9SXuW.jpg","View")</f>
        <v>View</v>
      </c>
      <c r="V1719" s="14"/>
      <c r="W1719" s="14"/>
      <c r="X1719" s="14"/>
      <c r="Y1719" s="14"/>
      <c r="Z1719" s="14"/>
    </row>
    <row r="1720">
      <c r="A1720" s="11">
        <v>43845.04116898148</v>
      </c>
      <c r="B1720" s="12" t="str">
        <f>HYPERLINK("https://twitter.com/PharmaProff","@PharmaProff")</f>
        <v>@PharmaProff</v>
      </c>
      <c r="C1720" s="1" t="s">
        <v>8051</v>
      </c>
      <c r="D1720" s="1" t="s">
        <v>8052</v>
      </c>
      <c r="E1720" s="12" t="str">
        <f>HYPERLINK("https://twitter.com/PharmaProff/status/1217325359743426561","1217325359743426561")</f>
        <v>1217325359743426561</v>
      </c>
      <c r="F1720" s="13" t="s">
        <v>8053</v>
      </c>
      <c r="G1720" s="13" t="s">
        <v>8054</v>
      </c>
      <c r="H1720" s="14"/>
      <c r="I1720" s="15">
        <v>0.0</v>
      </c>
      <c r="J1720" s="15">
        <v>0.0</v>
      </c>
      <c r="K1720" s="12" t="str">
        <f>HYPERLINK("https://mobile.twitter.com","Twitter Web App")</f>
        <v>Twitter Web App</v>
      </c>
      <c r="L1720" s="16">
        <v>19.0</v>
      </c>
      <c r="M1720" s="16">
        <v>118.0</v>
      </c>
      <c r="N1720" s="16">
        <v>1.0</v>
      </c>
      <c r="O1720" s="17"/>
      <c r="P1720" s="18">
        <v>43081.16564814815</v>
      </c>
      <c r="Q1720" s="1" t="s">
        <v>1472</v>
      </c>
      <c r="R1720" s="1" t="s">
        <v>8055</v>
      </c>
      <c r="S1720" s="13" t="s">
        <v>8056</v>
      </c>
      <c r="T1720" s="14"/>
      <c r="U1720" s="19" t="str">
        <f>HYPERLINK("https://pbs.twimg.com/profile_images/1090504682491994112/jzTrBOWi.jpg","View")</f>
        <v>View</v>
      </c>
      <c r="V1720" s="14"/>
      <c r="W1720" s="14"/>
      <c r="X1720" s="14"/>
      <c r="Y1720" s="14"/>
      <c r="Z1720" s="14"/>
    </row>
    <row r="1721">
      <c r="A1721" s="11">
        <v>43845.040717592594</v>
      </c>
      <c r="B1721" s="12" t="str">
        <f t="shared" ref="B1721:B1722" si="168">HYPERLINK("https://twitter.com/TheSportyKing","@TheSportyKing")</f>
        <v>@TheSportyKing</v>
      </c>
      <c r="C1721" s="1" t="s">
        <v>4705</v>
      </c>
      <c r="D1721" s="1" t="s">
        <v>8057</v>
      </c>
      <c r="E1721" s="12" t="str">
        <f>HYPERLINK("https://twitter.com/TheSportyKing/status/1217325199252762624","1217325199252762624")</f>
        <v>1217325199252762624</v>
      </c>
      <c r="F1721" s="13" t="s">
        <v>8058</v>
      </c>
      <c r="G1721" s="14"/>
      <c r="H1721" s="14"/>
      <c r="I1721" s="15">
        <v>0.0</v>
      </c>
      <c r="J1721" s="15">
        <v>1.0</v>
      </c>
      <c r="K1721" s="12" t="str">
        <f>HYPERLINK("http://instagram.com","Instagram")</f>
        <v>Instagram</v>
      </c>
      <c r="L1721" s="16">
        <v>1238.0</v>
      </c>
      <c r="M1721" s="16">
        <v>1491.0</v>
      </c>
      <c r="N1721" s="16">
        <v>61.0</v>
      </c>
      <c r="O1721" s="17"/>
      <c r="P1721" s="18">
        <v>40265.58565972222</v>
      </c>
      <c r="Q1721" s="1" t="s">
        <v>719</v>
      </c>
      <c r="R1721" s="1" t="s">
        <v>4708</v>
      </c>
      <c r="S1721" s="13" t="s">
        <v>4709</v>
      </c>
      <c r="T1721" s="14"/>
      <c r="U1721" s="19" t="str">
        <f t="shared" ref="U1721:U1722" si="169">HYPERLINK("https://pbs.twimg.com/profile_images/711691854496989184/4Jx32ljp.jpg","View")</f>
        <v>View</v>
      </c>
      <c r="V1721" s="14"/>
      <c r="W1721" s="14"/>
      <c r="X1721" s="14"/>
      <c r="Y1721" s="14"/>
      <c r="Z1721" s="14"/>
    </row>
    <row r="1722">
      <c r="A1722" s="11">
        <v>43845.037777777776</v>
      </c>
      <c r="B1722" s="12" t="str">
        <f t="shared" si="168"/>
        <v>@TheSportyKing</v>
      </c>
      <c r="C1722" s="1" t="s">
        <v>4705</v>
      </c>
      <c r="D1722" s="1" t="s">
        <v>8059</v>
      </c>
      <c r="E1722" s="12" t="str">
        <f>HYPERLINK("https://twitter.com/TheSportyKing/status/1217324132494467073","1217324132494467073")</f>
        <v>1217324132494467073</v>
      </c>
      <c r="F1722" s="14"/>
      <c r="G1722" s="13" t="s">
        <v>8060</v>
      </c>
      <c r="H1722" s="14"/>
      <c r="I1722" s="15">
        <v>1.0</v>
      </c>
      <c r="J1722" s="15">
        <v>1.0</v>
      </c>
      <c r="K1722" s="12" t="str">
        <f>HYPERLINK("https://mobile.twitter.com","Twitter Web App")</f>
        <v>Twitter Web App</v>
      </c>
      <c r="L1722" s="16">
        <v>1238.0</v>
      </c>
      <c r="M1722" s="16">
        <v>1491.0</v>
      </c>
      <c r="N1722" s="16">
        <v>61.0</v>
      </c>
      <c r="O1722" s="17"/>
      <c r="P1722" s="18">
        <v>40265.58565972222</v>
      </c>
      <c r="Q1722" s="1" t="s">
        <v>719</v>
      </c>
      <c r="R1722" s="1" t="s">
        <v>4708</v>
      </c>
      <c r="S1722" s="13" t="s">
        <v>4709</v>
      </c>
      <c r="T1722" s="14"/>
      <c r="U1722" s="19" t="str">
        <f t="shared" si="169"/>
        <v>View</v>
      </c>
      <c r="V1722" s="14"/>
      <c r="W1722" s="14"/>
      <c r="X1722" s="14"/>
      <c r="Y1722" s="14"/>
      <c r="Z1722" s="14"/>
    </row>
    <row r="1723">
      <c r="A1723" s="11">
        <v>43845.03251157407</v>
      </c>
      <c r="B1723" s="12" t="str">
        <f>HYPERLINK("https://twitter.com/Carameleon","@Carameleon")</f>
        <v>@Carameleon</v>
      </c>
      <c r="C1723" s="1" t="s">
        <v>8061</v>
      </c>
      <c r="D1723" s="1" t="s">
        <v>8062</v>
      </c>
      <c r="E1723" s="12" t="str">
        <f>HYPERLINK("https://twitter.com/Carameleon/status/1217322221561163777","1217322221561163777")</f>
        <v>1217322221561163777</v>
      </c>
      <c r="F1723" s="14"/>
      <c r="G1723" s="14"/>
      <c r="H1723" s="14"/>
      <c r="I1723" s="15">
        <v>0.0</v>
      </c>
      <c r="J1723" s="15">
        <v>1.0</v>
      </c>
      <c r="K1723" s="12" t="str">
        <f>HYPERLINK("http://twitter.com/download/android","Twitter for Android")</f>
        <v>Twitter for Android</v>
      </c>
      <c r="L1723" s="16">
        <v>9.0</v>
      </c>
      <c r="M1723" s="16">
        <v>10.0</v>
      </c>
      <c r="N1723" s="16">
        <v>0.0</v>
      </c>
      <c r="O1723" s="17"/>
      <c r="P1723" s="18">
        <v>40188.77339120371</v>
      </c>
      <c r="Q1723" s="1" t="s">
        <v>727</v>
      </c>
      <c r="R1723" s="1" t="s">
        <v>8063</v>
      </c>
      <c r="S1723" s="14"/>
      <c r="T1723" s="14"/>
      <c r="U1723" s="19" t="str">
        <f>HYPERLINK("https://pbs.twimg.com/profile_images/856455500799524864/ZNbahdjW.jpg","View")</f>
        <v>View</v>
      </c>
      <c r="V1723" s="14"/>
      <c r="W1723" s="14"/>
      <c r="X1723" s="14"/>
      <c r="Y1723" s="14"/>
      <c r="Z1723" s="14"/>
    </row>
    <row r="1724">
      <c r="A1724" s="11">
        <v>43845.02916666667</v>
      </c>
      <c r="B1724" s="12" t="str">
        <f>HYPERLINK("https://twitter.com/BugSpeaks","@BugSpeaks")</f>
        <v>@BugSpeaks</v>
      </c>
      <c r="C1724" s="1" t="s">
        <v>8064</v>
      </c>
      <c r="D1724" s="1" t="s">
        <v>8065</v>
      </c>
      <c r="E1724" s="12" t="str">
        <f>HYPERLINK("https://twitter.com/BugSpeaks/status/1217321012146008064","1217321012146008064")</f>
        <v>1217321012146008064</v>
      </c>
      <c r="F1724" s="13" t="s">
        <v>8066</v>
      </c>
      <c r="G1724" s="14"/>
      <c r="H1724" s="14"/>
      <c r="I1724" s="15">
        <v>0.0</v>
      </c>
      <c r="J1724" s="15">
        <v>0.0</v>
      </c>
      <c r="K1724" s="12" t="str">
        <f>HYPERLINK("https://drumup.io","drumup.io")</f>
        <v>drumup.io</v>
      </c>
      <c r="L1724" s="16">
        <v>183.0</v>
      </c>
      <c r="M1724" s="16">
        <v>140.0</v>
      </c>
      <c r="N1724" s="16">
        <v>2.0</v>
      </c>
      <c r="O1724" s="17"/>
      <c r="P1724" s="18">
        <v>43248.53090277778</v>
      </c>
      <c r="Q1724" s="1" t="s">
        <v>72</v>
      </c>
      <c r="R1724" s="1" t="s">
        <v>8067</v>
      </c>
      <c r="S1724" s="13" t="s">
        <v>8068</v>
      </c>
      <c r="T1724" s="14"/>
      <c r="U1724" s="19" t="str">
        <f>HYPERLINK("https://pbs.twimg.com/profile_images/1098533980926763008/lSi9rJM5.png","View")</f>
        <v>View</v>
      </c>
      <c r="V1724" s="14"/>
      <c r="W1724" s="14"/>
      <c r="X1724" s="14"/>
      <c r="Y1724" s="14"/>
      <c r="Z1724" s="14"/>
    </row>
    <row r="1725">
      <c r="A1725" s="11">
        <v>43845.02657407407</v>
      </c>
      <c r="B1725" s="12" t="str">
        <f>HYPERLINK("https://twitter.com/renascencemusic","@renascencemusic")</f>
        <v>@renascencemusic</v>
      </c>
      <c r="C1725" s="1" t="s">
        <v>247</v>
      </c>
      <c r="D1725" s="1" t="s">
        <v>8069</v>
      </c>
      <c r="E1725" s="12" t="str">
        <f>HYPERLINK("https://twitter.com/renascencemusic/status/1217320071011409921","1217320071011409921")</f>
        <v>1217320071011409921</v>
      </c>
      <c r="F1725" s="13" t="s">
        <v>2487</v>
      </c>
      <c r="G1725" s="13" t="s">
        <v>8070</v>
      </c>
      <c r="H1725" s="14"/>
      <c r="I1725" s="15">
        <v>0.0</v>
      </c>
      <c r="J1725" s="15">
        <v>0.0</v>
      </c>
      <c r="K1725" s="12" t="str">
        <f>HYPERLINK("https://www.socialoomph.com","SocialOomph")</f>
        <v>SocialOomph</v>
      </c>
      <c r="L1725" s="16">
        <v>13031.0</v>
      </c>
      <c r="M1725" s="16">
        <v>11650.0</v>
      </c>
      <c r="N1725" s="16">
        <v>219.0</v>
      </c>
      <c r="O1725" s="17"/>
      <c r="P1725" s="18">
        <v>42470.67052083333</v>
      </c>
      <c r="Q1725" s="1" t="s">
        <v>251</v>
      </c>
      <c r="R1725" s="1" t="s">
        <v>252</v>
      </c>
      <c r="S1725" s="13" t="s">
        <v>253</v>
      </c>
      <c r="T1725" s="14"/>
      <c r="U1725" s="19" t="str">
        <f>HYPERLINK("https://pbs.twimg.com/profile_images/1123407512743612416/g721ra2J.png","View")</f>
        <v>View</v>
      </c>
      <c r="V1725" s="14"/>
      <c r="W1725" s="14"/>
      <c r="X1725" s="14"/>
      <c r="Y1725" s="14"/>
      <c r="Z1725" s="14"/>
    </row>
    <row r="1726">
      <c r="A1726" s="11">
        <v>43844.98763888889</v>
      </c>
      <c r="B1726" s="12" t="str">
        <f>HYPERLINK("https://twitter.com/GoyenecheRenee","@GoyenecheRenee")</f>
        <v>@GoyenecheRenee</v>
      </c>
      <c r="C1726" s="1" t="s">
        <v>8071</v>
      </c>
      <c r="D1726" s="1" t="s">
        <v>8072</v>
      </c>
      <c r="E1726" s="12" t="str">
        <f>HYPERLINK("https://twitter.com/GoyenecheRenee/status/1217305960814768133","1217305960814768133")</f>
        <v>1217305960814768133</v>
      </c>
      <c r="F1726" s="13" t="s">
        <v>8073</v>
      </c>
      <c r="G1726" s="14"/>
      <c r="H1726" s="14"/>
      <c r="I1726" s="15">
        <v>3.0</v>
      </c>
      <c r="J1726" s="15">
        <v>9.0</v>
      </c>
      <c r="K1726" s="12" t="str">
        <f>HYPERLINK("https://mobile.twitter.com","Twitter Web App")</f>
        <v>Twitter Web App</v>
      </c>
      <c r="L1726" s="16">
        <v>7185.0</v>
      </c>
      <c r="M1726" s="16">
        <v>7190.0</v>
      </c>
      <c r="N1726" s="16">
        <v>51.0</v>
      </c>
      <c r="O1726" s="17"/>
      <c r="P1726" s="18">
        <v>43774.59521990741</v>
      </c>
      <c r="Q1726" s="14"/>
      <c r="R1726" s="1" t="s">
        <v>8074</v>
      </c>
      <c r="S1726" s="13" t="s">
        <v>8075</v>
      </c>
      <c r="T1726" s="14"/>
      <c r="U1726" s="19" t="str">
        <f>HYPERLINK("https://pbs.twimg.com/profile_images/1202647174225379329/NUUy2rlG.jpg","View")</f>
        <v>View</v>
      </c>
      <c r="V1726" s="14"/>
      <c r="W1726" s="14"/>
      <c r="X1726" s="14"/>
      <c r="Y1726" s="14"/>
      <c r="Z1726" s="14"/>
    </row>
    <row r="1727">
      <c r="A1727" s="11">
        <v>43844.987233796295</v>
      </c>
      <c r="B1727" s="12" t="str">
        <f>HYPERLINK("https://twitter.com/poeticgirl86","@poeticgirl86")</f>
        <v>@poeticgirl86</v>
      </c>
      <c r="C1727" s="1" t="s">
        <v>8076</v>
      </c>
      <c r="D1727" s="1" t="s">
        <v>8077</v>
      </c>
      <c r="E1727" s="12" t="str">
        <f>HYPERLINK("https://twitter.com/poeticgirl86/status/1217305815050342400","1217305815050342400")</f>
        <v>1217305815050342400</v>
      </c>
      <c r="F1727" s="14"/>
      <c r="G1727" s="13" t="s">
        <v>8078</v>
      </c>
      <c r="H1727" s="14"/>
      <c r="I1727" s="15">
        <v>0.0</v>
      </c>
      <c r="J1727" s="15">
        <v>1.0</v>
      </c>
      <c r="K1727" s="12" t="str">
        <f t="shared" ref="K1727:K1729" si="170">HYPERLINK("http://twitter.com/download/android","Twitter for Android")</f>
        <v>Twitter for Android</v>
      </c>
      <c r="L1727" s="16">
        <v>256.0</v>
      </c>
      <c r="M1727" s="16">
        <v>147.0</v>
      </c>
      <c r="N1727" s="16">
        <v>1.0</v>
      </c>
      <c r="O1727" s="17"/>
      <c r="P1727" s="18">
        <v>43749.059340277774</v>
      </c>
      <c r="Q1727" s="14"/>
      <c r="R1727" s="1" t="s">
        <v>8079</v>
      </c>
      <c r="S1727" s="14"/>
      <c r="T1727" s="14"/>
      <c r="U1727" s="19" t="str">
        <f>HYPERLINK("https://pbs.twimg.com/profile_images/1218670414068690944/3vrDA-tN.jpg","View")</f>
        <v>View</v>
      </c>
      <c r="V1727" s="14"/>
      <c r="W1727" s="14"/>
      <c r="X1727" s="14"/>
      <c r="Y1727" s="14"/>
      <c r="Z1727" s="14"/>
    </row>
    <row r="1728">
      <c r="A1728" s="11">
        <v>43844.97828703704</v>
      </c>
      <c r="B1728" s="12" t="str">
        <f>HYPERLINK("https://twitter.com/preservawellnes","@preservawellnes")</f>
        <v>@preservawellnes</v>
      </c>
      <c r="C1728" s="1" t="s">
        <v>8080</v>
      </c>
      <c r="D1728" s="1" t="s">
        <v>8081</v>
      </c>
      <c r="E1728" s="12" t="str">
        <f>HYPERLINK("https://twitter.com/preservawellnes/status/1217302573071261696","1217302573071261696")</f>
        <v>1217302573071261696</v>
      </c>
      <c r="F1728" s="14"/>
      <c r="G1728" s="14"/>
      <c r="H1728" s="14"/>
      <c r="I1728" s="15">
        <v>0.0</v>
      </c>
      <c r="J1728" s="15">
        <v>0.0</v>
      </c>
      <c r="K1728" s="12" t="str">
        <f t="shared" si="170"/>
        <v>Twitter for Android</v>
      </c>
      <c r="L1728" s="16">
        <v>247.0</v>
      </c>
      <c r="M1728" s="16">
        <v>73.0</v>
      </c>
      <c r="N1728" s="16">
        <v>1.0</v>
      </c>
      <c r="O1728" s="17"/>
      <c r="P1728" s="18">
        <v>42768.09637731481</v>
      </c>
      <c r="Q1728" s="1" t="s">
        <v>1467</v>
      </c>
      <c r="R1728" s="1" t="s">
        <v>8082</v>
      </c>
      <c r="S1728" s="13" t="s">
        <v>8083</v>
      </c>
      <c r="T1728" s="14"/>
      <c r="U1728" s="19" t="str">
        <f>HYPERLINK("https://pbs.twimg.com/profile_images/1213098144612794368/2nBzaVgJ.jpg","View")</f>
        <v>View</v>
      </c>
      <c r="V1728" s="14"/>
      <c r="W1728" s="14"/>
      <c r="X1728" s="14"/>
      <c r="Y1728" s="14"/>
      <c r="Z1728" s="14"/>
    </row>
    <row r="1729">
      <c r="A1729" s="11">
        <v>43844.9740625</v>
      </c>
      <c r="B1729" s="12" t="str">
        <f>HYPERLINK("https://twitter.com/LVladimirReyes","@LVladimirReyes")</f>
        <v>@LVladimirReyes</v>
      </c>
      <c r="C1729" s="1" t="s">
        <v>8084</v>
      </c>
      <c r="D1729" s="1" t="s">
        <v>8085</v>
      </c>
      <c r="E1729" s="12" t="str">
        <f>HYPERLINK("https://twitter.com/LVladimirReyes/status/1217301044046286848","1217301044046286848")</f>
        <v>1217301044046286848</v>
      </c>
      <c r="F1729" s="1" t="s">
        <v>8086</v>
      </c>
      <c r="G1729" s="13" t="s">
        <v>8087</v>
      </c>
      <c r="H1729" s="14"/>
      <c r="I1729" s="15">
        <v>0.0</v>
      </c>
      <c r="J1729" s="15">
        <v>0.0</v>
      </c>
      <c r="K1729" s="12" t="str">
        <f t="shared" si="170"/>
        <v>Twitter for Android</v>
      </c>
      <c r="L1729" s="16">
        <v>1373.0</v>
      </c>
      <c r="M1729" s="16">
        <v>1325.0</v>
      </c>
      <c r="N1729" s="16">
        <v>276.0</v>
      </c>
      <c r="O1729" s="17"/>
      <c r="P1729" s="18">
        <v>41290.72431712963</v>
      </c>
      <c r="Q1729" s="1" t="s">
        <v>640</v>
      </c>
      <c r="R1729" s="1" t="s">
        <v>8088</v>
      </c>
      <c r="S1729" s="14"/>
      <c r="T1729" s="14"/>
      <c r="U1729" s="19" t="str">
        <f>HYPERLINK("https://pbs.twimg.com/profile_images/608760697946796032/R8ASIafg.jpg","View")</f>
        <v>View</v>
      </c>
      <c r="V1729" s="14"/>
      <c r="W1729" s="14"/>
      <c r="X1729" s="14"/>
      <c r="Y1729" s="14"/>
      <c r="Z1729" s="14"/>
    </row>
    <row r="1730">
      <c r="A1730" s="11">
        <v>43844.97226851852</v>
      </c>
      <c r="B1730" s="12" t="str">
        <f>HYPERLINK("https://twitter.com/TLA_champion","@TLA_champion")</f>
        <v>@TLA_champion</v>
      </c>
      <c r="C1730" s="1" t="s">
        <v>306</v>
      </c>
      <c r="D1730" s="1" t="s">
        <v>8089</v>
      </c>
      <c r="E1730" s="12" t="str">
        <f>HYPERLINK("https://twitter.com/TLA_champion/status/1217300391798415360","1217300391798415360")</f>
        <v>1217300391798415360</v>
      </c>
      <c r="F1730" s="13" t="s">
        <v>8090</v>
      </c>
      <c r="G1730" s="13" t="s">
        <v>8091</v>
      </c>
      <c r="H1730" s="14"/>
      <c r="I1730" s="15">
        <v>1.0</v>
      </c>
      <c r="J1730" s="15">
        <v>1.0</v>
      </c>
      <c r="K1730" s="12" t="str">
        <f>HYPERLINK("https://buffer.com","Buffer")</f>
        <v>Buffer</v>
      </c>
      <c r="L1730" s="16">
        <v>1270.0</v>
      </c>
      <c r="M1730" s="16">
        <v>2002.0</v>
      </c>
      <c r="N1730" s="16">
        <v>92.0</v>
      </c>
      <c r="O1730" s="17"/>
      <c r="P1730" s="18">
        <v>42024.52983796297</v>
      </c>
      <c r="Q1730" s="1" t="s">
        <v>309</v>
      </c>
      <c r="R1730" s="1" t="s">
        <v>310</v>
      </c>
      <c r="S1730" s="13" t="s">
        <v>311</v>
      </c>
      <c r="T1730" s="14"/>
      <c r="U1730" s="19" t="str">
        <f>HYPERLINK("https://pbs.twimg.com/profile_images/928633251148828673/rZ78O3tA.jpg","View")</f>
        <v>View</v>
      </c>
      <c r="V1730" s="14"/>
      <c r="W1730" s="14"/>
      <c r="X1730" s="14"/>
      <c r="Y1730" s="14"/>
      <c r="Z1730" s="14"/>
    </row>
    <row r="1731">
      <c r="A1731" s="11">
        <v>43844.96861111111</v>
      </c>
      <c r="B1731" s="12" t="str">
        <f>HYPERLINK("https://twitter.com/EdiblesZz","@EdiblesZz")</f>
        <v>@EdiblesZz</v>
      </c>
      <c r="C1731" s="1" t="s">
        <v>111</v>
      </c>
      <c r="D1731" s="1" t="s">
        <v>8092</v>
      </c>
      <c r="E1731" s="12" t="str">
        <f>HYPERLINK("https://twitter.com/EdiblesZz/status/1217299066578722816","1217299066578722816")</f>
        <v>1217299066578722816</v>
      </c>
      <c r="F1731" s="13" t="s">
        <v>113</v>
      </c>
      <c r="G1731" s="13" t="s">
        <v>8093</v>
      </c>
      <c r="H1731" s="14"/>
      <c r="I1731" s="15">
        <v>1.0</v>
      </c>
      <c r="J1731" s="15">
        <v>2.0</v>
      </c>
      <c r="K1731" s="12" t="str">
        <f>HYPERLINK("https://mobile.twitter.com","Twitter Web App")</f>
        <v>Twitter Web App</v>
      </c>
      <c r="L1731" s="16">
        <v>572.0</v>
      </c>
      <c r="M1731" s="16">
        <v>2994.0</v>
      </c>
      <c r="N1731" s="16">
        <v>0.0</v>
      </c>
      <c r="O1731" s="17"/>
      <c r="P1731" s="18">
        <v>43710.57782407408</v>
      </c>
      <c r="Q1731" s="1" t="s">
        <v>115</v>
      </c>
      <c r="R1731" s="1" t="s">
        <v>116</v>
      </c>
      <c r="S1731" s="13" t="s">
        <v>117</v>
      </c>
      <c r="T1731" s="14"/>
      <c r="U1731" s="19" t="str">
        <f>HYPERLINK("https://pbs.twimg.com/profile_images/1168582465058934785/vS2Yhnlj.jpg","View")</f>
        <v>View</v>
      </c>
      <c r="V1731" s="14"/>
      <c r="W1731" s="14"/>
      <c r="X1731" s="14"/>
      <c r="Y1731" s="14"/>
      <c r="Z1731" s="14"/>
    </row>
    <row r="1732">
      <c r="A1732" s="11">
        <v>43844.96530092593</v>
      </c>
      <c r="B1732" s="12" t="str">
        <f>HYPERLINK("https://twitter.com/hospital_health","@hospital_health")</f>
        <v>@hospital_health</v>
      </c>
      <c r="C1732" s="1" t="s">
        <v>8094</v>
      </c>
      <c r="D1732" s="1" t="s">
        <v>8095</v>
      </c>
      <c r="E1732" s="12" t="str">
        <f>HYPERLINK("https://twitter.com/hospital_health/status/1217297866013671424","1217297866013671424")</f>
        <v>1217297866013671424</v>
      </c>
      <c r="F1732" s="13" t="s">
        <v>8096</v>
      </c>
      <c r="G1732" s="13" t="s">
        <v>8097</v>
      </c>
      <c r="H1732" s="14"/>
      <c r="I1732" s="15">
        <v>2.0</v>
      </c>
      <c r="J1732" s="15">
        <v>0.0</v>
      </c>
      <c r="K1732" s="12" t="str">
        <f>HYPERLINK("https://buffer.com","Buffer")</f>
        <v>Buffer</v>
      </c>
      <c r="L1732" s="16">
        <v>739.0</v>
      </c>
      <c r="M1732" s="16">
        <v>587.0</v>
      </c>
      <c r="N1732" s="16">
        <v>25.0</v>
      </c>
      <c r="O1732" s="17"/>
      <c r="P1732" s="18">
        <v>41157.08199074074</v>
      </c>
      <c r="Q1732" s="1" t="s">
        <v>51</v>
      </c>
      <c r="R1732" s="1" t="s">
        <v>8098</v>
      </c>
      <c r="S1732" s="13" t="s">
        <v>8099</v>
      </c>
      <c r="T1732" s="14"/>
      <c r="U1732" s="19" t="str">
        <f>HYPERLINK("https://pbs.twimg.com/profile_images/1067619768419549184/Y4DOH9Iv.jpg","View")</f>
        <v>View</v>
      </c>
      <c r="V1732" s="14"/>
      <c r="W1732" s="14"/>
      <c r="X1732" s="14"/>
      <c r="Y1732" s="14"/>
      <c r="Z1732" s="14"/>
    </row>
    <row r="1733">
      <c r="A1733" s="11">
        <v>43844.96289351852</v>
      </c>
      <c r="B1733" s="12" t="str">
        <f>HYPERLINK("https://twitter.com/ValDigang","@ValDigang")</f>
        <v>@ValDigang</v>
      </c>
      <c r="C1733" s="1" t="s">
        <v>8100</v>
      </c>
      <c r="D1733" s="1" t="s">
        <v>8101</v>
      </c>
      <c r="E1733" s="12" t="str">
        <f>HYPERLINK("https://twitter.com/ValDigang/status/1217296992918851584","1217296992918851584")</f>
        <v>1217296992918851584</v>
      </c>
      <c r="F1733" s="14"/>
      <c r="G1733" s="13" t="s">
        <v>8102</v>
      </c>
      <c r="H1733" s="14"/>
      <c r="I1733" s="15">
        <v>0.0</v>
      </c>
      <c r="J1733" s="15">
        <v>0.0</v>
      </c>
      <c r="K1733" s="12" t="str">
        <f t="shared" ref="K1733:K1734" si="171">HYPERLINK("http://twitter.com/download/android","Twitter for Android")</f>
        <v>Twitter for Android</v>
      </c>
      <c r="L1733" s="16">
        <v>9.0</v>
      </c>
      <c r="M1733" s="16">
        <v>38.0</v>
      </c>
      <c r="N1733" s="16">
        <v>0.0</v>
      </c>
      <c r="O1733" s="17"/>
      <c r="P1733" s="18">
        <v>43611.74377314815</v>
      </c>
      <c r="Q1733" s="14"/>
      <c r="R1733" s="1" t="s">
        <v>8103</v>
      </c>
      <c r="S1733" s="14"/>
      <c r="T1733" s="14"/>
      <c r="U1733" s="19" t="str">
        <f>HYPERLINK("https://pbs.twimg.com/profile_images/1217295171332689920/nNoR6mlr.jpg","View")</f>
        <v>View</v>
      </c>
      <c r="V1733" s="14"/>
      <c r="W1733" s="14"/>
      <c r="X1733" s="14"/>
      <c r="Y1733" s="14"/>
      <c r="Z1733" s="14"/>
    </row>
    <row r="1734">
      <c r="A1734" s="11">
        <v>43844.95923611111</v>
      </c>
      <c r="B1734" s="12" t="str">
        <f>HYPERLINK("https://twitter.com/kaela_arnold","@kaela_arnold")</f>
        <v>@kaela_arnold</v>
      </c>
      <c r="C1734" s="1" t="s">
        <v>8104</v>
      </c>
      <c r="D1734" s="1" t="s">
        <v>8105</v>
      </c>
      <c r="E1734" s="12" t="str">
        <f>HYPERLINK("https://twitter.com/kaela_arnold/status/1217295669104242688","1217295669104242688")</f>
        <v>1217295669104242688</v>
      </c>
      <c r="F1734" s="14"/>
      <c r="G1734" s="14"/>
      <c r="H1734" s="14"/>
      <c r="I1734" s="15">
        <v>0.0</v>
      </c>
      <c r="J1734" s="15">
        <v>2.0</v>
      </c>
      <c r="K1734" s="12" t="str">
        <f t="shared" si="171"/>
        <v>Twitter for Android</v>
      </c>
      <c r="L1734" s="16">
        <v>200.0</v>
      </c>
      <c r="M1734" s="16">
        <v>695.0</v>
      </c>
      <c r="N1734" s="16">
        <v>1.0</v>
      </c>
      <c r="O1734" s="17"/>
      <c r="P1734" s="18">
        <v>42156.870104166665</v>
      </c>
      <c r="Q1734" s="1" t="s">
        <v>8106</v>
      </c>
      <c r="R1734" s="1" t="s">
        <v>8107</v>
      </c>
      <c r="S1734" s="14"/>
      <c r="T1734" s="14"/>
      <c r="U1734" s="19" t="str">
        <f>HYPERLINK("https://pbs.twimg.com/profile_images/1123541334655037442/S3AKx9YK.jpg","View")</f>
        <v>View</v>
      </c>
      <c r="V1734" s="14"/>
      <c r="W1734" s="14"/>
      <c r="X1734" s="14"/>
      <c r="Y1734" s="14"/>
      <c r="Z1734" s="14"/>
    </row>
    <row r="1735">
      <c r="A1735" s="11">
        <v>43844.95866898148</v>
      </c>
      <c r="B1735" s="12" t="str">
        <f>HYPERLINK("https://twitter.com/perrymardon","@perrymardon")</f>
        <v>@perrymardon</v>
      </c>
      <c r="C1735" s="1" t="s">
        <v>324</v>
      </c>
      <c r="D1735" s="1" t="s">
        <v>325</v>
      </c>
      <c r="E1735" s="12" t="str">
        <f>HYPERLINK("https://twitter.com/perrymardon/status/1217295462576857088","1217295462576857088")</f>
        <v>1217295462576857088</v>
      </c>
      <c r="F1735" s="13" t="s">
        <v>8108</v>
      </c>
      <c r="G1735" s="13" t="s">
        <v>8109</v>
      </c>
      <c r="H1735" s="14"/>
      <c r="I1735" s="15">
        <v>0.0</v>
      </c>
      <c r="J1735" s="15">
        <v>0.0</v>
      </c>
      <c r="K1735" s="12" t="str">
        <f>HYPERLINK("https://www.socialreport.com","SocialReport.com")</f>
        <v>SocialReport.com</v>
      </c>
      <c r="L1735" s="16">
        <v>112.0</v>
      </c>
      <c r="M1735" s="16">
        <v>127.0</v>
      </c>
      <c r="N1735" s="16">
        <v>4.0</v>
      </c>
      <c r="O1735" s="17"/>
      <c r="P1735" s="18">
        <v>39885.2746412037</v>
      </c>
      <c r="Q1735" s="1" t="s">
        <v>328</v>
      </c>
      <c r="R1735" s="1" t="s">
        <v>329</v>
      </c>
      <c r="S1735" s="13" t="s">
        <v>330</v>
      </c>
      <c r="T1735" s="14"/>
      <c r="U1735" s="19" t="str">
        <f>HYPERLINK("https://pbs.twimg.com/profile_images/1138325853396512770/NKNeY3t3.jpg","View")</f>
        <v>View</v>
      </c>
      <c r="V1735" s="14"/>
      <c r="W1735" s="14"/>
      <c r="X1735" s="14"/>
      <c r="Y1735" s="14"/>
      <c r="Z1735" s="14"/>
    </row>
    <row r="1736">
      <c r="A1736" s="11">
        <v>43844.95416666666</v>
      </c>
      <c r="B1736" s="12" t="str">
        <f>HYPERLINK("https://twitter.com/Eatfit247","@Eatfit247")</f>
        <v>@Eatfit247</v>
      </c>
      <c r="C1736" s="1" t="s">
        <v>8110</v>
      </c>
      <c r="D1736" s="1" t="s">
        <v>8111</v>
      </c>
      <c r="E1736" s="12" t="str">
        <f>HYPERLINK("https://twitter.com/Eatfit247/status/1217293831370084353","1217293831370084353")</f>
        <v>1217293831370084353</v>
      </c>
      <c r="F1736" s="14"/>
      <c r="G1736" s="13" t="s">
        <v>8112</v>
      </c>
      <c r="H1736" s="14"/>
      <c r="I1736" s="15">
        <v>0.0</v>
      </c>
      <c r="J1736" s="15">
        <v>1.0</v>
      </c>
      <c r="K1736" s="12" t="str">
        <f>HYPERLINK("https://mobile.twitter.com","Twitter Web App")</f>
        <v>Twitter Web App</v>
      </c>
      <c r="L1736" s="16">
        <v>59.0</v>
      </c>
      <c r="M1736" s="16">
        <v>9.0</v>
      </c>
      <c r="N1736" s="16">
        <v>0.0</v>
      </c>
      <c r="O1736" s="17"/>
      <c r="P1736" s="18">
        <v>42808.304872685185</v>
      </c>
      <c r="Q1736" s="1" t="s">
        <v>1160</v>
      </c>
      <c r="R1736" s="1" t="s">
        <v>8113</v>
      </c>
      <c r="S1736" s="14"/>
      <c r="T1736" s="14"/>
      <c r="U1736" s="19" t="str">
        <f>HYPERLINK("https://pbs.twimg.com/profile_images/1055091155518414848/TZ6tvigV.jpg","View")</f>
        <v>View</v>
      </c>
      <c r="V1736" s="14"/>
      <c r="W1736" s="14"/>
      <c r="X1736" s="14"/>
      <c r="Y1736" s="14"/>
      <c r="Z1736" s="14"/>
    </row>
    <row r="1737">
      <c r="A1737" s="11">
        <v>43844.95141203704</v>
      </c>
      <c r="B1737" s="12" t="str">
        <f>HYPERLINK("https://twitter.com/RobbinsGroupLLC","@RobbinsGroupLLC")</f>
        <v>@RobbinsGroupLLC</v>
      </c>
      <c r="C1737" s="1" t="s">
        <v>8114</v>
      </c>
      <c r="D1737" s="1" t="s">
        <v>8115</v>
      </c>
      <c r="E1737" s="12" t="str">
        <f>HYPERLINK("https://twitter.com/RobbinsGroupLLC/status/1217292835680067585","1217292835680067585")</f>
        <v>1217292835680067585</v>
      </c>
      <c r="F1737" s="13" t="s">
        <v>8116</v>
      </c>
      <c r="G1737" s="13" t="s">
        <v>8117</v>
      </c>
      <c r="H1737" s="14"/>
      <c r="I1737" s="15">
        <v>5.0</v>
      </c>
      <c r="J1737" s="15">
        <v>10.0</v>
      </c>
      <c r="K1737" s="12" t="str">
        <f>HYPERLINK("https://www.hootsuite.com","Hootsuite Inc.")</f>
        <v>Hootsuite Inc.</v>
      </c>
      <c r="L1737" s="16">
        <v>10991.0</v>
      </c>
      <c r="M1737" s="16">
        <v>439.0</v>
      </c>
      <c r="N1737" s="16">
        <v>296.0</v>
      </c>
      <c r="O1737" s="17"/>
      <c r="P1737" s="18">
        <v>41987.77024305555</v>
      </c>
      <c r="Q1737" s="1" t="s">
        <v>8118</v>
      </c>
      <c r="R1737" s="1" t="s">
        <v>8119</v>
      </c>
      <c r="S1737" s="13" t="s">
        <v>8120</v>
      </c>
      <c r="T1737" s="14"/>
      <c r="U1737" s="19" t="str">
        <f>HYPERLINK("https://pbs.twimg.com/profile_images/1197746373380100096/Lao8Ok26.jpg","View")</f>
        <v>View</v>
      </c>
      <c r="V1737" s="14"/>
      <c r="W1737" s="14"/>
      <c r="X1737" s="14"/>
      <c r="Y1737" s="14"/>
      <c r="Z1737" s="14"/>
    </row>
    <row r="1738">
      <c r="A1738" s="11">
        <v>43844.93859953704</v>
      </c>
      <c r="B1738" s="12" t="str">
        <f>HYPERLINK("https://twitter.com/sameern66","@sameern66")</f>
        <v>@sameern66</v>
      </c>
      <c r="C1738" s="1" t="s">
        <v>8121</v>
      </c>
      <c r="D1738" s="1" t="s">
        <v>8122</v>
      </c>
      <c r="E1738" s="12" t="str">
        <f>HYPERLINK("https://twitter.com/sameern66/status/1217288190438055936","1217288190438055936")</f>
        <v>1217288190438055936</v>
      </c>
      <c r="F1738" s="13" t="s">
        <v>8123</v>
      </c>
      <c r="G1738" s="14"/>
      <c r="H1738" s="14"/>
      <c r="I1738" s="15">
        <v>1.0</v>
      </c>
      <c r="J1738" s="15">
        <v>1.0</v>
      </c>
      <c r="K1738" s="12" t="str">
        <f>HYPERLINK("http://www.facebook.com/twitter","Facebook")</f>
        <v>Facebook</v>
      </c>
      <c r="L1738" s="16">
        <v>279.0</v>
      </c>
      <c r="M1738" s="16">
        <v>287.0</v>
      </c>
      <c r="N1738" s="16">
        <v>7.0</v>
      </c>
      <c r="O1738" s="17"/>
      <c r="P1738" s="18">
        <v>39891.25121527778</v>
      </c>
      <c r="Q1738" s="1" t="s">
        <v>8124</v>
      </c>
      <c r="R1738" s="1" t="s">
        <v>8125</v>
      </c>
      <c r="S1738" s="14"/>
      <c r="T1738" s="14"/>
      <c r="U1738" s="19" t="str">
        <f>HYPERLINK("https://pbs.twimg.com/profile_images/813076167574061057/7iml4ulm.jpg","View")</f>
        <v>View</v>
      </c>
      <c r="V1738" s="14"/>
      <c r="W1738" s="14"/>
      <c r="X1738" s="14"/>
      <c r="Y1738" s="14"/>
      <c r="Z1738" s="14"/>
    </row>
    <row r="1739">
      <c r="A1739" s="11">
        <v>43844.93685185185</v>
      </c>
      <c r="B1739" s="12" t="str">
        <f>HYPERLINK("https://twitter.com/RawPassionUK","@RawPassionUK")</f>
        <v>@RawPassionUK</v>
      </c>
      <c r="C1739" s="1" t="s">
        <v>8126</v>
      </c>
      <c r="D1739" s="1" t="s">
        <v>8127</v>
      </c>
      <c r="E1739" s="12" t="str">
        <f>HYPERLINK("https://twitter.com/RawPassionUK/status/1217287555730808832","1217287555730808832")</f>
        <v>1217287555730808832</v>
      </c>
      <c r="F1739" s="1" t="s">
        <v>8128</v>
      </c>
      <c r="G1739" s="14"/>
      <c r="H1739" s="14"/>
      <c r="I1739" s="15">
        <v>1.0</v>
      </c>
      <c r="J1739" s="15">
        <v>0.0</v>
      </c>
      <c r="K1739" s="12" t="str">
        <f>HYPERLINK("http://www.twitter-fu.com","twitter-fu")</f>
        <v>twitter-fu</v>
      </c>
      <c r="L1739" s="16">
        <v>4014.0</v>
      </c>
      <c r="M1739" s="16">
        <v>2178.0</v>
      </c>
      <c r="N1739" s="16">
        <v>143.0</v>
      </c>
      <c r="O1739" s="17"/>
      <c r="P1739" s="18">
        <v>40472.32189814815</v>
      </c>
      <c r="Q1739" s="1" t="s">
        <v>864</v>
      </c>
      <c r="R1739" s="1" t="s">
        <v>8129</v>
      </c>
      <c r="S1739" s="13" t="s">
        <v>8130</v>
      </c>
      <c r="T1739" s="14"/>
      <c r="U1739" s="19" t="str">
        <f>HYPERLINK("https://pbs.twimg.com/profile_images/790254913087479810/_qr0_hfE.jpg","View")</f>
        <v>View</v>
      </c>
      <c r="V1739" s="14"/>
      <c r="W1739" s="14"/>
      <c r="X1739" s="14"/>
      <c r="Y1739" s="14"/>
      <c r="Z1739" s="14"/>
    </row>
    <row r="1740">
      <c r="A1740" s="11">
        <v>43844.9321412037</v>
      </c>
      <c r="B1740" s="12" t="str">
        <f>HYPERLINK("https://twitter.com/USAMedRes","@USAMedRes")</f>
        <v>@USAMedRes</v>
      </c>
      <c r="C1740" s="1" t="s">
        <v>8131</v>
      </c>
      <c r="D1740" s="1" t="s">
        <v>8132</v>
      </c>
      <c r="E1740" s="12" t="str">
        <f>HYPERLINK("https://twitter.com/USAMedRes/status/1217285848892207104","1217285848892207104")</f>
        <v>1217285848892207104</v>
      </c>
      <c r="F1740" s="14"/>
      <c r="G1740" s="13" t="s">
        <v>8133</v>
      </c>
      <c r="H1740" s="14"/>
      <c r="I1740" s="15">
        <v>2.0</v>
      </c>
      <c r="J1740" s="15">
        <v>3.0</v>
      </c>
      <c r="K1740" s="12" t="str">
        <f>HYPERLINK("https://mobile.twitter.com","Twitter Web App")</f>
        <v>Twitter Web App</v>
      </c>
      <c r="L1740" s="16">
        <v>27.0</v>
      </c>
      <c r="M1740" s="16">
        <v>13.0</v>
      </c>
      <c r="N1740" s="16">
        <v>0.0</v>
      </c>
      <c r="O1740" s="17"/>
      <c r="P1740" s="18">
        <v>43331.07802083333</v>
      </c>
      <c r="Q1740" s="1" t="s">
        <v>56</v>
      </c>
      <c r="R1740" s="1" t="s">
        <v>8134</v>
      </c>
      <c r="S1740" s="14"/>
      <c r="T1740" s="14"/>
      <c r="U1740" s="19" t="str">
        <f>HYPERLINK("https://pbs.twimg.com/profile_images/1049177477736620032/ajm-vgMR.jpg","View")</f>
        <v>View</v>
      </c>
      <c r="V1740" s="14"/>
      <c r="W1740" s="14"/>
      <c r="X1740" s="14"/>
      <c r="Y1740" s="14"/>
      <c r="Z1740" s="14"/>
    </row>
    <row r="1741">
      <c r="A1741" s="11">
        <v>43844.922939814816</v>
      </c>
      <c r="B1741" s="12" t="str">
        <f>HYPERLINK("https://twitter.com/ftfdental","@ftfdental")</f>
        <v>@ftfdental</v>
      </c>
      <c r="C1741" s="1" t="s">
        <v>8135</v>
      </c>
      <c r="D1741" s="1" t="s">
        <v>8136</v>
      </c>
      <c r="E1741" s="12" t="str">
        <f>HYPERLINK("https://twitter.com/ftfdental/status/1217282515788058625","1217282515788058625")</f>
        <v>1217282515788058625</v>
      </c>
      <c r="F1741" s="14"/>
      <c r="G1741" s="13" t="s">
        <v>8137</v>
      </c>
      <c r="H1741" s="14"/>
      <c r="I1741" s="15">
        <v>0.0</v>
      </c>
      <c r="J1741" s="15">
        <v>0.0</v>
      </c>
      <c r="K1741" s="12" t="str">
        <f>HYPERLINK("http://twitter.com/download/android","Twitter for Android")</f>
        <v>Twitter for Android</v>
      </c>
      <c r="L1741" s="16">
        <v>21.0</v>
      </c>
      <c r="M1741" s="16">
        <v>20.0</v>
      </c>
      <c r="N1741" s="16">
        <v>1.0</v>
      </c>
      <c r="O1741" s="17"/>
      <c r="P1741" s="18">
        <v>42766.436527777776</v>
      </c>
      <c r="Q1741" s="14"/>
      <c r="R1741" s="1" t="s">
        <v>8138</v>
      </c>
      <c r="S1741" s="14"/>
      <c r="T1741" s="14"/>
      <c r="U1741" s="19" t="str">
        <f>HYPERLINK("https://pbs.twimg.com/profile_images/826469685839343621/u6xTnFpo.jpg","View")</f>
        <v>View</v>
      </c>
      <c r="V1741" s="14"/>
      <c r="W1741" s="14"/>
      <c r="X1741" s="14"/>
      <c r="Y1741" s="14"/>
      <c r="Z1741" s="14"/>
    </row>
    <row r="1742">
      <c r="A1742" s="11">
        <v>43844.92020833334</v>
      </c>
      <c r="B1742" s="12" t="str">
        <f>HYPERLINK("https://twitter.com/manojpandey66","@manojpandey66")</f>
        <v>@manojpandey66</v>
      </c>
      <c r="C1742" s="1" t="s">
        <v>1163</v>
      </c>
      <c r="D1742" s="1" t="s">
        <v>8139</v>
      </c>
      <c r="E1742" s="12" t="str">
        <f>HYPERLINK("https://twitter.com/manojpandey66/status/1217281524241879041","1217281524241879041")</f>
        <v>1217281524241879041</v>
      </c>
      <c r="F1742" s="14"/>
      <c r="G1742" s="13" t="s">
        <v>8140</v>
      </c>
      <c r="H1742" s="14"/>
      <c r="I1742" s="15">
        <v>1.0</v>
      </c>
      <c r="J1742" s="15">
        <v>0.0</v>
      </c>
      <c r="K1742" s="12" t="str">
        <f>HYPERLINK("https://mobile.twitter.com","Twitter Web App")</f>
        <v>Twitter Web App</v>
      </c>
      <c r="L1742" s="16">
        <v>1372.0</v>
      </c>
      <c r="M1742" s="16">
        <v>555.0</v>
      </c>
      <c r="N1742" s="16">
        <v>7.0</v>
      </c>
      <c r="O1742" s="17"/>
      <c r="P1742" s="18">
        <v>40746.0390625</v>
      </c>
      <c r="Q1742" s="1" t="s">
        <v>1166</v>
      </c>
      <c r="R1742" s="1" t="s">
        <v>1167</v>
      </c>
      <c r="S1742" s="13" t="s">
        <v>1168</v>
      </c>
      <c r="T1742" s="14"/>
      <c r="U1742" s="19" t="str">
        <f>HYPERLINK("https://pbs.twimg.com/profile_images/1134750107302125569/VwLz3fkd.png","View")</f>
        <v>View</v>
      </c>
      <c r="V1742" s="14"/>
      <c r="W1742" s="14"/>
      <c r="X1742" s="14"/>
      <c r="Y1742" s="14"/>
      <c r="Z1742" s="14"/>
    </row>
    <row r="1743">
      <c r="A1743" s="11">
        <v>43844.91358796296</v>
      </c>
      <c r="B1743" s="12" t="str">
        <f>HYPERLINK("https://twitter.com/DavidPylyp","@DavidPylyp")</f>
        <v>@DavidPylyp</v>
      </c>
      <c r="C1743" s="1" t="s">
        <v>8141</v>
      </c>
      <c r="D1743" s="1" t="s">
        <v>8142</v>
      </c>
      <c r="E1743" s="12" t="str">
        <f>HYPERLINK("https://twitter.com/DavidPylyp/status/1217279126882615296","1217279126882615296")</f>
        <v>1217279126882615296</v>
      </c>
      <c r="F1743" s="13" t="s">
        <v>8143</v>
      </c>
      <c r="G1743" s="13" t="s">
        <v>8144</v>
      </c>
      <c r="H1743" s="14"/>
      <c r="I1743" s="15">
        <v>0.0</v>
      </c>
      <c r="J1743" s="15">
        <v>0.0</v>
      </c>
      <c r="K1743" s="12" t="str">
        <f>HYPERLINK("http://twitter.com/#!/download/ipad","Twitter for iPad")</f>
        <v>Twitter for iPad</v>
      </c>
      <c r="L1743" s="16">
        <v>5278.0</v>
      </c>
      <c r="M1743" s="16">
        <v>5792.0</v>
      </c>
      <c r="N1743" s="16">
        <v>439.0</v>
      </c>
      <c r="O1743" s="17"/>
      <c r="P1743" s="18">
        <v>39750.8954050926</v>
      </c>
      <c r="Q1743" s="1" t="s">
        <v>2856</v>
      </c>
      <c r="R1743" s="1" t="s">
        <v>8145</v>
      </c>
      <c r="S1743" s="13" t="s">
        <v>8146</v>
      </c>
      <c r="T1743" s="14"/>
      <c r="U1743" s="19" t="str">
        <f>HYPERLINK("https://pbs.twimg.com/profile_images/1167822548391944193/zfFxXtJM.jpg","View")</f>
        <v>View</v>
      </c>
      <c r="V1743" s="14"/>
      <c r="W1743" s="14"/>
      <c r="X1743" s="14"/>
      <c r="Y1743" s="14"/>
      <c r="Z1743" s="14"/>
    </row>
    <row r="1744">
      <c r="A1744" s="11">
        <v>43844.90851851852</v>
      </c>
      <c r="B1744" s="12" t="str">
        <f>HYPERLINK("https://twitter.com/MichaelCPED","@MichaelCPED")</f>
        <v>@MichaelCPED</v>
      </c>
      <c r="C1744" s="1" t="s">
        <v>8147</v>
      </c>
      <c r="D1744" s="1" t="s">
        <v>8148</v>
      </c>
      <c r="E1744" s="12" t="str">
        <f>HYPERLINK("https://twitter.com/MichaelCPED/status/1217277290431692800","1217277290431692800")</f>
        <v>1217277290431692800</v>
      </c>
      <c r="F1744" s="1" t="s">
        <v>8149</v>
      </c>
      <c r="G1744" s="14"/>
      <c r="H1744" s="14"/>
      <c r="I1744" s="15">
        <v>0.0</v>
      </c>
      <c r="J1744" s="15">
        <v>0.0</v>
      </c>
      <c r="K1744" s="12" t="str">
        <f>HYPERLINK("http://www.linkedin.com/","LinkedIn")</f>
        <v>LinkedIn</v>
      </c>
      <c r="L1744" s="16">
        <v>443.0</v>
      </c>
      <c r="M1744" s="16">
        <v>999.0</v>
      </c>
      <c r="N1744" s="16">
        <v>9.0</v>
      </c>
      <c r="O1744" s="17"/>
      <c r="P1744" s="18">
        <v>41469.389652777776</v>
      </c>
      <c r="Q1744" s="1" t="s">
        <v>928</v>
      </c>
      <c r="R1744" s="1" t="s">
        <v>8150</v>
      </c>
      <c r="S1744" s="13" t="s">
        <v>8151</v>
      </c>
      <c r="T1744" s="14"/>
      <c r="U1744" s="19" t="str">
        <f>HYPERLINK("https://pbs.twimg.com/profile_images/1196821515028836353/s28V7PqB.jpg","View")</f>
        <v>View</v>
      </c>
      <c r="V1744" s="14"/>
      <c r="W1744" s="14"/>
      <c r="X1744" s="14"/>
      <c r="Y1744" s="14"/>
      <c r="Z1744" s="14"/>
    </row>
    <row r="1745">
      <c r="A1745" s="11">
        <v>43844.90813657407</v>
      </c>
      <c r="B1745" s="12" t="str">
        <f>HYPERLINK("https://twitter.com/a_dmyung","@a_dmyung")</f>
        <v>@a_dmyung</v>
      </c>
      <c r="C1745" s="1" t="s">
        <v>8152</v>
      </c>
      <c r="D1745" s="1" t="s">
        <v>8153</v>
      </c>
      <c r="E1745" s="12" t="str">
        <f>HYPERLINK("https://twitter.com/a_dmyung/status/1217277153613697024","1217277153613697024")</f>
        <v>1217277153613697024</v>
      </c>
      <c r="F1745" s="14"/>
      <c r="G1745" s="13" t="s">
        <v>8154</v>
      </c>
      <c r="H1745" s="14"/>
      <c r="I1745" s="15">
        <v>0.0</v>
      </c>
      <c r="J1745" s="15">
        <v>0.0</v>
      </c>
      <c r="K1745" s="12" t="str">
        <f>HYPERLINK("https://mobile.twitter.com","Twitter Web App")</f>
        <v>Twitter Web App</v>
      </c>
      <c r="L1745" s="16">
        <v>12.0</v>
      </c>
      <c r="M1745" s="16">
        <v>401.0</v>
      </c>
      <c r="N1745" s="16">
        <v>0.0</v>
      </c>
      <c r="O1745" s="17"/>
      <c r="P1745" s="18">
        <v>42589.56563657407</v>
      </c>
      <c r="Q1745" s="14"/>
      <c r="R1745" s="14"/>
      <c r="S1745" s="14"/>
      <c r="T1745" s="14"/>
      <c r="U1745" s="19" t="str">
        <f>HYPERLINK("https://pbs.twimg.com/profile_images/1124228655801147392/NXOoefcD.jpg","View")</f>
        <v>View</v>
      </c>
      <c r="V1745" s="14"/>
      <c r="W1745" s="14"/>
      <c r="X1745" s="14"/>
      <c r="Y1745" s="14"/>
      <c r="Z1745" s="14"/>
    </row>
    <row r="1746">
      <c r="A1746" s="11">
        <v>43844.90703703703</v>
      </c>
      <c r="B1746" s="12" t="str">
        <f>HYPERLINK("https://twitter.com/Kaushikyegnan","@Kaushikyegnan")</f>
        <v>@Kaushikyegnan</v>
      </c>
      <c r="C1746" s="1" t="s">
        <v>8155</v>
      </c>
      <c r="D1746" s="1" t="s">
        <v>8156</v>
      </c>
      <c r="E1746" s="12" t="str">
        <f>HYPERLINK("https://twitter.com/Kaushikyegnan/status/1217276754408112128","1217276754408112128")</f>
        <v>1217276754408112128</v>
      </c>
      <c r="F1746" s="14"/>
      <c r="G1746" s="14"/>
      <c r="H1746" s="14"/>
      <c r="I1746" s="15">
        <v>0.0</v>
      </c>
      <c r="J1746" s="15">
        <v>0.0</v>
      </c>
      <c r="K1746" s="12" t="str">
        <f>HYPERLINK("http://twitter.com/download/iphone","Twitter for iPhone")</f>
        <v>Twitter for iPhone</v>
      </c>
      <c r="L1746" s="16">
        <v>4016.0</v>
      </c>
      <c r="M1746" s="16">
        <v>1626.0</v>
      </c>
      <c r="N1746" s="16">
        <v>0.0</v>
      </c>
      <c r="O1746" s="17"/>
      <c r="P1746" s="18">
        <v>40147.39569444444</v>
      </c>
      <c r="Q1746" s="14"/>
      <c r="R1746" s="1" t="s">
        <v>8157</v>
      </c>
      <c r="S1746" s="13" t="s">
        <v>8158</v>
      </c>
      <c r="T1746" s="14"/>
      <c r="U1746" s="19" t="str">
        <f>HYPERLINK("https://pbs.twimg.com/profile_images/760735695417802757/Lk-asDDa.jpg","View")</f>
        <v>View</v>
      </c>
      <c r="V1746" s="14"/>
      <c r="W1746" s="14"/>
      <c r="X1746" s="14"/>
      <c r="Y1746" s="14"/>
      <c r="Z1746" s="14"/>
    </row>
    <row r="1747">
      <c r="A1747" s="11">
        <v>43844.90625</v>
      </c>
      <c r="B1747" s="12" t="str">
        <f>HYPERLINK("https://twitter.com/TrainingMindful","@TrainingMindful")</f>
        <v>@TrainingMindful</v>
      </c>
      <c r="C1747" s="1" t="s">
        <v>94</v>
      </c>
      <c r="D1747" s="1" t="s">
        <v>3597</v>
      </c>
      <c r="E1747" s="12" t="str">
        <f>HYPERLINK("https://twitter.com/TrainingMindful/status/1217276466985078789","1217276466985078789")</f>
        <v>1217276466985078789</v>
      </c>
      <c r="F1747" s="13" t="s">
        <v>3598</v>
      </c>
      <c r="G1747" s="14"/>
      <c r="H1747" s="14"/>
      <c r="I1747" s="15">
        <v>1.0</v>
      </c>
      <c r="J1747" s="15">
        <v>4.0</v>
      </c>
      <c r="K1747" s="12" t="str">
        <f>HYPERLINK("https://www.socialoomph.com","SocialOomph")</f>
        <v>SocialOomph</v>
      </c>
      <c r="L1747" s="16">
        <v>185303.0</v>
      </c>
      <c r="M1747" s="16">
        <v>43980.0</v>
      </c>
      <c r="N1747" s="16">
        <v>2800.0</v>
      </c>
      <c r="O1747" s="17"/>
      <c r="P1747" s="18">
        <v>41286.039305555554</v>
      </c>
      <c r="Q1747" s="1" t="s">
        <v>97</v>
      </c>
      <c r="R1747" s="1" t="s">
        <v>98</v>
      </c>
      <c r="S1747" s="13" t="s">
        <v>99</v>
      </c>
      <c r="T1747" s="14"/>
      <c r="U1747" s="19" t="str">
        <f>HYPERLINK("https://pbs.twimg.com/profile_images/566526924059459584/gdMxDA9x.jpeg","View")</f>
        <v>View</v>
      </c>
      <c r="V1747" s="14"/>
      <c r="W1747" s="14"/>
      <c r="X1747" s="14"/>
      <c r="Y1747" s="14"/>
      <c r="Z1747" s="14"/>
    </row>
    <row r="1748">
      <c r="A1748" s="11">
        <v>43844.9005787037</v>
      </c>
      <c r="B1748" s="12" t="str">
        <f>HYPERLINK("https://twitter.com/MINDURANCE","@MINDURANCE")</f>
        <v>@MINDURANCE</v>
      </c>
      <c r="C1748" s="1" t="s">
        <v>8159</v>
      </c>
      <c r="D1748" s="1" t="s">
        <v>8160</v>
      </c>
      <c r="E1748" s="12" t="str">
        <f>HYPERLINK("https://twitter.com/MINDURANCE/status/1217274412048756736","1217274412048756736")</f>
        <v>1217274412048756736</v>
      </c>
      <c r="F1748" s="13" t="s">
        <v>8161</v>
      </c>
      <c r="G1748" s="14"/>
      <c r="H1748" s="14"/>
      <c r="I1748" s="15">
        <v>0.0</v>
      </c>
      <c r="J1748" s="15">
        <v>1.0</v>
      </c>
      <c r="K1748" s="12" t="str">
        <f>HYPERLINK("http://instagram.com","Instagram")</f>
        <v>Instagram</v>
      </c>
      <c r="L1748" s="16">
        <v>341.0</v>
      </c>
      <c r="M1748" s="16">
        <v>571.0</v>
      </c>
      <c r="N1748" s="16">
        <v>4.0</v>
      </c>
      <c r="O1748" s="17"/>
      <c r="P1748" s="18">
        <v>40463.57935185185</v>
      </c>
      <c r="Q1748" s="1" t="s">
        <v>8162</v>
      </c>
      <c r="R1748" s="1" t="s">
        <v>8163</v>
      </c>
      <c r="S1748" s="13" t="s">
        <v>8164</v>
      </c>
      <c r="T1748" s="14"/>
      <c r="U1748" s="19" t="str">
        <f>HYPERLINK("https://pbs.twimg.com/profile_images/706236197576683520/uTtaUwQk.jpg","View")</f>
        <v>View</v>
      </c>
      <c r="V1748" s="14"/>
      <c r="W1748" s="14"/>
      <c r="X1748" s="14"/>
      <c r="Y1748" s="14"/>
      <c r="Z1748" s="14"/>
    </row>
    <row r="1749">
      <c r="A1749" s="11">
        <v>43844.898993055554</v>
      </c>
      <c r="B1749" s="12" t="str">
        <f>HYPERLINK("https://twitter.com/Jocelynpdrz","@Jocelynpdrz")</f>
        <v>@Jocelynpdrz</v>
      </c>
      <c r="C1749" s="1" t="s">
        <v>8165</v>
      </c>
      <c r="D1749" s="1" t="s">
        <v>8166</v>
      </c>
      <c r="E1749" s="12" t="str">
        <f>HYPERLINK("https://twitter.com/Jocelynpdrz/status/1217273837198487552","1217273837198487552")</f>
        <v>1217273837198487552</v>
      </c>
      <c r="F1749" s="14"/>
      <c r="G1749" s="14"/>
      <c r="H1749" s="14"/>
      <c r="I1749" s="15">
        <v>0.0</v>
      </c>
      <c r="J1749" s="15">
        <v>0.0</v>
      </c>
      <c r="K1749" s="12" t="str">
        <f>HYPERLINK("http://twitter.com/download/android","Twitter for Android")</f>
        <v>Twitter for Android</v>
      </c>
      <c r="L1749" s="16">
        <v>108.0</v>
      </c>
      <c r="M1749" s="16">
        <v>266.0</v>
      </c>
      <c r="N1749" s="16">
        <v>2.0</v>
      </c>
      <c r="O1749" s="17"/>
      <c r="P1749" s="18">
        <v>40751.09527777778</v>
      </c>
      <c r="Q1749" s="1" t="s">
        <v>8167</v>
      </c>
      <c r="R1749" s="1" t="s">
        <v>8168</v>
      </c>
      <c r="S1749" s="13" t="s">
        <v>8169</v>
      </c>
      <c r="T1749" s="14"/>
      <c r="U1749" s="19" t="str">
        <f>HYPERLINK("https://pbs.twimg.com/profile_images/952976200917536768/IsYIYBxp.jpg","View")</f>
        <v>View</v>
      </c>
      <c r="V1749" s="14"/>
      <c r="W1749" s="14"/>
      <c r="X1749" s="14"/>
      <c r="Y1749" s="14"/>
      <c r="Z1749" s="14"/>
    </row>
    <row r="1750">
      <c r="A1750" s="11">
        <v>43844.89607638889</v>
      </c>
      <c r="B1750" s="12" t="str">
        <f>HYPERLINK("https://twitter.com/WTWhr","@WTWhr")</f>
        <v>@WTWhr</v>
      </c>
      <c r="C1750" s="1" t="s">
        <v>8170</v>
      </c>
      <c r="D1750" s="1" t="s">
        <v>8171</v>
      </c>
      <c r="E1750" s="12" t="str">
        <f>HYPERLINK("https://twitter.com/WTWhr/status/1217272783153049600","1217272783153049600")</f>
        <v>1217272783153049600</v>
      </c>
      <c r="F1750" s="13" t="s">
        <v>8172</v>
      </c>
      <c r="G1750" s="13" t="s">
        <v>8173</v>
      </c>
      <c r="H1750" s="14"/>
      <c r="I1750" s="15">
        <v>0.0</v>
      </c>
      <c r="J1750" s="15">
        <v>2.0</v>
      </c>
      <c r="K1750" s="12" t="str">
        <f>HYPERLINK("https://www.hootsuite.com","Hootsuite Inc.")</f>
        <v>Hootsuite Inc.</v>
      </c>
      <c r="L1750" s="16">
        <v>24526.0</v>
      </c>
      <c r="M1750" s="16">
        <v>364.0</v>
      </c>
      <c r="N1750" s="16">
        <v>1060.0</v>
      </c>
      <c r="O1750" s="17"/>
      <c r="P1750" s="18">
        <v>39801.69894675926</v>
      </c>
      <c r="Q1750" s="1" t="s">
        <v>3406</v>
      </c>
      <c r="R1750" s="1" t="s">
        <v>8174</v>
      </c>
      <c r="S1750" s="13" t="s">
        <v>8175</v>
      </c>
      <c r="T1750" s="14"/>
      <c r="U1750" s="19" t="str">
        <f>HYPERLINK("https://pbs.twimg.com/profile_images/1146076841930833921/caRr1s1E.jpg","View")</f>
        <v>View</v>
      </c>
      <c r="V1750" s="14"/>
      <c r="W1750" s="14"/>
      <c r="X1750" s="14"/>
      <c r="Y1750" s="14"/>
      <c r="Z1750" s="14"/>
    </row>
    <row r="1751">
      <c r="A1751" s="11">
        <v>43844.89041666666</v>
      </c>
      <c r="B1751" s="12" t="str">
        <f>HYPERLINK("https://twitter.com/empowerhouseinc","@empowerhouseinc")</f>
        <v>@empowerhouseinc</v>
      </c>
      <c r="C1751" s="1" t="s">
        <v>5129</v>
      </c>
      <c r="D1751" s="1" t="s">
        <v>8176</v>
      </c>
      <c r="E1751" s="12" t="str">
        <f>HYPERLINK("https://twitter.com/empowerhouseinc/status/1217270730209026048","1217270730209026048")</f>
        <v>1217270730209026048</v>
      </c>
      <c r="F1751" s="14"/>
      <c r="G1751" s="13" t="s">
        <v>8177</v>
      </c>
      <c r="H1751" s="14"/>
      <c r="I1751" s="15">
        <v>2.0</v>
      </c>
      <c r="J1751" s="15">
        <v>1.0</v>
      </c>
      <c r="K1751" s="12" t="str">
        <f>HYPERLINK("http://twitter.com/download/iphone","Twitter for iPhone")</f>
        <v>Twitter for iPhone</v>
      </c>
      <c r="L1751" s="16">
        <v>72.0</v>
      </c>
      <c r="M1751" s="16">
        <v>240.0</v>
      </c>
      <c r="N1751" s="16">
        <v>0.0</v>
      </c>
      <c r="O1751" s="17"/>
      <c r="P1751" s="18">
        <v>42760.82953703703</v>
      </c>
      <c r="Q1751" s="14"/>
      <c r="R1751" s="1" t="s">
        <v>5132</v>
      </c>
      <c r="S1751" s="13" t="s">
        <v>5133</v>
      </c>
      <c r="T1751" s="14"/>
      <c r="U1751" s="19" t="str">
        <f>HYPERLINK("https://pbs.twimg.com/profile_images/824424732082597890/Wfg6SJfx.jpg","View")</f>
        <v>View</v>
      </c>
      <c r="V1751" s="14"/>
      <c r="W1751" s="14"/>
      <c r="X1751" s="14"/>
      <c r="Y1751" s="14"/>
      <c r="Z1751" s="14"/>
    </row>
    <row r="1752">
      <c r="A1752" s="11">
        <v>43844.88679398148</v>
      </c>
      <c r="B1752" s="12" t="str">
        <f>HYPERLINK("https://twitter.com/suze612","@suze612")</f>
        <v>@suze612</v>
      </c>
      <c r="C1752" s="1" t="s">
        <v>8178</v>
      </c>
      <c r="D1752" s="1" t="s">
        <v>8179</v>
      </c>
      <c r="E1752" s="12" t="str">
        <f>HYPERLINK("https://twitter.com/suze612/status/1217269417920417794","1217269417920417794")</f>
        <v>1217269417920417794</v>
      </c>
      <c r="F1752" s="13" t="s">
        <v>8180</v>
      </c>
      <c r="G1752" s="14"/>
      <c r="H1752" s="14"/>
      <c r="I1752" s="15">
        <v>0.0</v>
      </c>
      <c r="J1752" s="15">
        <v>1.0</v>
      </c>
      <c r="K1752" s="12" t="str">
        <f>HYPERLINK("http://instagram.com","Instagram")</f>
        <v>Instagram</v>
      </c>
      <c r="L1752" s="16">
        <v>1614.0</v>
      </c>
      <c r="M1752" s="16">
        <v>1580.0</v>
      </c>
      <c r="N1752" s="16">
        <v>75.0</v>
      </c>
      <c r="O1752" s="17"/>
      <c r="P1752" s="18">
        <v>39926.96840277778</v>
      </c>
      <c r="Q1752" s="14"/>
      <c r="R1752" s="1" t="s">
        <v>8181</v>
      </c>
      <c r="S1752" s="13" t="s">
        <v>8182</v>
      </c>
      <c r="T1752" s="14"/>
      <c r="U1752" s="19" t="str">
        <f>HYPERLINK("https://pbs.twimg.com/profile_images/1213180104672563200/_bG2Hd2Y.jpg","View")</f>
        <v>View</v>
      </c>
      <c r="V1752" s="14"/>
      <c r="W1752" s="14"/>
      <c r="X1752" s="14"/>
      <c r="Y1752" s="14"/>
      <c r="Z1752" s="14"/>
    </row>
    <row r="1753">
      <c r="A1753" s="11">
        <v>43844.88490740741</v>
      </c>
      <c r="B1753" s="12" t="str">
        <f>HYPERLINK("https://twitter.com/drrenezweig","@drrenezweig")</f>
        <v>@drrenezweig</v>
      </c>
      <c r="C1753" s="1" t="s">
        <v>8183</v>
      </c>
      <c r="D1753" s="1" t="s">
        <v>8184</v>
      </c>
      <c r="E1753" s="12" t="str">
        <f>HYPERLINK("https://twitter.com/drrenezweig/status/1217268732411678720","1217268732411678720")</f>
        <v>1217268732411678720</v>
      </c>
      <c r="F1753" s="13" t="s">
        <v>8185</v>
      </c>
      <c r="G1753" s="14"/>
      <c r="H1753" s="14"/>
      <c r="I1753" s="15">
        <v>1.0</v>
      </c>
      <c r="J1753" s="15">
        <v>1.0</v>
      </c>
      <c r="K1753" s="12" t="str">
        <f t="shared" ref="K1753:K1754" si="172">HYPERLINK("http://twitter.com/download/iphone","Twitter for iPhone")</f>
        <v>Twitter for iPhone</v>
      </c>
      <c r="L1753" s="16">
        <v>2790.0</v>
      </c>
      <c r="M1753" s="16">
        <v>1703.0</v>
      </c>
      <c r="N1753" s="16">
        <v>83.0</v>
      </c>
      <c r="O1753" s="17"/>
      <c r="P1753" s="18">
        <v>42527.47282407407</v>
      </c>
      <c r="Q1753" s="1" t="s">
        <v>1116</v>
      </c>
      <c r="R1753" s="1" t="s">
        <v>8186</v>
      </c>
      <c r="S1753" s="13" t="s">
        <v>8187</v>
      </c>
      <c r="T1753" s="14"/>
      <c r="U1753" s="19" t="str">
        <f>HYPERLINK("https://pbs.twimg.com/profile_images/739847019347509249/zcDTWf0P.jpg","View")</f>
        <v>View</v>
      </c>
      <c r="V1753" s="14"/>
      <c r="W1753" s="14"/>
      <c r="X1753" s="14"/>
      <c r="Y1753" s="14"/>
      <c r="Z1753" s="14"/>
    </row>
    <row r="1754">
      <c r="A1754" s="11">
        <v>43844.88283564815</v>
      </c>
      <c r="B1754" s="12" t="str">
        <f>HYPERLINK("https://twitter.com/netteaverill","@netteaverill")</f>
        <v>@netteaverill</v>
      </c>
      <c r="C1754" s="1" t="s">
        <v>8188</v>
      </c>
      <c r="D1754" s="1" t="s">
        <v>8189</v>
      </c>
      <c r="E1754" s="12" t="str">
        <f>HYPERLINK("https://twitter.com/netteaverill/status/1217267982046461952","1217267982046461952")</f>
        <v>1217267982046461952</v>
      </c>
      <c r="F1754" s="1" t="s">
        <v>8190</v>
      </c>
      <c r="G1754" s="14"/>
      <c r="H1754" s="14"/>
      <c r="I1754" s="15">
        <v>5.0</v>
      </c>
      <c r="J1754" s="15">
        <v>12.0</v>
      </c>
      <c r="K1754" s="12" t="str">
        <f t="shared" si="172"/>
        <v>Twitter for iPhone</v>
      </c>
      <c r="L1754" s="16">
        <v>122.0</v>
      </c>
      <c r="M1754" s="16">
        <v>457.0</v>
      </c>
      <c r="N1754" s="16">
        <v>1.0</v>
      </c>
      <c r="O1754" s="17"/>
      <c r="P1754" s="18">
        <v>41838.456296296295</v>
      </c>
      <c r="Q1754" s="1" t="s">
        <v>8191</v>
      </c>
      <c r="R1754" s="1" t="s">
        <v>8192</v>
      </c>
      <c r="S1754" s="13" t="s">
        <v>8193</v>
      </c>
      <c r="T1754" s="14"/>
      <c r="U1754" s="19" t="str">
        <f>HYPERLINK("https://pbs.twimg.com/profile_images/1029858732547690497/hak4vH3N.jpg","View")</f>
        <v>View</v>
      </c>
      <c r="V1754" s="14"/>
      <c r="W1754" s="14"/>
      <c r="X1754" s="14"/>
      <c r="Y1754" s="14"/>
      <c r="Z1754" s="14"/>
    </row>
    <row r="1755">
      <c r="A1755" s="11">
        <v>43844.880798611106</v>
      </c>
      <c r="B1755" s="12" t="str">
        <f>HYPERLINK("https://twitter.com/WellnessChip","@WellnessChip")</f>
        <v>@WellnessChip</v>
      </c>
      <c r="C1755" s="1" t="s">
        <v>8194</v>
      </c>
      <c r="D1755" s="1" t="s">
        <v>8195</v>
      </c>
      <c r="E1755" s="12" t="str">
        <f>HYPERLINK("https://twitter.com/WellnessChip/status/1217267243412807680","1217267243412807680")</f>
        <v>1217267243412807680</v>
      </c>
      <c r="F1755" s="14"/>
      <c r="G1755" s="13" t="s">
        <v>8196</v>
      </c>
      <c r="H1755" s="14"/>
      <c r="I1755" s="15">
        <v>0.0</v>
      </c>
      <c r="J1755" s="15">
        <v>0.0</v>
      </c>
      <c r="K1755" s="12" t="str">
        <f>HYPERLINK("https://www.hootsuite.com","Hootsuite Inc.")</f>
        <v>Hootsuite Inc.</v>
      </c>
      <c r="L1755" s="16">
        <v>207.0</v>
      </c>
      <c r="M1755" s="16">
        <v>151.0</v>
      </c>
      <c r="N1755" s="16">
        <v>8.0</v>
      </c>
      <c r="O1755" s="17"/>
      <c r="P1755" s="18">
        <v>40608.762337962966</v>
      </c>
      <c r="Q1755" s="1" t="s">
        <v>143</v>
      </c>
      <c r="R1755" s="1" t="s">
        <v>8197</v>
      </c>
      <c r="S1755" s="13" t="s">
        <v>8198</v>
      </c>
      <c r="T1755" s="14"/>
      <c r="U1755" s="19" t="str">
        <f>HYPERLINK("https://pbs.twimg.com/profile_images/1166821018587062272/y8x0rDPe.jpg","View")</f>
        <v>View</v>
      </c>
      <c r="V1755" s="14"/>
      <c r="W1755" s="14"/>
      <c r="X1755" s="14"/>
      <c r="Y1755" s="14"/>
      <c r="Z1755" s="14"/>
    </row>
    <row r="1756">
      <c r="A1756" s="11">
        <v>43844.880162037036</v>
      </c>
      <c r="B1756" s="12" t="str">
        <f>HYPERLINK("https://twitter.com/DrAlman","@DrAlman")</f>
        <v>@DrAlman</v>
      </c>
      <c r="C1756" s="1" t="s">
        <v>8199</v>
      </c>
      <c r="D1756" s="1" t="s">
        <v>8200</v>
      </c>
      <c r="E1756" s="12" t="str">
        <f>HYPERLINK("https://twitter.com/DrAlman/status/1217267013007151104","1217267013007151104")</f>
        <v>1217267013007151104</v>
      </c>
      <c r="F1756" s="1" t="s">
        <v>8201</v>
      </c>
      <c r="G1756" s="13" t="s">
        <v>8202</v>
      </c>
      <c r="H1756" s="14"/>
      <c r="I1756" s="15">
        <v>0.0</v>
      </c>
      <c r="J1756" s="15">
        <v>0.0</v>
      </c>
      <c r="K1756" s="12" t="str">
        <f t="shared" ref="K1756:K1757" si="173">HYPERLINK("http://twitter.com/download/iphone","Twitter for iPhone")</f>
        <v>Twitter for iPhone</v>
      </c>
      <c r="L1756" s="16">
        <v>1144.0</v>
      </c>
      <c r="M1756" s="16">
        <v>1808.0</v>
      </c>
      <c r="N1756" s="16">
        <v>84.0</v>
      </c>
      <c r="O1756" s="17"/>
      <c r="P1756" s="18">
        <v>39659.89466435185</v>
      </c>
      <c r="Q1756" s="1" t="s">
        <v>8203</v>
      </c>
      <c r="R1756" s="1" t="s">
        <v>8204</v>
      </c>
      <c r="S1756" s="13" t="s">
        <v>8205</v>
      </c>
      <c r="T1756" s="14"/>
      <c r="U1756" s="19" t="str">
        <f>HYPERLINK("https://pbs.twimg.com/profile_images/1197986877812301824/oz1VPqzt.jpg","View")</f>
        <v>View</v>
      </c>
      <c r="V1756" s="14"/>
      <c r="W1756" s="14"/>
      <c r="X1756" s="14"/>
      <c r="Y1756" s="14"/>
      <c r="Z1756" s="14"/>
    </row>
    <row r="1757">
      <c r="A1757" s="11">
        <v>43844.87935185185</v>
      </c>
      <c r="B1757" s="12" t="str">
        <f>HYPERLINK("https://twitter.com/drvinnytran","@drvinnytran")</f>
        <v>@drvinnytran</v>
      </c>
      <c r="C1757" s="1" t="s">
        <v>3348</v>
      </c>
      <c r="D1757" s="1" t="s">
        <v>8206</v>
      </c>
      <c r="E1757" s="12" t="str">
        <f>HYPERLINK("https://twitter.com/drvinnytran/status/1217266719053381633","1217266719053381633")</f>
        <v>1217266719053381633</v>
      </c>
      <c r="F1757" s="1" t="s">
        <v>8207</v>
      </c>
      <c r="G1757" s="14"/>
      <c r="H1757" s="14"/>
      <c r="I1757" s="15">
        <v>1.0</v>
      </c>
      <c r="J1757" s="15">
        <v>0.0</v>
      </c>
      <c r="K1757" s="12" t="str">
        <f t="shared" si="173"/>
        <v>Twitter for iPhone</v>
      </c>
      <c r="L1757" s="16">
        <v>1210.0</v>
      </c>
      <c r="M1757" s="16">
        <v>230.0</v>
      </c>
      <c r="N1757" s="16">
        <v>79.0</v>
      </c>
      <c r="O1757" s="17"/>
      <c r="P1757" s="18">
        <v>41552.30894675926</v>
      </c>
      <c r="Q1757" s="1" t="s">
        <v>51</v>
      </c>
      <c r="R1757" s="1" t="s">
        <v>3351</v>
      </c>
      <c r="S1757" s="13" t="s">
        <v>3352</v>
      </c>
      <c r="T1757" s="14"/>
      <c r="U1757" s="19" t="str">
        <f>HYPERLINK("https://pbs.twimg.com/profile_images/1211203633687060481/izsw7vqj.jpg","View")</f>
        <v>View</v>
      </c>
      <c r="V1757" s="14"/>
      <c r="W1757" s="14"/>
      <c r="X1757" s="14"/>
      <c r="Y1757" s="14"/>
      <c r="Z1757" s="14"/>
    </row>
    <row r="1758">
      <c r="A1758" s="11">
        <v>43844.876493055555</v>
      </c>
      <c r="B1758" s="12" t="str">
        <f>HYPERLINK("https://twitter.com/ThePathOfMe","@ThePathOfMe")</f>
        <v>@ThePathOfMe</v>
      </c>
      <c r="C1758" s="1" t="s">
        <v>931</v>
      </c>
      <c r="D1758" s="1" t="s">
        <v>1222</v>
      </c>
      <c r="E1758" s="12" t="str">
        <f>HYPERLINK("https://twitter.com/ThePathOfMe/status/1217265684599791616","1217265684599791616")</f>
        <v>1217265684599791616</v>
      </c>
      <c r="F1758" s="13" t="s">
        <v>933</v>
      </c>
      <c r="G1758" s="14"/>
      <c r="H1758" s="14"/>
      <c r="I1758" s="15">
        <v>0.0</v>
      </c>
      <c r="J1758" s="15">
        <v>0.0</v>
      </c>
      <c r="K1758" s="12" t="str">
        <f>HYPERLINK("https://www.socialoomph.com","SocialOomph")</f>
        <v>SocialOomph</v>
      </c>
      <c r="L1758" s="16">
        <v>13129.0</v>
      </c>
      <c r="M1758" s="16">
        <v>11638.0</v>
      </c>
      <c r="N1758" s="16">
        <v>580.0</v>
      </c>
      <c r="O1758" s="17"/>
      <c r="P1758" s="18">
        <v>41567.04141203704</v>
      </c>
      <c r="Q1758" s="1" t="s">
        <v>934</v>
      </c>
      <c r="R1758" s="1" t="s">
        <v>935</v>
      </c>
      <c r="S1758" s="13" t="s">
        <v>936</v>
      </c>
      <c r="T1758" s="14"/>
      <c r="U1758" s="19" t="str">
        <f>HYPERLINK("https://pbs.twimg.com/profile_images/1088560942126952449/0WtZpiss.jpg","View")</f>
        <v>View</v>
      </c>
      <c r="V1758" s="14"/>
      <c r="W1758" s="14"/>
      <c r="X1758" s="14"/>
      <c r="Y1758" s="14"/>
      <c r="Z1758" s="14"/>
    </row>
    <row r="1759">
      <c r="A1759" s="11">
        <v>43844.87525462963</v>
      </c>
      <c r="B1759" s="12" t="str">
        <f>HYPERLINK("https://twitter.com/NutritionGoGo","@NutritionGoGo")</f>
        <v>@NutritionGoGo</v>
      </c>
      <c r="C1759" s="1" t="s">
        <v>6505</v>
      </c>
      <c r="D1759" s="1" t="s">
        <v>8208</v>
      </c>
      <c r="E1759" s="12" t="str">
        <f>HYPERLINK("https://twitter.com/NutritionGoGo/status/1217265235297435649","1217265235297435649")</f>
        <v>1217265235297435649</v>
      </c>
      <c r="F1759" s="13" t="s">
        <v>8209</v>
      </c>
      <c r="G1759" s="14"/>
      <c r="H1759" s="14"/>
      <c r="I1759" s="15">
        <v>0.0</v>
      </c>
      <c r="J1759" s="15">
        <v>1.0</v>
      </c>
      <c r="K1759" s="12" t="str">
        <f>HYPERLINK("https://www.hootsuite.com","Hootsuite Inc.")</f>
        <v>Hootsuite Inc.</v>
      </c>
      <c r="L1759" s="16">
        <v>20074.0</v>
      </c>
      <c r="M1759" s="16">
        <v>9211.0</v>
      </c>
      <c r="N1759" s="16">
        <v>624.0</v>
      </c>
      <c r="O1759" s="17"/>
      <c r="P1759" s="18">
        <v>40143.407789351855</v>
      </c>
      <c r="Q1759" s="1" t="s">
        <v>1493</v>
      </c>
      <c r="R1759" s="1" t="s">
        <v>6508</v>
      </c>
      <c r="S1759" s="13" t="s">
        <v>6509</v>
      </c>
      <c r="T1759" s="14"/>
      <c r="U1759" s="19" t="str">
        <f>HYPERLINK("https://pbs.twimg.com/profile_images/918857082530553856/aPq4q4ge.jpg","View")</f>
        <v>View</v>
      </c>
      <c r="V1759" s="14"/>
      <c r="W1759" s="14"/>
      <c r="X1759" s="14"/>
      <c r="Y1759" s="14"/>
      <c r="Z1759" s="14"/>
    </row>
    <row r="1760">
      <c r="A1760" s="11">
        <v>43844.875</v>
      </c>
      <c r="B1760" s="12" t="str">
        <f>HYPERLINK("https://twitter.com/selfhyp4talent","@selfhyp4talent")</f>
        <v>@selfhyp4talent</v>
      </c>
      <c r="C1760" s="1" t="s">
        <v>8210</v>
      </c>
      <c r="D1760" s="1" t="s">
        <v>8211</v>
      </c>
      <c r="E1760" s="12" t="str">
        <f>HYPERLINK("https://twitter.com/selfhyp4talent/status/1217265142012022784","1217265142012022784")</f>
        <v>1217265142012022784</v>
      </c>
      <c r="F1760" s="13" t="s">
        <v>8212</v>
      </c>
      <c r="G1760" s="14"/>
      <c r="H1760" s="14"/>
      <c r="I1760" s="15">
        <v>0.0</v>
      </c>
      <c r="J1760" s="15">
        <v>0.0</v>
      </c>
      <c r="K1760" s="12" t="str">
        <f>HYPERLINK("https://about.twitter.com/products/tweetdeck","TweetDeck")</f>
        <v>TweetDeck</v>
      </c>
      <c r="L1760" s="16">
        <v>428.0</v>
      </c>
      <c r="M1760" s="16">
        <v>430.0</v>
      </c>
      <c r="N1760" s="16">
        <v>25.0</v>
      </c>
      <c r="O1760" s="17"/>
      <c r="P1760" s="18">
        <v>41212.87541666666</v>
      </c>
      <c r="Q1760" s="1" t="s">
        <v>108</v>
      </c>
      <c r="R1760" s="1" t="s">
        <v>8213</v>
      </c>
      <c r="S1760" s="13" t="s">
        <v>8214</v>
      </c>
      <c r="T1760" s="14"/>
      <c r="U1760" s="19" t="str">
        <f>HYPERLINK("https://pbs.twimg.com/profile_images/2794871383/4ce7f23c27953b01b603559e0191f67f.jpeg","View")</f>
        <v>View</v>
      </c>
      <c r="V1760" s="14"/>
      <c r="W1760" s="14"/>
      <c r="X1760" s="14"/>
      <c r="Y1760" s="14"/>
      <c r="Z1760" s="14"/>
    </row>
    <row r="1761">
      <c r="A1761" s="11">
        <v>43844.87269675926</v>
      </c>
      <c r="B1761" s="12" t="str">
        <f>HYPERLINK("https://twitter.com/Mules2College","@Mules2College")</f>
        <v>@Mules2College</v>
      </c>
      <c r="C1761" s="1" t="s">
        <v>8215</v>
      </c>
      <c r="D1761" s="1" t="s">
        <v>8216</v>
      </c>
      <c r="E1761" s="12" t="str">
        <f>HYPERLINK("https://twitter.com/Mules2College/status/1217264309862117376","1217264309862117376")</f>
        <v>1217264309862117376</v>
      </c>
      <c r="F1761" s="13" t="s">
        <v>8217</v>
      </c>
      <c r="G1761" s="14"/>
      <c r="H1761" s="14"/>
      <c r="I1761" s="15">
        <v>0.0</v>
      </c>
      <c r="J1761" s="15">
        <v>5.0</v>
      </c>
      <c r="K1761" s="12" t="str">
        <f>HYPERLINK("http://twitter.com/download/iphone","Twitter for iPhone")</f>
        <v>Twitter for iPhone</v>
      </c>
      <c r="L1761" s="16">
        <v>683.0</v>
      </c>
      <c r="M1761" s="16">
        <v>540.0</v>
      </c>
      <c r="N1761" s="16">
        <v>19.0</v>
      </c>
      <c r="O1761" s="17"/>
      <c r="P1761" s="18">
        <v>42591.888460648144</v>
      </c>
      <c r="Q1761" s="1" t="s">
        <v>8218</v>
      </c>
      <c r="R1761" s="1" t="s">
        <v>8219</v>
      </c>
      <c r="S1761" s="13" t="s">
        <v>8220</v>
      </c>
      <c r="T1761" s="14"/>
      <c r="U1761" s="19" t="str">
        <f>HYPERLINK("https://pbs.twimg.com/profile_images/1135579148548747265/BImq7Nsi.png","View")</f>
        <v>View</v>
      </c>
      <c r="V1761" s="14"/>
      <c r="W1761" s="14"/>
      <c r="X1761" s="14"/>
      <c r="Y1761" s="14"/>
      <c r="Z1761" s="14"/>
    </row>
    <row r="1762">
      <c r="A1762" s="11">
        <v>43844.86277777777</v>
      </c>
      <c r="B1762" s="12" t="str">
        <f>HYPERLINK("https://twitter.com/EmilyDeCaro","@EmilyDeCaro")</f>
        <v>@EmilyDeCaro</v>
      </c>
      <c r="C1762" s="1" t="s">
        <v>8221</v>
      </c>
      <c r="D1762" s="1" t="s">
        <v>8222</v>
      </c>
      <c r="E1762" s="12" t="str">
        <f>HYPERLINK("https://twitter.com/EmilyDeCaro/status/1217260713078657024","1217260713078657024")</f>
        <v>1217260713078657024</v>
      </c>
      <c r="F1762" s="14"/>
      <c r="G1762" s="13" t="s">
        <v>8223</v>
      </c>
      <c r="H1762" s="14"/>
      <c r="I1762" s="15">
        <v>0.0</v>
      </c>
      <c r="J1762" s="15">
        <v>0.0</v>
      </c>
      <c r="K1762" s="12" t="str">
        <f>HYPERLINK("http://twitter.com/#!/download/ipad","Twitter for iPad")</f>
        <v>Twitter for iPad</v>
      </c>
      <c r="L1762" s="16">
        <v>42.0</v>
      </c>
      <c r="M1762" s="16">
        <v>401.0</v>
      </c>
      <c r="N1762" s="16">
        <v>1.0</v>
      </c>
      <c r="O1762" s="17"/>
      <c r="P1762" s="18">
        <v>41161.85369212963</v>
      </c>
      <c r="Q1762" s="14"/>
      <c r="R1762" s="1" t="s">
        <v>8224</v>
      </c>
      <c r="S1762" s="13" t="s">
        <v>8225</v>
      </c>
      <c r="T1762" s="14"/>
      <c r="U1762" s="19" t="str">
        <f>HYPERLINK("https://pbs.twimg.com/profile_images/1197175445508296705/PdGHVlkl.jpg","View")</f>
        <v>View</v>
      </c>
      <c r="V1762" s="14"/>
      <c r="W1762" s="14"/>
      <c r="X1762" s="14"/>
      <c r="Y1762" s="14"/>
      <c r="Z1762" s="14"/>
    </row>
    <row r="1763">
      <c r="A1763" s="11">
        <v>43844.86267361111</v>
      </c>
      <c r="B1763" s="12" t="str">
        <f>HYPERLINK("https://twitter.com/britta_buescher","@britta_buescher")</f>
        <v>@britta_buescher</v>
      </c>
      <c r="C1763" s="1" t="s">
        <v>8226</v>
      </c>
      <c r="D1763" s="1" t="s">
        <v>8227</v>
      </c>
      <c r="E1763" s="12" t="str">
        <f>HYPERLINK("https://twitter.com/britta_buescher/status/1217260677976465408","1217260677976465408")</f>
        <v>1217260677976465408</v>
      </c>
      <c r="F1763" s="14"/>
      <c r="G1763" s="14"/>
      <c r="H1763" s="14"/>
      <c r="I1763" s="15">
        <v>0.0</v>
      </c>
      <c r="J1763" s="15">
        <v>1.0</v>
      </c>
      <c r="K1763" s="12" t="str">
        <f>HYPERLINK("http://twitter.com/download/android","Twitter for Android")</f>
        <v>Twitter for Android</v>
      </c>
      <c r="L1763" s="16">
        <v>504.0</v>
      </c>
      <c r="M1763" s="16">
        <v>678.0</v>
      </c>
      <c r="N1763" s="16">
        <v>11.0</v>
      </c>
      <c r="O1763" s="17"/>
      <c r="P1763" s="18">
        <v>40818.46283564815</v>
      </c>
      <c r="Q1763" s="1" t="s">
        <v>8228</v>
      </c>
      <c r="R1763" s="1" t="s">
        <v>8229</v>
      </c>
      <c r="S1763" s="13" t="s">
        <v>8230</v>
      </c>
      <c r="T1763" s="14"/>
      <c r="U1763" s="19" t="str">
        <f>HYPERLINK("https://pbs.twimg.com/profile_images/1203098124866215938/VQiLcXEh.jpg","View")</f>
        <v>View</v>
      </c>
      <c r="V1763" s="14"/>
      <c r="W1763" s="14"/>
      <c r="X1763" s="14"/>
      <c r="Y1763" s="14"/>
      <c r="Z1763" s="14"/>
    </row>
    <row r="1764">
      <c r="A1764" s="11">
        <v>43844.851435185185</v>
      </c>
      <c r="B1764" s="12" t="str">
        <f>HYPERLINK("https://twitter.com/timbauer28","@timbauer28")</f>
        <v>@timbauer28</v>
      </c>
      <c r="C1764" s="1" t="s">
        <v>6950</v>
      </c>
      <c r="D1764" s="1" t="s">
        <v>193</v>
      </c>
      <c r="E1764" s="12" t="str">
        <f>HYPERLINK("https://twitter.com/timbauer28/status/1217256604330053633","1217256604330053633")</f>
        <v>1217256604330053633</v>
      </c>
      <c r="F1764" s="13" t="s">
        <v>8231</v>
      </c>
      <c r="G1764" s="14"/>
      <c r="H1764" s="14"/>
      <c r="I1764" s="15">
        <v>0.0</v>
      </c>
      <c r="J1764" s="15">
        <v>0.0</v>
      </c>
      <c r="K1764" s="12" t="str">
        <f>HYPERLINK("http://twitter.com/#!/download/ipad","Twitter for iPad")</f>
        <v>Twitter for iPad</v>
      </c>
      <c r="L1764" s="16">
        <v>101.0</v>
      </c>
      <c r="M1764" s="16">
        <v>1197.0</v>
      </c>
      <c r="N1764" s="16">
        <v>6.0</v>
      </c>
      <c r="O1764" s="17"/>
      <c r="P1764" s="18">
        <v>41600.6583912037</v>
      </c>
      <c r="Q1764" s="1" t="s">
        <v>4674</v>
      </c>
      <c r="R1764" s="14"/>
      <c r="S1764" s="14"/>
      <c r="T1764" s="14"/>
      <c r="U1764" s="19" t="str">
        <f>HYPERLINK("https://pbs.twimg.com/profile_images/1208064289925402626/M5Q2RQhm.jpg","View")</f>
        <v>View</v>
      </c>
      <c r="V1764" s="14"/>
      <c r="W1764" s="14"/>
      <c r="X1764" s="14"/>
      <c r="Y1764" s="14"/>
      <c r="Z1764" s="14"/>
    </row>
    <row r="1765">
      <c r="A1765" s="11">
        <v>43844.84444444445</v>
      </c>
      <c r="B1765" s="12" t="str">
        <f>HYPERLINK("https://twitter.com/AngelFaceMedia","@AngelFaceMedia")</f>
        <v>@AngelFaceMedia</v>
      </c>
      <c r="C1765" s="1" t="s">
        <v>6520</v>
      </c>
      <c r="D1765" s="1" t="s">
        <v>8232</v>
      </c>
      <c r="E1765" s="12" t="str">
        <f>HYPERLINK("https://twitter.com/AngelFaceMedia/status/1217254071867973632","1217254071867973632")</f>
        <v>1217254071867973632</v>
      </c>
      <c r="F1765" s="14"/>
      <c r="G1765" s="13" t="s">
        <v>8233</v>
      </c>
      <c r="H1765" s="14"/>
      <c r="I1765" s="15">
        <v>0.0</v>
      </c>
      <c r="J1765" s="15">
        <v>0.0</v>
      </c>
      <c r="K1765" s="12" t="str">
        <f>HYPERLINK("https://www.later.com","LaterMedia")</f>
        <v>LaterMedia</v>
      </c>
      <c r="L1765" s="16">
        <v>4609.0</v>
      </c>
      <c r="M1765" s="16">
        <v>4796.0</v>
      </c>
      <c r="N1765" s="16">
        <v>524.0</v>
      </c>
      <c r="O1765" s="17"/>
      <c r="P1765" s="18">
        <v>40356.48460648148</v>
      </c>
      <c r="Q1765" s="1" t="s">
        <v>521</v>
      </c>
      <c r="R1765" s="1" t="s">
        <v>6523</v>
      </c>
      <c r="S1765" s="14"/>
      <c r="T1765" s="14"/>
      <c r="U1765" s="19" t="str">
        <f>HYPERLINK("https://pbs.twimg.com/profile_images/801836897345609729/c2DydRe_.jpg","View")</f>
        <v>View</v>
      </c>
      <c r="V1765" s="14"/>
      <c r="W1765" s="14"/>
      <c r="X1765" s="14"/>
      <c r="Y1765" s="14"/>
      <c r="Z1765" s="14"/>
    </row>
    <row r="1766">
      <c r="A1766" s="11">
        <v>43844.836851851855</v>
      </c>
      <c r="B1766" s="12" t="str">
        <f>HYPERLINK("https://twitter.com/susanhash","@susanhash")</f>
        <v>@susanhash</v>
      </c>
      <c r="C1766" s="1" t="s">
        <v>8234</v>
      </c>
      <c r="D1766" s="1" t="s">
        <v>8235</v>
      </c>
      <c r="E1766" s="12" t="str">
        <f>HYPERLINK("https://twitter.com/susanhash/status/1217251318286495745","1217251318286495745")</f>
        <v>1217251318286495745</v>
      </c>
      <c r="F1766" s="13" t="s">
        <v>8236</v>
      </c>
      <c r="G1766" s="14"/>
      <c r="H1766" s="14"/>
      <c r="I1766" s="15">
        <v>0.0</v>
      </c>
      <c r="J1766" s="15">
        <v>1.0</v>
      </c>
      <c r="K1766" s="12" t="str">
        <f>HYPERLINK("https://www.hootsuite.com","Hootsuite Inc.")</f>
        <v>Hootsuite Inc.</v>
      </c>
      <c r="L1766" s="16">
        <v>9962.0</v>
      </c>
      <c r="M1766" s="16">
        <v>7829.0</v>
      </c>
      <c r="N1766" s="16">
        <v>329.0</v>
      </c>
      <c r="O1766" s="17"/>
      <c r="P1766" s="18">
        <v>39917.47275462963</v>
      </c>
      <c r="Q1766" s="1" t="s">
        <v>2251</v>
      </c>
      <c r="R1766" s="1" t="s">
        <v>8237</v>
      </c>
      <c r="S1766" s="13" t="s">
        <v>8238</v>
      </c>
      <c r="T1766" s="14"/>
      <c r="U1766" s="19" t="str">
        <f>HYPERLINK("https://pbs.twimg.com/profile_images/534775239129829376/TgE31hPA.jpeg","View")</f>
        <v>View</v>
      </c>
      <c r="V1766" s="14"/>
      <c r="W1766" s="14"/>
      <c r="X1766" s="14"/>
      <c r="Y1766" s="14"/>
      <c r="Z1766" s="14"/>
    </row>
    <row r="1767">
      <c r="A1767" s="11">
        <v>43844.83541666667</v>
      </c>
      <c r="B1767" s="12" t="str">
        <f>HYPERLINK("https://twitter.com/MedPageCardio","@MedPageCardio")</f>
        <v>@MedPageCardio</v>
      </c>
      <c r="C1767" s="1" t="s">
        <v>8239</v>
      </c>
      <c r="D1767" s="1" t="s">
        <v>8240</v>
      </c>
      <c r="E1767" s="12" t="str">
        <f>HYPERLINK("https://twitter.com/MedPageCardio/status/1217250800050876416","1217250800050876416")</f>
        <v>1217250800050876416</v>
      </c>
      <c r="F1767" s="13" t="s">
        <v>8241</v>
      </c>
      <c r="G1767" s="14"/>
      <c r="H1767" s="14"/>
      <c r="I1767" s="15">
        <v>2.0</v>
      </c>
      <c r="J1767" s="15">
        <v>2.0</v>
      </c>
      <c r="K1767" s="12" t="str">
        <f>HYPERLINK("https://sproutsocial.com","Sprout Social")</f>
        <v>Sprout Social</v>
      </c>
      <c r="L1767" s="16">
        <v>981.0</v>
      </c>
      <c r="M1767" s="16">
        <v>1295.0</v>
      </c>
      <c r="N1767" s="16">
        <v>16.0</v>
      </c>
      <c r="O1767" s="17"/>
      <c r="P1767" s="18">
        <v>42859.975011574075</v>
      </c>
      <c r="Q1767" s="14"/>
      <c r="R1767" s="1" t="s">
        <v>8242</v>
      </c>
      <c r="S1767" s="13" t="s">
        <v>8243</v>
      </c>
      <c r="T1767" s="14"/>
      <c r="U1767" s="19" t="str">
        <f>HYPERLINK("https://pbs.twimg.com/profile_images/1125501287129337856/4aEhF2nw.png","View")</f>
        <v>View</v>
      </c>
      <c r="V1767" s="14"/>
      <c r="W1767" s="14"/>
      <c r="X1767" s="14"/>
      <c r="Y1767" s="14"/>
      <c r="Z1767" s="14"/>
    </row>
    <row r="1768">
      <c r="A1768" s="11">
        <v>43844.83366898148</v>
      </c>
      <c r="B1768" s="12" t="str">
        <f>HYPERLINK("https://twitter.com/Health_Local","@Health_Local")</f>
        <v>@Health_Local</v>
      </c>
      <c r="C1768" s="13" t="s">
        <v>8244</v>
      </c>
      <c r="D1768" s="1" t="s">
        <v>8245</v>
      </c>
      <c r="E1768" s="12" t="str">
        <f>HYPERLINK("https://twitter.com/Health_Local/status/1217250167411412994","1217250167411412994")</f>
        <v>1217250167411412994</v>
      </c>
      <c r="F1768" s="13" t="s">
        <v>8246</v>
      </c>
      <c r="G1768" s="13" t="s">
        <v>8247</v>
      </c>
      <c r="H1768" s="14"/>
      <c r="I1768" s="15">
        <v>0.0</v>
      </c>
      <c r="J1768" s="15">
        <v>1.0</v>
      </c>
      <c r="K1768" s="12" t="str">
        <f>HYPERLINK("https://www.hootsuite.com","Hootsuite Inc.")</f>
        <v>Hootsuite Inc.</v>
      </c>
      <c r="L1768" s="16">
        <v>2494.0</v>
      </c>
      <c r="M1768" s="16">
        <v>2189.0</v>
      </c>
      <c r="N1768" s="16">
        <v>64.0</v>
      </c>
      <c r="O1768" s="17"/>
      <c r="P1768" s="18">
        <v>39981.66826388889</v>
      </c>
      <c r="Q1768" s="1" t="s">
        <v>8248</v>
      </c>
      <c r="R1768" s="1" t="s">
        <v>8249</v>
      </c>
      <c r="S1768" s="13" t="s">
        <v>8250</v>
      </c>
      <c r="T1768" s="14"/>
      <c r="U1768" s="19" t="str">
        <f>HYPERLINK("https://pbs.twimg.com/profile_images/863099797779210241/e04zgN6Y.jpg","View")</f>
        <v>View</v>
      </c>
      <c r="V1768" s="14"/>
      <c r="W1768" s="14"/>
      <c r="X1768" s="14"/>
      <c r="Y1768" s="14"/>
      <c r="Z1768" s="14"/>
    </row>
    <row r="1769">
      <c r="A1769" s="11">
        <v>43844.83018518519</v>
      </c>
      <c r="B1769" s="12" t="str">
        <f>HYPERLINK("https://twitter.com/ReputationComm","@ReputationComm")</f>
        <v>@ReputationComm</v>
      </c>
      <c r="C1769" s="1" t="s">
        <v>954</v>
      </c>
      <c r="D1769" s="1" t="s">
        <v>8251</v>
      </c>
      <c r="E1769" s="12" t="str">
        <f>HYPERLINK("https://twitter.com/ReputationComm/status/1217248903071924226","1217248903071924226")</f>
        <v>1217248903071924226</v>
      </c>
      <c r="F1769" s="14"/>
      <c r="G1769" s="14"/>
      <c r="H1769" s="14"/>
      <c r="I1769" s="15">
        <v>0.0</v>
      </c>
      <c r="J1769" s="15">
        <v>0.0</v>
      </c>
      <c r="K1769" s="12" t="str">
        <f>HYPERLINK("http://twitter.com/download/android","Twitter for Android")</f>
        <v>Twitter for Android</v>
      </c>
      <c r="L1769" s="16">
        <v>550.0</v>
      </c>
      <c r="M1769" s="16">
        <v>319.0</v>
      </c>
      <c r="N1769" s="16">
        <v>16.0</v>
      </c>
      <c r="O1769" s="17"/>
      <c r="P1769" s="18">
        <v>42864.74561342593</v>
      </c>
      <c r="Q1769" s="1" t="s">
        <v>957</v>
      </c>
      <c r="R1769" s="1" t="s">
        <v>958</v>
      </c>
      <c r="S1769" s="13" t="s">
        <v>959</v>
      </c>
      <c r="T1769" s="14"/>
      <c r="U1769" s="19" t="str">
        <f>HYPERLINK("https://pbs.twimg.com/profile_images/1112951235047514112/Wo8ONT1p.jpg","View")</f>
        <v>View</v>
      </c>
      <c r="V1769" s="14"/>
      <c r="W1769" s="14"/>
      <c r="X1769" s="14"/>
      <c r="Y1769" s="14"/>
      <c r="Z1769" s="14"/>
    </row>
    <row r="1770">
      <c r="A1770" s="11">
        <v>43844.82851851852</v>
      </c>
      <c r="B1770" s="12" t="str">
        <f>HYPERLINK("https://twitter.com/brillianceinc","@brillianceinc")</f>
        <v>@brillianceinc</v>
      </c>
      <c r="C1770" s="1" t="s">
        <v>8252</v>
      </c>
      <c r="D1770" s="1" t="s">
        <v>8253</v>
      </c>
      <c r="E1770" s="12" t="str">
        <f>HYPERLINK("https://twitter.com/brillianceinc/status/1217248297313804289","1217248297313804289")</f>
        <v>1217248297313804289</v>
      </c>
      <c r="F1770" s="13" t="s">
        <v>8254</v>
      </c>
      <c r="G1770" s="14"/>
      <c r="H1770" s="14"/>
      <c r="I1770" s="15">
        <v>0.0</v>
      </c>
      <c r="J1770" s="15">
        <v>0.0</v>
      </c>
      <c r="K1770" s="12" t="str">
        <f t="shared" ref="K1770:K1771" si="174">HYPERLINK("http://instagram.com","Instagram")</f>
        <v>Instagram</v>
      </c>
      <c r="L1770" s="16">
        <v>3679.0</v>
      </c>
      <c r="M1770" s="16">
        <v>4095.0</v>
      </c>
      <c r="N1770" s="16">
        <v>67.0</v>
      </c>
      <c r="O1770" s="17"/>
      <c r="P1770" s="18">
        <v>40182.670335648145</v>
      </c>
      <c r="Q1770" s="1" t="s">
        <v>8255</v>
      </c>
      <c r="R1770" s="1" t="s">
        <v>8256</v>
      </c>
      <c r="S1770" s="13" t="s">
        <v>8257</v>
      </c>
      <c r="T1770" s="14"/>
      <c r="U1770" s="19" t="str">
        <f>HYPERLINK("https://pbs.twimg.com/profile_images/1045731481383911424/WdCTyAhX.jpg","View")</f>
        <v>View</v>
      </c>
      <c r="V1770" s="14"/>
      <c r="W1770" s="14"/>
      <c r="X1770" s="14"/>
      <c r="Y1770" s="14"/>
      <c r="Z1770" s="14"/>
    </row>
    <row r="1771">
      <c r="A1771" s="11">
        <v>43844.82849537037</v>
      </c>
      <c r="B1771" s="12" t="str">
        <f>HYPERLINK("https://twitter.com/Oceania17","@Oceania17")</f>
        <v>@Oceania17</v>
      </c>
      <c r="C1771" s="1" t="s">
        <v>8258</v>
      </c>
      <c r="D1771" s="1" t="s">
        <v>8259</v>
      </c>
      <c r="E1771" s="12" t="str">
        <f>HYPERLINK("https://twitter.com/Oceania17/status/1217248289856393216","1217248289856393216")</f>
        <v>1217248289856393216</v>
      </c>
      <c r="F1771" s="13" t="s">
        <v>8260</v>
      </c>
      <c r="G1771" s="14"/>
      <c r="H1771" s="14"/>
      <c r="I1771" s="15">
        <v>0.0</v>
      </c>
      <c r="J1771" s="15">
        <v>0.0</v>
      </c>
      <c r="K1771" s="12" t="str">
        <f t="shared" si="174"/>
        <v>Instagram</v>
      </c>
      <c r="L1771" s="16">
        <v>136.0</v>
      </c>
      <c r="M1771" s="16">
        <v>308.0</v>
      </c>
      <c r="N1771" s="16">
        <v>37.0</v>
      </c>
      <c r="O1771" s="17"/>
      <c r="P1771" s="18">
        <v>40631.84484953704</v>
      </c>
      <c r="Q1771" s="1" t="s">
        <v>1116</v>
      </c>
      <c r="R1771" s="1" t="s">
        <v>8261</v>
      </c>
      <c r="S1771" s="13" t="s">
        <v>8262</v>
      </c>
      <c r="T1771" s="14"/>
      <c r="U1771" s="19" t="str">
        <f>HYPERLINK("https://pbs.twimg.com/profile_images/1000122372253511680/BsyWTzLh.jpg","View")</f>
        <v>View</v>
      </c>
      <c r="V1771" s="14"/>
      <c r="W1771" s="14"/>
      <c r="X1771" s="14"/>
      <c r="Y1771" s="14"/>
      <c r="Z1771" s="14"/>
    </row>
    <row r="1772">
      <c r="A1772" s="11">
        <v>43844.823796296296</v>
      </c>
      <c r="B1772" s="12" t="str">
        <f>HYPERLINK("https://twitter.com/bmcc265","@bmcc265")</f>
        <v>@bmcc265</v>
      </c>
      <c r="C1772" s="1" t="s">
        <v>2984</v>
      </c>
      <c r="D1772" s="1" t="s">
        <v>2985</v>
      </c>
      <c r="E1772" s="12" t="str">
        <f>HYPERLINK("https://twitter.com/bmcc265/status/1217246587455442944","1217246587455442944")</f>
        <v>1217246587455442944</v>
      </c>
      <c r="F1772" s="14"/>
      <c r="G1772" s="13" t="s">
        <v>8263</v>
      </c>
      <c r="H1772" s="14"/>
      <c r="I1772" s="15">
        <v>0.0</v>
      </c>
      <c r="J1772" s="15">
        <v>2.0</v>
      </c>
      <c r="K1772" s="12" t="str">
        <f>HYPERLINK("https://www.socialjukebox.com","The Social Jukebox")</f>
        <v>The Social Jukebox</v>
      </c>
      <c r="L1772" s="16">
        <v>12895.0</v>
      </c>
      <c r="M1772" s="16">
        <v>12208.0</v>
      </c>
      <c r="N1772" s="16">
        <v>1130.0</v>
      </c>
      <c r="O1772" s="17"/>
      <c r="P1772" s="18">
        <v>39503.54392361111</v>
      </c>
      <c r="Q1772" s="1" t="s">
        <v>2987</v>
      </c>
      <c r="R1772" s="1" t="s">
        <v>2988</v>
      </c>
      <c r="S1772" s="13" t="s">
        <v>2989</v>
      </c>
      <c r="T1772" s="14"/>
      <c r="U1772" s="19" t="str">
        <f>HYPERLINK("https://pbs.twimg.com/profile_images/723989239382208512/ktFbvR5K.jpg","View")</f>
        <v>View</v>
      </c>
      <c r="V1772" s="14"/>
      <c r="W1772" s="14"/>
      <c r="X1772" s="14"/>
      <c r="Y1772" s="14"/>
      <c r="Z1772" s="14"/>
    </row>
    <row r="1773">
      <c r="A1773" s="11">
        <v>43844.8125</v>
      </c>
      <c r="B1773" s="12" t="str">
        <f>HYPERLINK("https://twitter.com/meharunn","@meharunn")</f>
        <v>@meharunn</v>
      </c>
      <c r="C1773" s="1" t="s">
        <v>8264</v>
      </c>
      <c r="D1773" s="1" t="s">
        <v>8265</v>
      </c>
      <c r="E1773" s="12" t="str">
        <f>HYPERLINK("https://twitter.com/meharunn/status/1217242496033411072","1217242496033411072")</f>
        <v>1217242496033411072</v>
      </c>
      <c r="F1773" s="14"/>
      <c r="G1773" s="13" t="s">
        <v>8266</v>
      </c>
      <c r="H1773" s="14"/>
      <c r="I1773" s="15">
        <v>0.0</v>
      </c>
      <c r="J1773" s="15">
        <v>0.0</v>
      </c>
      <c r="K1773" s="12" t="str">
        <f>HYPERLINK("https://social.zoho.com","Zoho Social")</f>
        <v>Zoho Social</v>
      </c>
      <c r="L1773" s="16">
        <v>19.0</v>
      </c>
      <c r="M1773" s="16">
        <v>21.0</v>
      </c>
      <c r="N1773" s="16">
        <v>0.0</v>
      </c>
      <c r="O1773" s="17"/>
      <c r="P1773" s="18">
        <v>40015.114328703705</v>
      </c>
      <c r="Q1773" s="1">
        <v>8.838428286E9</v>
      </c>
      <c r="R1773" s="1" t="s">
        <v>8267</v>
      </c>
      <c r="S1773" s="13" t="s">
        <v>8268</v>
      </c>
      <c r="T1773" s="14"/>
      <c r="U1773" s="19" t="str">
        <f>HYPERLINK("https://pbs.twimg.com/profile_images/1169924097087660032/gueBKSl8.jpg","View")</f>
        <v>View</v>
      </c>
      <c r="V1773" s="14"/>
      <c r="W1773" s="14"/>
      <c r="X1773" s="14"/>
      <c r="Y1773" s="14"/>
      <c r="Z1773" s="14"/>
    </row>
    <row r="1774">
      <c r="A1774" s="11">
        <v>43844.81189814815</v>
      </c>
      <c r="B1774" s="12" t="str">
        <f>HYPERLINK("https://twitter.com/podiatristvisit","@podiatristvisit")</f>
        <v>@podiatristvisit</v>
      </c>
      <c r="C1774" s="1" t="s">
        <v>8269</v>
      </c>
      <c r="D1774" s="1" t="s">
        <v>8270</v>
      </c>
      <c r="E1774" s="12" t="str">
        <f>HYPERLINK("https://twitter.com/podiatristvisit/status/1217242275442458624","1217242275442458624")</f>
        <v>1217242275442458624</v>
      </c>
      <c r="F1774" s="13" t="s">
        <v>8271</v>
      </c>
      <c r="G1774" s="13" t="s">
        <v>8272</v>
      </c>
      <c r="H1774" s="14"/>
      <c r="I1774" s="15">
        <v>0.0</v>
      </c>
      <c r="J1774" s="15">
        <v>2.0</v>
      </c>
      <c r="K1774" s="12" t="str">
        <f>HYPERLINK("https://postcron.com","Postcron App")</f>
        <v>Postcron App</v>
      </c>
      <c r="L1774" s="16">
        <v>349.0</v>
      </c>
      <c r="M1774" s="16">
        <v>201.0</v>
      </c>
      <c r="N1774" s="16">
        <v>11.0</v>
      </c>
      <c r="O1774" s="17"/>
      <c r="P1774" s="18">
        <v>40318.51421296296</v>
      </c>
      <c r="Q1774" s="14"/>
      <c r="R1774" s="1" t="s">
        <v>8273</v>
      </c>
      <c r="S1774" s="13" t="s">
        <v>8271</v>
      </c>
      <c r="T1774" s="14"/>
      <c r="U1774" s="19" t="str">
        <f>HYPERLINK("https://pbs.twimg.com/profile_images/664590897942802433/zOhQlkE2.png","View")</f>
        <v>View</v>
      </c>
      <c r="V1774" s="14"/>
      <c r="W1774" s="14"/>
      <c r="X1774" s="14"/>
      <c r="Y1774" s="14"/>
      <c r="Z1774" s="14"/>
    </row>
    <row r="1775">
      <c r="A1775" s="11">
        <v>43844.811875</v>
      </c>
      <c r="B1775" s="12" t="str">
        <f>HYPERLINK("https://twitter.com/TheGroomNStyle","@TheGroomNStyle")</f>
        <v>@TheGroomNStyle</v>
      </c>
      <c r="C1775" s="1" t="s">
        <v>2254</v>
      </c>
      <c r="D1775" s="1" t="s">
        <v>8274</v>
      </c>
      <c r="E1775" s="12" t="str">
        <f>HYPERLINK("https://twitter.com/TheGroomNStyle/status/1217242266034679809","1217242266034679809")</f>
        <v>1217242266034679809</v>
      </c>
      <c r="F1775" s="13" t="s">
        <v>8275</v>
      </c>
      <c r="G1775" s="13" t="s">
        <v>8276</v>
      </c>
      <c r="H1775" s="14"/>
      <c r="I1775" s="15">
        <v>0.0</v>
      </c>
      <c r="J1775" s="15">
        <v>1.0</v>
      </c>
      <c r="K1775" s="12" t="str">
        <f>HYPERLINK("http://twitter.com/download/iphone","Twitter for iPhone")</f>
        <v>Twitter for iPhone</v>
      </c>
      <c r="L1775" s="16">
        <v>4298.0</v>
      </c>
      <c r="M1775" s="16">
        <v>5092.0</v>
      </c>
      <c r="N1775" s="16">
        <v>39.0</v>
      </c>
      <c r="O1775" s="17"/>
      <c r="P1775" s="18">
        <v>41796.454618055555</v>
      </c>
      <c r="Q1775" s="14"/>
      <c r="R1775" s="1" t="s">
        <v>2258</v>
      </c>
      <c r="S1775" s="13" t="s">
        <v>2259</v>
      </c>
      <c r="T1775" s="14"/>
      <c r="U1775" s="19" t="str">
        <f>HYPERLINK("https://pbs.twimg.com/profile_images/827479439705591808/op4u5gzp.jpg","View")</f>
        <v>View</v>
      </c>
      <c r="V1775" s="14"/>
      <c r="W1775" s="14"/>
      <c r="X1775" s="14"/>
      <c r="Y1775" s="14"/>
      <c r="Z1775" s="14"/>
    </row>
    <row r="1776">
      <c r="A1776" s="11">
        <v>43844.80081018519</v>
      </c>
      <c r="B1776" s="12" t="str">
        <f>HYPERLINK("https://twitter.com/AltWaysToHeal","@AltWaysToHeal")</f>
        <v>@AltWaysToHeal</v>
      </c>
      <c r="C1776" s="1" t="s">
        <v>1734</v>
      </c>
      <c r="D1776" s="1" t="s">
        <v>1735</v>
      </c>
      <c r="E1776" s="12" t="str">
        <f>HYPERLINK("https://twitter.com/AltWaysToHeal/status/1217238259501273090","1217238259501273090")</f>
        <v>1217238259501273090</v>
      </c>
      <c r="F1776" s="13" t="s">
        <v>1736</v>
      </c>
      <c r="G1776" s="13" t="s">
        <v>8277</v>
      </c>
      <c r="H1776" s="14"/>
      <c r="I1776" s="15">
        <v>0.0</v>
      </c>
      <c r="J1776" s="15">
        <v>0.0</v>
      </c>
      <c r="K1776" s="12" t="str">
        <f>HYPERLINK("https://www.socialjukebox.com","The Social Jukebox")</f>
        <v>The Social Jukebox</v>
      </c>
      <c r="L1776" s="16">
        <v>10932.0</v>
      </c>
      <c r="M1776" s="16">
        <v>8867.0</v>
      </c>
      <c r="N1776" s="16">
        <v>907.0</v>
      </c>
      <c r="O1776" s="17"/>
      <c r="P1776" s="18">
        <v>42321.46898148148</v>
      </c>
      <c r="Q1776" s="1" t="s">
        <v>1738</v>
      </c>
      <c r="R1776" s="1" t="s">
        <v>1739</v>
      </c>
      <c r="S1776" s="13" t="s">
        <v>1740</v>
      </c>
      <c r="T1776" s="14"/>
      <c r="U1776" s="19" t="str">
        <f>HYPERLINK("https://pbs.twimg.com/profile_images/802272636768174080/-lXetELr.jpg","View")</f>
        <v>View</v>
      </c>
      <c r="V1776" s="14"/>
      <c r="W1776" s="14"/>
      <c r="X1776" s="14"/>
      <c r="Y1776" s="14"/>
      <c r="Z1776" s="14"/>
    </row>
    <row r="1777">
      <c r="A1777" s="11">
        <v>43844.80070601852</v>
      </c>
      <c r="B1777" s="12" t="str">
        <f>HYPERLINK("https://twitter.com/BizDonuts","@BizDonuts")</f>
        <v>@BizDonuts</v>
      </c>
      <c r="C1777" s="1" t="s">
        <v>8278</v>
      </c>
      <c r="D1777" s="1" t="s">
        <v>8279</v>
      </c>
      <c r="E1777" s="12" t="str">
        <f>HYPERLINK("https://twitter.com/BizDonuts/status/1217238219248623622","1217238219248623622")</f>
        <v>1217238219248623622</v>
      </c>
      <c r="F1777" s="13" t="s">
        <v>8280</v>
      </c>
      <c r="G1777" s="14"/>
      <c r="H1777" s="14"/>
      <c r="I1777" s="15">
        <v>0.0</v>
      </c>
      <c r="J1777" s="15">
        <v>0.0</v>
      </c>
      <c r="K1777" s="12" t="str">
        <f>HYPERLINK("https://sproutsocial.com","Sprout Social")</f>
        <v>Sprout Social</v>
      </c>
      <c r="L1777" s="16">
        <v>15507.0</v>
      </c>
      <c r="M1777" s="16">
        <v>4078.0</v>
      </c>
      <c r="N1777" s="16">
        <v>855.0</v>
      </c>
      <c r="O1777" s="17"/>
      <c r="P1777" s="18">
        <v>39962.284155092595</v>
      </c>
      <c r="Q1777" s="1" t="s">
        <v>4567</v>
      </c>
      <c r="R1777" s="1" t="s">
        <v>8281</v>
      </c>
      <c r="S1777" s="13" t="s">
        <v>8282</v>
      </c>
      <c r="T1777" s="14"/>
      <c r="U1777" s="19" t="str">
        <f>HYPERLINK("https://pbs.twimg.com/profile_images/1212310615462678528/WM9GYrlb.jpg","View")</f>
        <v>View</v>
      </c>
      <c r="V1777" s="14"/>
      <c r="W1777" s="14"/>
      <c r="X1777" s="14"/>
      <c r="Y1777" s="14"/>
      <c r="Z1777" s="14"/>
    </row>
    <row r="1778">
      <c r="A1778" s="11">
        <v>43844.799108796295</v>
      </c>
      <c r="B1778" s="12" t="str">
        <f>HYPERLINK("https://twitter.com/Sheree_Kirby","@Sheree_Kirby")</f>
        <v>@Sheree_Kirby</v>
      </c>
      <c r="C1778" s="1" t="s">
        <v>8283</v>
      </c>
      <c r="D1778" s="1" t="s">
        <v>8284</v>
      </c>
      <c r="E1778" s="12" t="str">
        <f>HYPERLINK("https://twitter.com/Sheree_Kirby/status/1217237639386058758","1217237639386058758")</f>
        <v>1217237639386058758</v>
      </c>
      <c r="F1778" s="13" t="s">
        <v>8285</v>
      </c>
      <c r="G1778" s="14"/>
      <c r="H1778" s="14"/>
      <c r="I1778" s="15">
        <v>0.0</v>
      </c>
      <c r="J1778" s="15">
        <v>0.0</v>
      </c>
      <c r="K1778" s="12" t="str">
        <f>HYPERLINK("http://twitter.com/download/android","Twitter for Android")</f>
        <v>Twitter for Android</v>
      </c>
      <c r="L1778" s="16">
        <v>484.0</v>
      </c>
      <c r="M1778" s="16">
        <v>962.0</v>
      </c>
      <c r="N1778" s="16">
        <v>37.0</v>
      </c>
      <c r="O1778" s="17"/>
      <c r="P1778" s="18">
        <v>39932.612962962965</v>
      </c>
      <c r="Q1778" s="1" t="s">
        <v>268</v>
      </c>
      <c r="R1778" s="1" t="s">
        <v>8286</v>
      </c>
      <c r="S1778" s="13" t="s">
        <v>8287</v>
      </c>
      <c r="T1778" s="14"/>
      <c r="U1778" s="19" t="str">
        <f>HYPERLINK("https://pbs.twimg.com/profile_images/1187826075885285378/dqoH4fkL.jpg","View")</f>
        <v>View</v>
      </c>
      <c r="V1778" s="14"/>
      <c r="W1778" s="14"/>
      <c r="X1778" s="14"/>
      <c r="Y1778" s="14"/>
      <c r="Z1778" s="14"/>
    </row>
    <row r="1779">
      <c r="A1779" s="11">
        <v>43844.79236111111</v>
      </c>
      <c r="B1779" s="12" t="str">
        <f>HYPERLINK("https://twitter.com/docweighsin","@docweighsin")</f>
        <v>@docweighsin</v>
      </c>
      <c r="C1779" s="1" t="s">
        <v>4941</v>
      </c>
      <c r="D1779" s="1" t="s">
        <v>4942</v>
      </c>
      <c r="E1779" s="12" t="str">
        <f>HYPERLINK("https://twitter.com/docweighsin/status/1217235193947443206","1217235193947443206")</f>
        <v>1217235193947443206</v>
      </c>
      <c r="F1779" s="13" t="s">
        <v>4943</v>
      </c>
      <c r="G1779" s="13" t="s">
        <v>8288</v>
      </c>
      <c r="H1779" s="14"/>
      <c r="I1779" s="15">
        <v>0.0</v>
      </c>
      <c r="J1779" s="15">
        <v>2.0</v>
      </c>
      <c r="K1779" s="12" t="str">
        <f>HYPERLINK("https://www.hootsuite.com","Hootsuite Inc.")</f>
        <v>Hootsuite Inc.</v>
      </c>
      <c r="L1779" s="16">
        <v>29339.0</v>
      </c>
      <c r="M1779" s="16">
        <v>12043.0</v>
      </c>
      <c r="N1779" s="16">
        <v>1154.0</v>
      </c>
      <c r="O1779" s="17"/>
      <c r="P1779" s="18">
        <v>40370.9605787037</v>
      </c>
      <c r="Q1779" s="1" t="s">
        <v>1782</v>
      </c>
      <c r="R1779" s="1" t="s">
        <v>4945</v>
      </c>
      <c r="S1779" s="13" t="s">
        <v>4946</v>
      </c>
      <c r="T1779" s="14"/>
      <c r="U1779" s="19" t="str">
        <f>HYPERLINK("https://pbs.twimg.com/profile_images/738469375083053056/OpR72fYy.jpg","View")</f>
        <v>View</v>
      </c>
      <c r="V1779" s="14"/>
      <c r="W1779" s="14"/>
      <c r="X1779" s="14"/>
      <c r="Y1779" s="14"/>
      <c r="Z1779" s="14"/>
    </row>
    <row r="1780">
      <c r="A1780" s="11">
        <v>43844.79221064815</v>
      </c>
      <c r="B1780" s="12" t="str">
        <f>HYPERLINK("https://twitter.com/HypnoNook","@HypnoNook")</f>
        <v>@HypnoNook</v>
      </c>
      <c r="C1780" s="1" t="s">
        <v>198</v>
      </c>
      <c r="D1780" s="1" t="s">
        <v>199</v>
      </c>
      <c r="E1780" s="12" t="str">
        <f>HYPERLINK("https://twitter.com/HypnoNook/status/1217235142621716483","1217235142621716483")</f>
        <v>1217235142621716483</v>
      </c>
      <c r="F1780" s="13" t="s">
        <v>200</v>
      </c>
      <c r="G1780" s="13" t="s">
        <v>8289</v>
      </c>
      <c r="H1780" s="14"/>
      <c r="I1780" s="15">
        <v>0.0</v>
      </c>
      <c r="J1780" s="15">
        <v>0.0</v>
      </c>
      <c r="K1780" s="12" t="str">
        <f>HYPERLINK("https://webitix.com","TheTweetPoster")</f>
        <v>TheTweetPoster</v>
      </c>
      <c r="L1780" s="16">
        <v>0.0</v>
      </c>
      <c r="M1780" s="16">
        <v>0.0</v>
      </c>
      <c r="N1780" s="16">
        <v>0.0</v>
      </c>
      <c r="O1780" s="17"/>
      <c r="P1780" s="18">
        <v>43541.87041666667</v>
      </c>
      <c r="Q1780" s="14"/>
      <c r="R1780" s="14"/>
      <c r="S1780" s="14"/>
      <c r="T1780" s="14"/>
      <c r="U1780" s="20" t="s">
        <v>202</v>
      </c>
      <c r="V1780" s="14"/>
      <c r="W1780" s="14"/>
      <c r="X1780" s="14"/>
      <c r="Y1780" s="14"/>
      <c r="Z1780" s="14"/>
    </row>
    <row r="1781">
      <c r="A1781" s="11">
        <v>43844.78612268518</v>
      </c>
      <c r="B1781" s="12" t="str">
        <f>HYPERLINK("https://twitter.com/CbdColors","@CbdColors")</f>
        <v>@CbdColors</v>
      </c>
      <c r="C1781" s="1" t="s">
        <v>8290</v>
      </c>
      <c r="D1781" s="1" t="s">
        <v>8291</v>
      </c>
      <c r="E1781" s="12" t="str">
        <f>HYPERLINK("https://twitter.com/CbdColors/status/1217232934870056961","1217232934870056961")</f>
        <v>1217232934870056961</v>
      </c>
      <c r="F1781" s="13" t="s">
        <v>8292</v>
      </c>
      <c r="G1781" s="13" t="s">
        <v>8293</v>
      </c>
      <c r="H1781" s="14"/>
      <c r="I1781" s="15">
        <v>1.0</v>
      </c>
      <c r="J1781" s="15">
        <v>0.0</v>
      </c>
      <c r="K1781" s="12" t="str">
        <f>HYPERLINK("http://twitter.com/download/iphone","Twitter for iPhone")</f>
        <v>Twitter for iPhone</v>
      </c>
      <c r="L1781" s="16">
        <v>5.0</v>
      </c>
      <c r="M1781" s="16">
        <v>16.0</v>
      </c>
      <c r="N1781" s="16">
        <v>0.0</v>
      </c>
      <c r="O1781" s="17"/>
      <c r="P1781" s="18">
        <v>43619.1965625</v>
      </c>
      <c r="Q1781" s="1" t="s">
        <v>8294</v>
      </c>
      <c r="R1781" s="1" t="s">
        <v>8295</v>
      </c>
      <c r="S1781" s="14"/>
      <c r="T1781" s="14"/>
      <c r="U1781" s="19" t="str">
        <f>HYPERLINK("https://pbs.twimg.com/profile_images/1135467025269239808/wpFtShuc.png","View")</f>
        <v>View</v>
      </c>
      <c r="V1781" s="14"/>
      <c r="W1781" s="14"/>
      <c r="X1781" s="14"/>
      <c r="Y1781" s="14"/>
      <c r="Z1781" s="14"/>
    </row>
    <row r="1782">
      <c r="A1782" s="11">
        <v>43844.78475694444</v>
      </c>
      <c r="B1782" s="12" t="str">
        <f>HYPERLINK("https://twitter.com/happyhandstoys","@happyhandstoys")</f>
        <v>@happyhandstoys</v>
      </c>
      <c r="C1782" s="1" t="s">
        <v>1795</v>
      </c>
      <c r="D1782" s="1" t="s">
        <v>8296</v>
      </c>
      <c r="E1782" s="12" t="str">
        <f>HYPERLINK("https://twitter.com/happyhandstoys/status/1217232439216627713","1217232439216627713")</f>
        <v>1217232439216627713</v>
      </c>
      <c r="F1782" s="13" t="s">
        <v>8297</v>
      </c>
      <c r="G1782" s="14"/>
      <c r="H1782" s="14"/>
      <c r="I1782" s="15">
        <v>1.0</v>
      </c>
      <c r="J1782" s="15">
        <v>0.0</v>
      </c>
      <c r="K1782" s="12" t="str">
        <f>HYPERLINK("https://www.hootsuite.com","Hootsuite Inc.")</f>
        <v>Hootsuite Inc.</v>
      </c>
      <c r="L1782" s="16">
        <v>2541.0</v>
      </c>
      <c r="M1782" s="16">
        <v>4752.0</v>
      </c>
      <c r="N1782" s="16">
        <v>34.0</v>
      </c>
      <c r="O1782" s="17"/>
      <c r="P1782" s="18">
        <v>42817.57172453703</v>
      </c>
      <c r="Q1782" s="1" t="s">
        <v>1798</v>
      </c>
      <c r="R1782" s="1" t="s">
        <v>1799</v>
      </c>
      <c r="S1782" s="13" t="s">
        <v>1800</v>
      </c>
      <c r="T1782" s="14"/>
      <c r="U1782" s="19" t="str">
        <f>HYPERLINK("https://pbs.twimg.com/profile_images/845839282770100224/2YEak1EB.jpg","View")</f>
        <v>View</v>
      </c>
      <c r="V1782" s="14"/>
      <c r="W1782" s="14"/>
      <c r="X1782" s="14"/>
      <c r="Y1782" s="14"/>
      <c r="Z1782" s="14"/>
    </row>
    <row r="1783">
      <c r="A1783" s="11">
        <v>43844.78261574074</v>
      </c>
      <c r="B1783" s="12" t="str">
        <f>HYPERLINK("https://twitter.com/settitoff","@settitoff")</f>
        <v>@settitoff</v>
      </c>
      <c r="C1783" s="1" t="s">
        <v>8298</v>
      </c>
      <c r="D1783" s="1" t="s">
        <v>8299</v>
      </c>
      <c r="E1783" s="12" t="str">
        <f>HYPERLINK("https://twitter.com/settitoff/status/1217231662481842176","1217231662481842176")</f>
        <v>1217231662481842176</v>
      </c>
      <c r="F1783" s="14"/>
      <c r="G1783" s="14"/>
      <c r="H1783" s="14"/>
      <c r="I1783" s="15">
        <v>0.0</v>
      </c>
      <c r="J1783" s="15">
        <v>0.0</v>
      </c>
      <c r="K1783" s="12" t="str">
        <f>HYPERLINK("http://twitter.com/download/iphone","Twitter for iPhone")</f>
        <v>Twitter for iPhone</v>
      </c>
      <c r="L1783" s="16">
        <v>234.0</v>
      </c>
      <c r="M1783" s="16">
        <v>645.0</v>
      </c>
      <c r="N1783" s="16">
        <v>44.0</v>
      </c>
      <c r="O1783" s="17"/>
      <c r="P1783" s="18">
        <v>39963.388449074075</v>
      </c>
      <c r="Q1783" s="1" t="s">
        <v>8300</v>
      </c>
      <c r="R1783" s="1" t="s">
        <v>8301</v>
      </c>
      <c r="S1783" s="14"/>
      <c r="T1783" s="14"/>
      <c r="U1783" s="19" t="str">
        <f>HYPERLINK("https://pbs.twimg.com/profile_images/1186334017131614209/4-5CHpCO.jpg","View")</f>
        <v>View</v>
      </c>
      <c r="V1783" s="14"/>
      <c r="W1783" s="14"/>
      <c r="X1783" s="14"/>
      <c r="Y1783" s="14"/>
      <c r="Z1783" s="14"/>
    </row>
    <row r="1784">
      <c r="A1784" s="11">
        <v>43844.78134259259</v>
      </c>
      <c r="B1784" s="12" t="str">
        <f>HYPERLINK("https://twitter.com/FullestJiyo","@FullestJiyo")</f>
        <v>@FullestJiyo</v>
      </c>
      <c r="C1784" s="1" t="s">
        <v>8302</v>
      </c>
      <c r="D1784" s="1" t="s">
        <v>8303</v>
      </c>
      <c r="E1784" s="12" t="str">
        <f>HYPERLINK("https://twitter.com/FullestJiyo/status/1217231201590792197","1217231201590792197")</f>
        <v>1217231201590792197</v>
      </c>
      <c r="F1784" s="14"/>
      <c r="G1784" s="13" t="s">
        <v>8304</v>
      </c>
      <c r="H1784" s="14"/>
      <c r="I1784" s="15">
        <v>0.0</v>
      </c>
      <c r="J1784" s="15">
        <v>1.0</v>
      </c>
      <c r="K1784" s="12" t="str">
        <f>HYPERLINK("https://www.hootsuite.com","Hootsuite Inc.")</f>
        <v>Hootsuite Inc.</v>
      </c>
      <c r="L1784" s="16">
        <v>59.0</v>
      </c>
      <c r="M1784" s="16">
        <v>140.0</v>
      </c>
      <c r="N1784" s="16">
        <v>1.0</v>
      </c>
      <c r="O1784" s="17"/>
      <c r="P1784" s="18">
        <v>42891.449317129634</v>
      </c>
      <c r="Q1784" s="1" t="s">
        <v>8305</v>
      </c>
      <c r="R1784" s="1" t="s">
        <v>8306</v>
      </c>
      <c r="S1784" s="13" t="s">
        <v>8307</v>
      </c>
      <c r="T1784" s="14"/>
      <c r="U1784" s="19" t="str">
        <f>HYPERLINK("https://pbs.twimg.com/profile_images/873484164762222593/fwx5UYEB.jpg","View")</f>
        <v>View</v>
      </c>
      <c r="V1784" s="14"/>
      <c r="W1784" s="14"/>
      <c r="X1784" s="14"/>
      <c r="Y1784" s="14"/>
      <c r="Z1784" s="14"/>
    </row>
    <row r="1785">
      <c r="A1785" s="11">
        <v>43844.774629629625</v>
      </c>
      <c r="B1785" s="12" t="str">
        <f>HYPERLINK("https://twitter.com/NewsMedical","@NewsMedical")</f>
        <v>@NewsMedical</v>
      </c>
      <c r="C1785" s="1" t="s">
        <v>8308</v>
      </c>
      <c r="D1785" s="1" t="s">
        <v>8309</v>
      </c>
      <c r="E1785" s="12" t="str">
        <f>HYPERLINK("https://twitter.com/NewsMedical/status/1217228770538610689","1217228770538610689")</f>
        <v>1217228770538610689</v>
      </c>
      <c r="F1785" s="13" t="s">
        <v>8310</v>
      </c>
      <c r="G1785" s="13" t="s">
        <v>8311</v>
      </c>
      <c r="H1785" s="14"/>
      <c r="I1785" s="15">
        <v>1.0</v>
      </c>
      <c r="J1785" s="15">
        <v>2.0</v>
      </c>
      <c r="K1785" s="12" t="str">
        <f>HYPERLINK("http://www.news-medical.net/","News Medical")</f>
        <v>News Medical</v>
      </c>
      <c r="L1785" s="16">
        <v>12839.0</v>
      </c>
      <c r="M1785" s="16">
        <v>3376.0</v>
      </c>
      <c r="N1785" s="16">
        <v>453.0</v>
      </c>
      <c r="O1785" s="17"/>
      <c r="P1785" s="18">
        <v>39944.142488425925</v>
      </c>
      <c r="Q1785" s="14"/>
      <c r="R1785" s="1" t="s">
        <v>8312</v>
      </c>
      <c r="S1785" s="13" t="s">
        <v>8313</v>
      </c>
      <c r="T1785" s="14"/>
      <c r="U1785" s="19" t="str">
        <f>HYPERLINK("https://pbs.twimg.com/profile_images/780395551565058048/104TSnWw.jpg","View")</f>
        <v>View</v>
      </c>
      <c r="V1785" s="14"/>
      <c r="W1785" s="14"/>
      <c r="X1785" s="14"/>
      <c r="Y1785" s="14"/>
      <c r="Z1785" s="14"/>
    </row>
    <row r="1786">
      <c r="A1786" s="11">
        <v>43844.77303240741</v>
      </c>
      <c r="B1786" s="12" t="str">
        <f>HYPERLINK("https://twitter.com/2krazyketos","@2krazyketos")</f>
        <v>@2krazyketos</v>
      </c>
      <c r="C1786" s="1" t="s">
        <v>8314</v>
      </c>
      <c r="D1786" s="1" t="s">
        <v>8315</v>
      </c>
      <c r="E1786" s="12" t="str">
        <f>HYPERLINK("https://twitter.com/2krazyketos/status/1217228191007494146","1217228191007494146")</f>
        <v>1217228191007494146</v>
      </c>
      <c r="F1786" s="13" t="s">
        <v>8316</v>
      </c>
      <c r="G1786" s="14"/>
      <c r="H1786" s="14"/>
      <c r="I1786" s="15">
        <v>0.0</v>
      </c>
      <c r="J1786" s="15">
        <v>1.0</v>
      </c>
      <c r="K1786" s="12" t="str">
        <f>HYPERLINK("http://instagram.com","Instagram")</f>
        <v>Instagram</v>
      </c>
      <c r="L1786" s="16">
        <v>2797.0</v>
      </c>
      <c r="M1786" s="16">
        <v>2616.0</v>
      </c>
      <c r="N1786" s="16">
        <v>20.0</v>
      </c>
      <c r="O1786" s="17"/>
      <c r="P1786" s="18">
        <v>41838.81543981482</v>
      </c>
      <c r="Q1786" s="14"/>
      <c r="R1786" s="14"/>
      <c r="S1786" s="14"/>
      <c r="T1786" s="14"/>
      <c r="U1786" s="19" t="str">
        <f>HYPERLINK("https://pbs.twimg.com/profile_images/1024085256704548864/O_7Eq0LN.jpg","View")</f>
        <v>View</v>
      </c>
      <c r="V1786" s="14"/>
      <c r="W1786" s="14"/>
      <c r="X1786" s="14"/>
      <c r="Y1786" s="14"/>
      <c r="Z1786" s="14"/>
    </row>
    <row r="1787">
      <c r="A1787" s="11">
        <v>43844.77145833333</v>
      </c>
      <c r="B1787" s="12" t="str">
        <f>HYPERLINK("https://twitter.com/SocialWorkGeek2","@SocialWorkGeek2")</f>
        <v>@SocialWorkGeek2</v>
      </c>
      <c r="C1787" s="1" t="s">
        <v>8317</v>
      </c>
      <c r="D1787" s="1" t="s">
        <v>8318</v>
      </c>
      <c r="E1787" s="12" t="str">
        <f>HYPERLINK("https://twitter.com/SocialWorkGeek2/status/1217227621857157120","1217227621857157120")</f>
        <v>1217227621857157120</v>
      </c>
      <c r="F1787" s="13" t="s">
        <v>8319</v>
      </c>
      <c r="G1787" s="14"/>
      <c r="H1787" s="14"/>
      <c r="I1787" s="15">
        <v>1.0</v>
      </c>
      <c r="J1787" s="15">
        <v>1.0</v>
      </c>
      <c r="K1787" s="12" t="str">
        <f>HYPERLINK("http://twitter.com/download/android","Twitter for Android")</f>
        <v>Twitter for Android</v>
      </c>
      <c r="L1787" s="16">
        <v>150.0</v>
      </c>
      <c r="M1787" s="16">
        <v>450.0</v>
      </c>
      <c r="N1787" s="16">
        <v>0.0</v>
      </c>
      <c r="O1787" s="17"/>
      <c r="P1787" s="18">
        <v>43839.34322916667</v>
      </c>
      <c r="Q1787" s="1" t="s">
        <v>1194</v>
      </c>
      <c r="R1787" s="1" t="s">
        <v>8320</v>
      </c>
      <c r="S1787" s="13" t="s">
        <v>8321</v>
      </c>
      <c r="T1787" s="14"/>
      <c r="U1787" s="19" t="str">
        <f>HYPERLINK("https://pbs.twimg.com/profile_images/1218117646778085377/DKYNY5VG.jpg","View")</f>
        <v>View</v>
      </c>
      <c r="V1787" s="14"/>
      <c r="W1787" s="14"/>
      <c r="X1787" s="14"/>
      <c r="Y1787" s="14"/>
      <c r="Z1787" s="14"/>
    </row>
    <row r="1788">
      <c r="A1788" s="11">
        <v>43844.770949074074</v>
      </c>
      <c r="B1788" s="12" t="str">
        <f>HYPERLINK("https://twitter.com/ebrjobs","@ebrjobs")</f>
        <v>@ebrjobs</v>
      </c>
      <c r="C1788" s="1" t="s">
        <v>8322</v>
      </c>
      <c r="D1788" s="1" t="s">
        <v>8323</v>
      </c>
      <c r="E1788" s="12" t="str">
        <f>HYPERLINK("https://twitter.com/ebrjobs/status/1217227435646881792","1217227435646881792")</f>
        <v>1217227435646881792</v>
      </c>
      <c r="F1788" s="13" t="s">
        <v>8324</v>
      </c>
      <c r="G1788" s="13" t="s">
        <v>8325</v>
      </c>
      <c r="H1788" s="14"/>
      <c r="I1788" s="15">
        <v>1.0</v>
      </c>
      <c r="J1788" s="15">
        <v>2.0</v>
      </c>
      <c r="K1788" s="12" t="str">
        <f>HYPERLINK("https://www.hootsuite.com","Hootsuite Inc.")</f>
        <v>Hootsuite Inc.</v>
      </c>
      <c r="L1788" s="16">
        <v>184.0</v>
      </c>
      <c r="M1788" s="16">
        <v>499.0</v>
      </c>
      <c r="N1788" s="16">
        <v>0.0</v>
      </c>
      <c r="O1788" s="17"/>
      <c r="P1788" s="18">
        <v>39920.12039351852</v>
      </c>
      <c r="Q1788" s="1" t="s">
        <v>8326</v>
      </c>
      <c r="R1788" s="1" t="s">
        <v>8327</v>
      </c>
      <c r="S1788" s="13" t="s">
        <v>8328</v>
      </c>
      <c r="T1788" s="14"/>
      <c r="U1788" s="19" t="str">
        <f>HYPERLINK("https://pbs.twimg.com/profile_images/2684536404/eb3070bc848ff484a4e089c1ffe5577b.jpeg","View")</f>
        <v>View</v>
      </c>
      <c r="V1788" s="14"/>
      <c r="W1788" s="14"/>
      <c r="X1788" s="14"/>
      <c r="Y1788" s="14"/>
      <c r="Z1788" s="14"/>
    </row>
    <row r="1789">
      <c r="A1789" s="11">
        <v>43844.77092592593</v>
      </c>
      <c r="B1789" s="12" t="str">
        <f>HYPERLINK("https://twitter.com/HerbalGardenFL","@HerbalGardenFL")</f>
        <v>@HerbalGardenFL</v>
      </c>
      <c r="C1789" s="1" t="s">
        <v>1803</v>
      </c>
      <c r="D1789" s="1" t="s">
        <v>8329</v>
      </c>
      <c r="E1789" s="12" t="str">
        <f>HYPERLINK("https://twitter.com/HerbalGardenFL/status/1217227429418360832","1217227429418360832")</f>
        <v>1217227429418360832</v>
      </c>
      <c r="F1789" s="1" t="s">
        <v>8330</v>
      </c>
      <c r="G1789" s="14"/>
      <c r="H1789" s="14"/>
      <c r="I1789" s="15">
        <v>0.0</v>
      </c>
      <c r="J1789" s="15">
        <v>1.0</v>
      </c>
      <c r="K1789" s="12" t="str">
        <f>HYPERLINK("https://kuku.io","Link account with KUKU.io")</f>
        <v>Link account with KUKU.io</v>
      </c>
      <c r="L1789" s="16">
        <v>129.0</v>
      </c>
      <c r="M1789" s="16">
        <v>90.0</v>
      </c>
      <c r="N1789" s="16">
        <v>3.0</v>
      </c>
      <c r="O1789" s="17"/>
      <c r="P1789" s="18">
        <v>41130.93263888889</v>
      </c>
      <c r="Q1789" s="1" t="s">
        <v>1806</v>
      </c>
      <c r="R1789" s="1" t="s">
        <v>1807</v>
      </c>
      <c r="S1789" s="13" t="s">
        <v>1808</v>
      </c>
      <c r="T1789" s="14"/>
      <c r="U1789" s="19" t="str">
        <f>HYPERLINK("https://pbs.twimg.com/profile_images/713345260160679936/WZnIHWw4.jpg","View")</f>
        <v>View</v>
      </c>
      <c r="V1789" s="14"/>
      <c r="W1789" s="14"/>
      <c r="X1789" s="14"/>
      <c r="Y1789" s="14"/>
      <c r="Z1789" s="14"/>
    </row>
    <row r="1790">
      <c r="A1790" s="11">
        <v>43844.769907407404</v>
      </c>
      <c r="B1790" s="12" t="str">
        <f>HYPERLINK("https://twitter.com/docweighsin","@docweighsin")</f>
        <v>@docweighsin</v>
      </c>
      <c r="C1790" s="1" t="s">
        <v>4941</v>
      </c>
      <c r="D1790" s="1" t="s">
        <v>6118</v>
      </c>
      <c r="E1790" s="12" t="str">
        <f>HYPERLINK("https://twitter.com/docweighsin/status/1217227060566986752","1217227060566986752")</f>
        <v>1217227060566986752</v>
      </c>
      <c r="F1790" s="13" t="s">
        <v>6119</v>
      </c>
      <c r="G1790" s="13" t="s">
        <v>8331</v>
      </c>
      <c r="H1790" s="14"/>
      <c r="I1790" s="15">
        <v>0.0</v>
      </c>
      <c r="J1790" s="15">
        <v>0.0</v>
      </c>
      <c r="K1790" s="12" t="str">
        <f>HYPERLINK("https://www.hootsuite.com","Hootsuite Inc.")</f>
        <v>Hootsuite Inc.</v>
      </c>
      <c r="L1790" s="16">
        <v>29339.0</v>
      </c>
      <c r="M1790" s="16">
        <v>12043.0</v>
      </c>
      <c r="N1790" s="16">
        <v>1154.0</v>
      </c>
      <c r="O1790" s="17"/>
      <c r="P1790" s="18">
        <v>40370.9605787037</v>
      </c>
      <c r="Q1790" s="1" t="s">
        <v>1782</v>
      </c>
      <c r="R1790" s="1" t="s">
        <v>4945</v>
      </c>
      <c r="S1790" s="13" t="s">
        <v>4946</v>
      </c>
      <c r="T1790" s="14"/>
      <c r="U1790" s="19" t="str">
        <f>HYPERLINK("https://pbs.twimg.com/profile_images/738469375083053056/OpR72fYy.jpg","View")</f>
        <v>View</v>
      </c>
      <c r="V1790" s="14"/>
      <c r="W1790" s="14"/>
      <c r="X1790" s="14"/>
      <c r="Y1790" s="14"/>
      <c r="Z1790" s="14"/>
    </row>
    <row r="1791">
      <c r="A1791" s="11">
        <v>43844.76810185185</v>
      </c>
      <c r="B1791" s="12" t="str">
        <f>HYPERLINK("https://twitter.com/KRtherapies","@KRtherapies")</f>
        <v>@KRtherapies</v>
      </c>
      <c r="C1791" s="1" t="s">
        <v>8332</v>
      </c>
      <c r="D1791" s="1" t="s">
        <v>8333</v>
      </c>
      <c r="E1791" s="12" t="str">
        <f>HYPERLINK("https://twitter.com/KRtherapies/status/1217226406255628293","1217226406255628293")</f>
        <v>1217226406255628293</v>
      </c>
      <c r="F1791" s="14"/>
      <c r="G1791" s="13" t="s">
        <v>8334</v>
      </c>
      <c r="H1791" s="14"/>
      <c r="I1791" s="15">
        <v>0.0</v>
      </c>
      <c r="J1791" s="15">
        <v>3.0</v>
      </c>
      <c r="K1791" s="12" t="str">
        <f>HYPERLINK("http://twitter.com/download/iphone","Twitter for iPhone")</f>
        <v>Twitter for iPhone</v>
      </c>
      <c r="L1791" s="16">
        <v>605.0</v>
      </c>
      <c r="M1791" s="16">
        <v>708.0</v>
      </c>
      <c r="N1791" s="16">
        <v>10.0</v>
      </c>
      <c r="O1791" s="17"/>
      <c r="P1791" s="18">
        <v>42059.75542824074</v>
      </c>
      <c r="Q1791" s="1" t="s">
        <v>8335</v>
      </c>
      <c r="R1791" s="1" t="s">
        <v>8336</v>
      </c>
      <c r="S1791" s="13" t="s">
        <v>8337</v>
      </c>
      <c r="T1791" s="14"/>
      <c r="U1791" s="19" t="str">
        <f>HYPERLINK("https://pbs.twimg.com/profile_images/877425126370938880/2GB2HGrt.jpg","View")</f>
        <v>View</v>
      </c>
      <c r="V1791" s="14"/>
      <c r="W1791" s="14"/>
      <c r="X1791" s="14"/>
      <c r="Y1791" s="14"/>
      <c r="Z1791" s="14"/>
    </row>
    <row r="1792">
      <c r="A1792" s="11">
        <v>43844.76604166666</v>
      </c>
      <c r="B1792" s="12" t="str">
        <f>HYPERLINK("https://twitter.com/renascencemusic","@renascencemusic")</f>
        <v>@renascencemusic</v>
      </c>
      <c r="C1792" s="1" t="s">
        <v>247</v>
      </c>
      <c r="D1792" s="1" t="s">
        <v>248</v>
      </c>
      <c r="E1792" s="12" t="str">
        <f>HYPERLINK("https://twitter.com/renascencemusic/status/1217225658721603584","1217225658721603584")</f>
        <v>1217225658721603584</v>
      </c>
      <c r="F1792" s="13" t="s">
        <v>249</v>
      </c>
      <c r="G1792" s="13" t="s">
        <v>8338</v>
      </c>
      <c r="H1792" s="14"/>
      <c r="I1792" s="15">
        <v>0.0</v>
      </c>
      <c r="J1792" s="15">
        <v>0.0</v>
      </c>
      <c r="K1792" s="12" t="str">
        <f>HYPERLINK("https://www.socialoomph.com","SocialOomph")</f>
        <v>SocialOomph</v>
      </c>
      <c r="L1792" s="16">
        <v>13031.0</v>
      </c>
      <c r="M1792" s="16">
        <v>11650.0</v>
      </c>
      <c r="N1792" s="16">
        <v>219.0</v>
      </c>
      <c r="O1792" s="17"/>
      <c r="P1792" s="18">
        <v>42470.67052083333</v>
      </c>
      <c r="Q1792" s="1" t="s">
        <v>251</v>
      </c>
      <c r="R1792" s="1" t="s">
        <v>252</v>
      </c>
      <c r="S1792" s="13" t="s">
        <v>253</v>
      </c>
      <c r="T1792" s="14"/>
      <c r="U1792" s="19" t="str">
        <f>HYPERLINK("https://pbs.twimg.com/profile_images/1123407512743612416/g721ra2J.png","View")</f>
        <v>View</v>
      </c>
      <c r="V1792" s="14"/>
      <c r="W1792" s="14"/>
      <c r="X1792" s="14"/>
      <c r="Y1792" s="14"/>
      <c r="Z1792" s="14"/>
    </row>
    <row r="1793">
      <c r="A1793" s="11">
        <v>43844.765069444446</v>
      </c>
      <c r="B1793" s="12" t="str">
        <f>HYPERLINK("https://twitter.com/StepUp4Vitiligo","@StepUp4Vitiligo")</f>
        <v>@StepUp4Vitiligo</v>
      </c>
      <c r="C1793" s="1" t="s">
        <v>8339</v>
      </c>
      <c r="D1793" s="1" t="s">
        <v>8340</v>
      </c>
      <c r="E1793" s="12" t="str">
        <f>HYPERLINK("https://twitter.com/StepUp4Vitiligo/status/1217225304009330691","1217225304009330691")</f>
        <v>1217225304009330691</v>
      </c>
      <c r="F1793" s="14"/>
      <c r="G1793" s="13" t="s">
        <v>8341</v>
      </c>
      <c r="H1793" s="14"/>
      <c r="I1793" s="15">
        <v>2.0</v>
      </c>
      <c r="J1793" s="15">
        <v>3.0</v>
      </c>
      <c r="K1793" s="12" t="str">
        <f>HYPERLINK("https://mobile.twitter.com","Twitter Web App")</f>
        <v>Twitter Web App</v>
      </c>
      <c r="L1793" s="16">
        <v>833.0</v>
      </c>
      <c r="M1793" s="16">
        <v>256.0</v>
      </c>
      <c r="N1793" s="16">
        <v>8.0</v>
      </c>
      <c r="O1793" s="17"/>
      <c r="P1793" s="18">
        <v>42425.77171296296</v>
      </c>
      <c r="Q1793" s="14"/>
      <c r="R1793" s="1" t="s">
        <v>8342</v>
      </c>
      <c r="S1793" s="13" t="s">
        <v>8343</v>
      </c>
      <c r="T1793" s="14"/>
      <c r="U1793" s="19" t="str">
        <f>HYPERLINK("https://pbs.twimg.com/profile_images/981269097433399297/LdamMlyl.jpg","View")</f>
        <v>View</v>
      </c>
      <c r="V1793" s="14"/>
      <c r="W1793" s="14"/>
      <c r="X1793" s="14"/>
      <c r="Y1793" s="14"/>
      <c r="Z1793" s="14"/>
    </row>
    <row r="1794">
      <c r="A1794" s="11">
        <v>43844.76391203704</v>
      </c>
      <c r="B1794" s="12" t="str">
        <f>HYPERLINK("https://twitter.com/AjHenreid","@AjHenreid")</f>
        <v>@AjHenreid</v>
      </c>
      <c r="C1794" s="1" t="s">
        <v>8344</v>
      </c>
      <c r="D1794" s="1" t="s">
        <v>8345</v>
      </c>
      <c r="E1794" s="12" t="str">
        <f>HYPERLINK("https://twitter.com/AjHenreid/status/1217224887305146368","1217224887305146368")</f>
        <v>1217224887305146368</v>
      </c>
      <c r="F1794" s="13" t="s">
        <v>8346</v>
      </c>
      <c r="G1794" s="14"/>
      <c r="H1794" s="14"/>
      <c r="I1794" s="15">
        <v>0.0</v>
      </c>
      <c r="J1794" s="15">
        <v>0.0</v>
      </c>
      <c r="K1794" s="12" t="str">
        <f>HYPERLINK("https://crowdfireapp.com","Crowdfire App")</f>
        <v>Crowdfire App</v>
      </c>
      <c r="L1794" s="16">
        <v>55.0</v>
      </c>
      <c r="M1794" s="16">
        <v>263.0</v>
      </c>
      <c r="N1794" s="16">
        <v>1.0</v>
      </c>
      <c r="O1794" s="17"/>
      <c r="P1794" s="18">
        <v>43682.633726851855</v>
      </c>
      <c r="Q1794" s="1" t="s">
        <v>1493</v>
      </c>
      <c r="R1794" s="1" t="s">
        <v>8347</v>
      </c>
      <c r="S1794" s="13" t="s">
        <v>8348</v>
      </c>
      <c r="T1794" s="14"/>
      <c r="U1794" s="19" t="str">
        <f>HYPERLINK("https://pbs.twimg.com/profile_images/1158457277243723776/up44Hn3G.jpg","View")</f>
        <v>View</v>
      </c>
      <c r="V1794" s="14"/>
      <c r="W1794" s="14"/>
      <c r="X1794" s="14"/>
      <c r="Y1794" s="14"/>
      <c r="Z1794" s="14"/>
    </row>
    <row r="1795">
      <c r="A1795" s="11">
        <v>43844.75020833334</v>
      </c>
      <c r="B1795" s="12" t="str">
        <f>HYPERLINK("https://twitter.com/uncrushed_org","@uncrushed_org")</f>
        <v>@uncrushed_org</v>
      </c>
      <c r="C1795" s="1" t="s">
        <v>8349</v>
      </c>
      <c r="D1795" s="1" t="s">
        <v>8350</v>
      </c>
      <c r="E1795" s="12" t="str">
        <f>HYPERLINK("https://twitter.com/uncrushed_org/status/1217219922012573698","1217219922012573698")</f>
        <v>1217219922012573698</v>
      </c>
      <c r="F1795" s="13" t="s">
        <v>8351</v>
      </c>
      <c r="G1795" s="13" t="s">
        <v>8352</v>
      </c>
      <c r="H1795" s="14"/>
      <c r="I1795" s="15">
        <v>1.0</v>
      </c>
      <c r="J1795" s="15">
        <v>0.0</v>
      </c>
      <c r="K1795" s="12" t="str">
        <f>HYPERLINK("https://buffer.com","Buffer")</f>
        <v>Buffer</v>
      </c>
      <c r="L1795" s="16">
        <v>231.0</v>
      </c>
      <c r="M1795" s="16">
        <v>386.0</v>
      </c>
      <c r="N1795" s="16">
        <v>1.0</v>
      </c>
      <c r="O1795" s="17"/>
      <c r="P1795" s="18">
        <v>43441.87721064815</v>
      </c>
      <c r="Q1795" s="1" t="s">
        <v>115</v>
      </c>
      <c r="R1795" s="1" t="s">
        <v>8353</v>
      </c>
      <c r="S1795" s="13" t="s">
        <v>8354</v>
      </c>
      <c r="T1795" s="14"/>
      <c r="U1795" s="19" t="str">
        <f>HYPERLINK("https://pbs.twimg.com/profile_images/1071223744763518977/tPy9bbSB.jpg","View")</f>
        <v>View</v>
      </c>
      <c r="V1795" s="14"/>
      <c r="W1795" s="14"/>
      <c r="X1795" s="14"/>
      <c r="Y1795" s="14"/>
      <c r="Z1795" s="14"/>
    </row>
    <row r="1796">
      <c r="A1796" s="11">
        <v>43844.74899305556</v>
      </c>
      <c r="B1796" s="12" t="str">
        <f>HYPERLINK("https://twitter.com/KF3Edits","@KF3Edits")</f>
        <v>@KF3Edits</v>
      </c>
      <c r="C1796" s="1" t="s">
        <v>8355</v>
      </c>
      <c r="D1796" s="1" t="s">
        <v>8356</v>
      </c>
      <c r="E1796" s="12" t="str">
        <f>HYPERLINK("https://twitter.com/KF3Edits/status/1217219481874788352","1217219481874788352")</f>
        <v>1217219481874788352</v>
      </c>
      <c r="F1796" s="14"/>
      <c r="G1796" s="13" t="s">
        <v>8357</v>
      </c>
      <c r="H1796" s="14"/>
      <c r="I1796" s="15">
        <v>0.0</v>
      </c>
      <c r="J1796" s="15">
        <v>1.0</v>
      </c>
      <c r="K1796" s="12" t="str">
        <f>HYPERLINK("http://twitter.com/download/iphone","Twitter for iPhone")</f>
        <v>Twitter for iPhone</v>
      </c>
      <c r="L1796" s="16">
        <v>1.0</v>
      </c>
      <c r="M1796" s="16">
        <v>4.0</v>
      </c>
      <c r="N1796" s="16">
        <v>0.0</v>
      </c>
      <c r="O1796" s="17"/>
      <c r="P1796" s="18">
        <v>43839.91878472222</v>
      </c>
      <c r="Q1796" s="14"/>
      <c r="R1796" s="1" t="s">
        <v>8358</v>
      </c>
      <c r="S1796" s="14"/>
      <c r="T1796" s="14"/>
      <c r="U1796" s="19" t="str">
        <f>HYPERLINK("https://pbs.twimg.com/profile_images/1215469172466995200/saXdDY5a.jpg","View")</f>
        <v>View</v>
      </c>
      <c r="V1796" s="14"/>
      <c r="W1796" s="14"/>
      <c r="X1796" s="14"/>
      <c r="Y1796" s="14"/>
      <c r="Z1796" s="14"/>
    </row>
    <row r="1797">
      <c r="A1797" s="11">
        <v>43844.7466087963</v>
      </c>
      <c r="B1797" s="12" t="str">
        <f>HYPERLINK("https://twitter.com/michaeltmcgowan","@michaeltmcgowan")</f>
        <v>@michaeltmcgowan</v>
      </c>
      <c r="C1797" s="1" t="s">
        <v>8359</v>
      </c>
      <c r="D1797" s="1" t="s">
        <v>8360</v>
      </c>
      <c r="E1797" s="12" t="str">
        <f>HYPERLINK("https://twitter.com/michaeltmcgowan/status/1217218617495998464","1217218617495998464")</f>
        <v>1217218617495998464</v>
      </c>
      <c r="F1797" s="13" t="s">
        <v>8361</v>
      </c>
      <c r="G1797" s="14"/>
      <c r="H1797" s="14"/>
      <c r="I1797" s="15">
        <v>0.0</v>
      </c>
      <c r="J1797" s="15">
        <v>0.0</v>
      </c>
      <c r="K1797" s="12" t="str">
        <f>HYPERLINK("https://app.sociabble.com","SociabbleApp")</f>
        <v>SociabbleApp</v>
      </c>
      <c r="L1797" s="16">
        <v>274.0</v>
      </c>
      <c r="M1797" s="16">
        <v>555.0</v>
      </c>
      <c r="N1797" s="16">
        <v>7.0</v>
      </c>
      <c r="O1797" s="17"/>
      <c r="P1797" s="18">
        <v>39936.94479166667</v>
      </c>
      <c r="Q1797" s="1" t="s">
        <v>8362</v>
      </c>
      <c r="R1797" s="1" t="s">
        <v>8363</v>
      </c>
      <c r="S1797" s="13" t="s">
        <v>8364</v>
      </c>
      <c r="T1797" s="14"/>
      <c r="U1797" s="19" t="str">
        <f>HYPERLINK("https://pbs.twimg.com/profile_images/491961070072786946/PaAPN8YQ.jpeg","View")</f>
        <v>View</v>
      </c>
      <c r="V1797" s="14"/>
      <c r="W1797" s="14"/>
      <c r="X1797" s="14"/>
      <c r="Y1797" s="14"/>
      <c r="Z1797" s="14"/>
    </row>
    <row r="1798">
      <c r="A1798" s="11">
        <v>43844.743634259255</v>
      </c>
      <c r="B1798" s="12" t="str">
        <f>HYPERLINK("https://twitter.com/StressTherapy","@StressTherapy")</f>
        <v>@StressTherapy</v>
      </c>
      <c r="C1798" s="1" t="s">
        <v>8365</v>
      </c>
      <c r="D1798" s="1" t="s">
        <v>8366</v>
      </c>
      <c r="E1798" s="12" t="str">
        <f>HYPERLINK("https://twitter.com/StressTherapy/status/1217217539803054086","1217217539803054086")</f>
        <v>1217217539803054086</v>
      </c>
      <c r="F1798" s="13" t="s">
        <v>8367</v>
      </c>
      <c r="G1798" s="14"/>
      <c r="H1798" s="14"/>
      <c r="I1798" s="15">
        <v>0.0</v>
      </c>
      <c r="J1798" s="15">
        <v>0.0</v>
      </c>
      <c r="K1798" s="12" t="str">
        <f>HYPERLINK("http://instagram.com","Instagram")</f>
        <v>Instagram</v>
      </c>
      <c r="L1798" s="16">
        <v>713.0</v>
      </c>
      <c r="M1798" s="16">
        <v>811.0</v>
      </c>
      <c r="N1798" s="16">
        <v>27.0</v>
      </c>
      <c r="O1798" s="17"/>
      <c r="P1798" s="18">
        <v>40065.919583333336</v>
      </c>
      <c r="Q1798" s="1" t="s">
        <v>550</v>
      </c>
      <c r="R1798" s="1" t="s">
        <v>8368</v>
      </c>
      <c r="S1798" s="13" t="s">
        <v>8369</v>
      </c>
      <c r="T1798" s="14"/>
      <c r="U1798" s="19" t="str">
        <f>HYPERLINK("https://pbs.twimg.com/profile_images/628574625706983424/Vuxkv3iN.jpg","View")</f>
        <v>View</v>
      </c>
      <c r="V1798" s="14"/>
      <c r="W1798" s="14"/>
      <c r="X1798" s="14"/>
      <c r="Y1798" s="14"/>
      <c r="Z1798" s="14"/>
    </row>
    <row r="1799">
      <c r="A1799" s="11">
        <v>43844.73840277777</v>
      </c>
      <c r="B1799" s="12" t="str">
        <f>HYPERLINK("https://twitter.com/naturalhealthbl","@naturalhealthbl")</f>
        <v>@naturalhealthbl</v>
      </c>
      <c r="C1799" s="1" t="s">
        <v>259</v>
      </c>
      <c r="D1799" s="1" t="s">
        <v>8370</v>
      </c>
      <c r="E1799" s="12" t="str">
        <f>HYPERLINK("https://twitter.com/naturalhealthbl/status/1217215643059134464","1217215643059134464")</f>
        <v>1217215643059134464</v>
      </c>
      <c r="F1799" s="13" t="s">
        <v>8371</v>
      </c>
      <c r="G1799" s="13" t="s">
        <v>8372</v>
      </c>
      <c r="H1799" s="14"/>
      <c r="I1799" s="15">
        <v>1.0</v>
      </c>
      <c r="J1799" s="15">
        <v>0.0</v>
      </c>
      <c r="K1799" s="12" t="str">
        <f>HYPERLINK("https://mobile.twitter.com","Twitter Web App")</f>
        <v>Twitter Web App</v>
      </c>
      <c r="L1799" s="16">
        <v>1793.0</v>
      </c>
      <c r="M1799" s="16">
        <v>1569.0</v>
      </c>
      <c r="N1799" s="16">
        <v>180.0</v>
      </c>
      <c r="O1799" s="17"/>
      <c r="P1799" s="18">
        <v>41475.38408564815</v>
      </c>
      <c r="Q1799" s="1" t="s">
        <v>263</v>
      </c>
      <c r="R1799" s="1" t="s">
        <v>264</v>
      </c>
      <c r="S1799" s="13" t="s">
        <v>265</v>
      </c>
      <c r="T1799" s="14"/>
      <c r="U1799" s="19" t="str">
        <f>HYPERLINK("https://pbs.twimg.com/profile_images/1217967343135023105/rnonJTby.jpg","View")</f>
        <v>View</v>
      </c>
      <c r="V1799" s="14"/>
      <c r="W1799" s="14"/>
      <c r="X1799" s="14"/>
      <c r="Y1799" s="14"/>
      <c r="Z1799" s="14"/>
    </row>
    <row r="1800">
      <c r="A1800" s="11">
        <v>43844.73710648148</v>
      </c>
      <c r="B1800" s="12" t="str">
        <f>HYPERLINK("https://twitter.com/ScentFill","@ScentFill")</f>
        <v>@ScentFill</v>
      </c>
      <c r="C1800" s="1" t="s">
        <v>960</v>
      </c>
      <c r="D1800" s="1" t="s">
        <v>8373</v>
      </c>
      <c r="E1800" s="12" t="str">
        <f>HYPERLINK("https://twitter.com/ScentFill/status/1217215171439054848","1217215171439054848")</f>
        <v>1217215171439054848</v>
      </c>
      <c r="F1800" s="13" t="s">
        <v>8374</v>
      </c>
      <c r="G1800" s="13" t="s">
        <v>8375</v>
      </c>
      <c r="H1800" s="14"/>
      <c r="I1800" s="15">
        <v>0.0</v>
      </c>
      <c r="J1800" s="15">
        <v>1.0</v>
      </c>
      <c r="K1800" s="12" t="str">
        <f>HYPERLINK("https://www.socialoomph.com","SocialOomph")</f>
        <v>SocialOomph</v>
      </c>
      <c r="L1800" s="16">
        <v>1863.0</v>
      </c>
      <c r="M1800" s="16">
        <v>2105.0</v>
      </c>
      <c r="N1800" s="16">
        <v>25.0</v>
      </c>
      <c r="O1800" s="17"/>
      <c r="P1800" s="18">
        <v>42692.65809027778</v>
      </c>
      <c r="Q1800" s="14"/>
      <c r="R1800" s="1" t="s">
        <v>964</v>
      </c>
      <c r="S1800" s="13" t="s">
        <v>965</v>
      </c>
      <c r="T1800" s="14"/>
      <c r="U1800" s="19" t="str">
        <f>HYPERLINK("https://pbs.twimg.com/profile_images/799717698556956672/mdITl9zd.jpg","View")</f>
        <v>View</v>
      </c>
      <c r="V1800" s="14"/>
      <c r="W1800" s="14"/>
      <c r="X1800" s="14"/>
      <c r="Y1800" s="14"/>
      <c r="Z1800" s="14"/>
    </row>
    <row r="1801">
      <c r="A1801" s="11">
        <v>43844.73662037037</v>
      </c>
      <c r="B1801" s="12" t="str">
        <f>HYPERLINK("https://twitter.com/leadershipcall","@leadershipcall")</f>
        <v>@leadershipcall</v>
      </c>
      <c r="C1801" s="1" t="s">
        <v>8376</v>
      </c>
      <c r="D1801" s="1" t="s">
        <v>8377</v>
      </c>
      <c r="E1801" s="12" t="str">
        <f>HYPERLINK("https://twitter.com/leadershipcall/status/1217214994087059457","1217214994087059457")</f>
        <v>1217214994087059457</v>
      </c>
      <c r="F1801" s="13" t="s">
        <v>8378</v>
      </c>
      <c r="G1801" s="14"/>
      <c r="H1801" s="14"/>
      <c r="I1801" s="15">
        <v>0.0</v>
      </c>
      <c r="J1801" s="15">
        <v>1.0</v>
      </c>
      <c r="K1801" s="12" t="str">
        <f>HYPERLINK("https://mobile.twitter.com","Twitter Web App")</f>
        <v>Twitter Web App</v>
      </c>
      <c r="L1801" s="16">
        <v>6727.0</v>
      </c>
      <c r="M1801" s="16">
        <v>6623.0</v>
      </c>
      <c r="N1801" s="16">
        <v>206.0</v>
      </c>
      <c r="O1801" s="17"/>
      <c r="P1801" s="18">
        <v>40253.657847222225</v>
      </c>
      <c r="Q1801" s="1" t="s">
        <v>8379</v>
      </c>
      <c r="R1801" s="1" t="s">
        <v>8380</v>
      </c>
      <c r="S1801" s="13" t="s">
        <v>8381</v>
      </c>
      <c r="T1801" s="14"/>
      <c r="U1801" s="19" t="str">
        <f>HYPERLINK("https://pbs.twimg.com/profile_images/1109597472706478080/g69ka3lZ.jpg","View")</f>
        <v>View</v>
      </c>
      <c r="V1801" s="14"/>
      <c r="W1801" s="14"/>
      <c r="X1801" s="14"/>
      <c r="Y1801" s="14"/>
      <c r="Z1801" s="14"/>
    </row>
    <row r="1802">
      <c r="A1802" s="11">
        <v>43844.72916666667</v>
      </c>
      <c r="B1802" s="12" t="str">
        <f>HYPERLINK("https://twitter.com/Cskoyles","@Cskoyles")</f>
        <v>@Cskoyles</v>
      </c>
      <c r="C1802" s="1" t="s">
        <v>8382</v>
      </c>
      <c r="D1802" s="1" t="s">
        <v>8383</v>
      </c>
      <c r="E1802" s="12" t="str">
        <f>HYPERLINK("https://twitter.com/Cskoyles/status/1217212294871928832","1217212294871928832")</f>
        <v>1217212294871928832</v>
      </c>
      <c r="F1802" s="13" t="s">
        <v>8384</v>
      </c>
      <c r="G1802" s="14"/>
      <c r="H1802" s="14"/>
      <c r="I1802" s="15">
        <v>0.0</v>
      </c>
      <c r="J1802" s="15">
        <v>0.0</v>
      </c>
      <c r="K1802" s="12" t="str">
        <f>HYPERLINK("https://about.twitter.com/products/tweetdeck","TweetDeck")</f>
        <v>TweetDeck</v>
      </c>
      <c r="L1802" s="16">
        <v>1267.0</v>
      </c>
      <c r="M1802" s="16">
        <v>78.0</v>
      </c>
      <c r="N1802" s="16">
        <v>56.0</v>
      </c>
      <c r="O1802" s="17"/>
      <c r="P1802" s="18">
        <v>39808.22982638889</v>
      </c>
      <c r="Q1802" s="1" t="s">
        <v>4294</v>
      </c>
      <c r="R1802" s="1" t="s">
        <v>8385</v>
      </c>
      <c r="S1802" s="13" t="s">
        <v>8386</v>
      </c>
      <c r="T1802" s="14"/>
      <c r="U1802" s="19" t="str">
        <f>HYPERLINK("https://pbs.twimg.com/profile_images/976477043738234881/BXhC4C0m.jpg","View")</f>
        <v>View</v>
      </c>
      <c r="V1802" s="14"/>
      <c r="W1802" s="14"/>
      <c r="X1802" s="14"/>
      <c r="Y1802" s="14"/>
      <c r="Z1802" s="14"/>
    </row>
    <row r="1803">
      <c r="A1803" s="11">
        <v>43844.720613425925</v>
      </c>
      <c r="B1803" s="12" t="str">
        <f>HYPERLINK("https://twitter.com/NeilGowing","@NeilGowing")</f>
        <v>@NeilGowing</v>
      </c>
      <c r="C1803" s="1" t="s">
        <v>8387</v>
      </c>
      <c r="D1803" s="1" t="s">
        <v>8388</v>
      </c>
      <c r="E1803" s="12" t="str">
        <f>HYPERLINK("https://twitter.com/NeilGowing/status/1217209196028026884","1217209196028026884")</f>
        <v>1217209196028026884</v>
      </c>
      <c r="F1803" s="13" t="s">
        <v>8389</v>
      </c>
      <c r="G1803" s="14"/>
      <c r="H1803" s="14"/>
      <c r="I1803" s="15">
        <v>1.0</v>
      </c>
      <c r="J1803" s="15">
        <v>2.0</v>
      </c>
      <c r="K1803" s="12" t="str">
        <f>HYPERLINK("https://mobile.twitter.com","Twitter Web App")</f>
        <v>Twitter Web App</v>
      </c>
      <c r="L1803" s="16">
        <v>175.0</v>
      </c>
      <c r="M1803" s="16">
        <v>412.0</v>
      </c>
      <c r="N1803" s="16">
        <v>5.0</v>
      </c>
      <c r="O1803" s="17"/>
      <c r="P1803" s="18">
        <v>40885.76168981481</v>
      </c>
      <c r="Q1803" s="14"/>
      <c r="R1803" s="1" t="s">
        <v>8390</v>
      </c>
      <c r="S1803" s="13" t="s">
        <v>8391</v>
      </c>
      <c r="T1803" s="14"/>
      <c r="U1803" s="19" t="str">
        <f>HYPERLINK("https://pbs.twimg.com/profile_images/774348847346745347/vQm6vyCZ.jpg","View")</f>
        <v>View</v>
      </c>
      <c r="V1803" s="14"/>
      <c r="W1803" s="14"/>
      <c r="X1803" s="14"/>
      <c r="Y1803" s="14"/>
      <c r="Z1803" s="14"/>
    </row>
    <row r="1804">
      <c r="A1804" s="11">
        <v>43844.7203125</v>
      </c>
      <c r="B1804" s="12" t="str">
        <f>HYPERLINK("https://twitter.com/lesley77397178","@lesley77397178")</f>
        <v>@lesley77397178</v>
      </c>
      <c r="C1804" s="1" t="s">
        <v>8392</v>
      </c>
      <c r="D1804" s="1" t="s">
        <v>8393</v>
      </c>
      <c r="E1804" s="12" t="str">
        <f>HYPERLINK("https://twitter.com/lesley77397178/status/1217209084736262144","1217209084736262144")</f>
        <v>1217209084736262144</v>
      </c>
      <c r="F1804" s="14"/>
      <c r="G1804" s="13" t="s">
        <v>8394</v>
      </c>
      <c r="H1804" s="14"/>
      <c r="I1804" s="15">
        <v>0.0</v>
      </c>
      <c r="J1804" s="15">
        <v>0.0</v>
      </c>
      <c r="K1804" s="12" t="str">
        <f>HYPERLINK("http://twitter.com/download/iphone","Twitter for iPhone")</f>
        <v>Twitter for iPhone</v>
      </c>
      <c r="L1804" s="16">
        <v>9.0</v>
      </c>
      <c r="M1804" s="16">
        <v>4.0</v>
      </c>
      <c r="N1804" s="16">
        <v>0.0</v>
      </c>
      <c r="O1804" s="17"/>
      <c r="P1804" s="18">
        <v>43574.652708333335</v>
      </c>
      <c r="Q1804" s="1" t="s">
        <v>56</v>
      </c>
      <c r="R1804" s="1" t="s">
        <v>8395</v>
      </c>
      <c r="S1804" s="13" t="s">
        <v>8396</v>
      </c>
      <c r="T1804" s="14"/>
      <c r="U1804" s="19" t="str">
        <f>HYPERLINK("https://pbs.twimg.com/profile_images/1119326557418377216/cA8-4urM.jpg","View")</f>
        <v>View</v>
      </c>
      <c r="V1804" s="14"/>
      <c r="W1804" s="14"/>
      <c r="X1804" s="14"/>
      <c r="Y1804" s="14"/>
      <c r="Z1804" s="14"/>
    </row>
    <row r="1805">
      <c r="A1805" s="11">
        <v>43844.71791666667</v>
      </c>
      <c r="B1805" s="12" t="str">
        <f>HYPERLINK("https://twitter.com/colbenjamin","@colbenjamin")</f>
        <v>@colbenjamin</v>
      </c>
      <c r="C1805" s="1" t="s">
        <v>4229</v>
      </c>
      <c r="D1805" s="1" t="s">
        <v>8397</v>
      </c>
      <c r="E1805" s="12" t="str">
        <f>HYPERLINK("https://twitter.com/colbenjamin/status/1217208217337565186","1217208217337565186")</f>
        <v>1217208217337565186</v>
      </c>
      <c r="F1805" s="13" t="s">
        <v>4231</v>
      </c>
      <c r="G1805" s="14"/>
      <c r="H1805" s="14"/>
      <c r="I1805" s="15">
        <v>0.0</v>
      </c>
      <c r="J1805" s="15">
        <v>0.0</v>
      </c>
      <c r="K1805" s="12" t="str">
        <f>HYPERLINK("https://mobile.twitter.com","Twitter Web App")</f>
        <v>Twitter Web App</v>
      </c>
      <c r="L1805" s="16">
        <v>43653.0</v>
      </c>
      <c r="M1805" s="16">
        <v>48010.0</v>
      </c>
      <c r="N1805" s="16">
        <v>677.0</v>
      </c>
      <c r="O1805" s="17"/>
      <c r="P1805" s="18">
        <v>39999.49814814815</v>
      </c>
      <c r="Q1805" s="1" t="s">
        <v>533</v>
      </c>
      <c r="R1805" s="1" t="s">
        <v>4232</v>
      </c>
      <c r="S1805" s="13" t="s">
        <v>4233</v>
      </c>
      <c r="T1805" s="14"/>
      <c r="U1805" s="19" t="str">
        <f>HYPERLINK("https://pbs.twimg.com/profile_images/978259613039476737/9aHgb0ke.jpg","View")</f>
        <v>View</v>
      </c>
      <c r="V1805" s="14"/>
      <c r="W1805" s="14"/>
      <c r="X1805" s="14"/>
      <c r="Y1805" s="14"/>
      <c r="Z1805" s="14"/>
    </row>
    <row r="1806">
      <c r="A1806" s="11">
        <v>43844.71533564814</v>
      </c>
      <c r="B1806" s="12" t="str">
        <f>HYPERLINK("https://twitter.com/ConsciousH","@ConsciousH")</f>
        <v>@ConsciousH</v>
      </c>
      <c r="C1806" s="1" t="s">
        <v>8398</v>
      </c>
      <c r="D1806" s="1" t="s">
        <v>8399</v>
      </c>
      <c r="E1806" s="12" t="str">
        <f>HYPERLINK("https://twitter.com/ConsciousH/status/1217207282552971264","1217207282552971264")</f>
        <v>1217207282552971264</v>
      </c>
      <c r="F1806" s="14"/>
      <c r="G1806" s="13" t="s">
        <v>8400</v>
      </c>
      <c r="H1806" s="14"/>
      <c r="I1806" s="15">
        <v>0.0</v>
      </c>
      <c r="J1806" s="15">
        <v>0.0</v>
      </c>
      <c r="K1806" s="12" t="str">
        <f>HYPERLINK("https://www.hootsuite.com","Hootsuite Inc.")</f>
        <v>Hootsuite Inc.</v>
      </c>
      <c r="L1806" s="16">
        <v>449.0</v>
      </c>
      <c r="M1806" s="16">
        <v>949.0</v>
      </c>
      <c r="N1806" s="16">
        <v>16.0</v>
      </c>
      <c r="O1806" s="17"/>
      <c r="P1806" s="18">
        <v>40981.80673611111</v>
      </c>
      <c r="Q1806" s="1" t="s">
        <v>8401</v>
      </c>
      <c r="R1806" s="1" t="s">
        <v>8402</v>
      </c>
      <c r="S1806" s="13" t="s">
        <v>8403</v>
      </c>
      <c r="T1806" s="14"/>
      <c r="U1806" s="19" t="str">
        <f>HYPERLINK("https://pbs.twimg.com/profile_images/378800000579899866/c144ef56689c00cbb78c4a4e1255c5ea.jpeg","View")</f>
        <v>View</v>
      </c>
      <c r="V1806" s="14"/>
      <c r="W1806" s="14"/>
      <c r="X1806" s="14"/>
      <c r="Y1806" s="14"/>
      <c r="Z1806" s="14"/>
    </row>
    <row r="1807">
      <c r="A1807" s="11">
        <v>43844.71289351852</v>
      </c>
      <c r="B1807" s="12" t="str">
        <f>HYPERLINK("https://twitter.com/FaicDanish","@FaicDanish")</f>
        <v>@FaicDanish</v>
      </c>
      <c r="C1807" s="1" t="s">
        <v>8404</v>
      </c>
      <c r="D1807" s="1" t="s">
        <v>8405</v>
      </c>
      <c r="E1807" s="12" t="str">
        <f>HYPERLINK("https://twitter.com/FaicDanish/status/1217206398720724992","1217206398720724992")</f>
        <v>1217206398720724992</v>
      </c>
      <c r="F1807" s="14"/>
      <c r="G1807" s="13" t="s">
        <v>8406</v>
      </c>
      <c r="H1807" s="14"/>
      <c r="I1807" s="15">
        <v>1.0</v>
      </c>
      <c r="J1807" s="15">
        <v>9.0</v>
      </c>
      <c r="K1807" s="12" t="str">
        <f t="shared" ref="K1807:K1808" si="175">HYPERLINK("https://mobile.twitter.com","Twitter Web App")</f>
        <v>Twitter Web App</v>
      </c>
      <c r="L1807" s="16">
        <v>29342.0</v>
      </c>
      <c r="M1807" s="16">
        <v>29356.0</v>
      </c>
      <c r="N1807" s="16">
        <v>38.0</v>
      </c>
      <c r="O1807" s="17"/>
      <c r="P1807" s="18">
        <v>40269.61950231482</v>
      </c>
      <c r="Q1807" s="1" t="s">
        <v>8407</v>
      </c>
      <c r="R1807" s="1" t="s">
        <v>8408</v>
      </c>
      <c r="S1807" s="14"/>
      <c r="T1807" s="14"/>
      <c r="U1807" s="19" t="str">
        <f>HYPERLINK("https://pbs.twimg.com/profile_images/948653627740078080/FNOrkolw.jpg","View")</f>
        <v>View</v>
      </c>
      <c r="V1807" s="14"/>
      <c r="W1807" s="14"/>
      <c r="X1807" s="14"/>
      <c r="Y1807" s="14"/>
      <c r="Z1807" s="14"/>
    </row>
    <row r="1808">
      <c r="A1808" s="11">
        <v>43844.71151620371</v>
      </c>
      <c r="B1808" s="12" t="str">
        <f>HYPERLINK("https://twitter.com/colbenjamin","@colbenjamin")</f>
        <v>@colbenjamin</v>
      </c>
      <c r="C1808" s="1" t="s">
        <v>4229</v>
      </c>
      <c r="D1808" s="1" t="s">
        <v>8409</v>
      </c>
      <c r="E1808" s="12" t="str">
        <f>HYPERLINK("https://twitter.com/colbenjamin/status/1217205897996447749","1217205897996447749")</f>
        <v>1217205897996447749</v>
      </c>
      <c r="F1808" s="13" t="s">
        <v>4231</v>
      </c>
      <c r="G1808" s="14"/>
      <c r="H1808" s="14"/>
      <c r="I1808" s="15">
        <v>0.0</v>
      </c>
      <c r="J1808" s="15">
        <v>0.0</v>
      </c>
      <c r="K1808" s="12" t="str">
        <f t="shared" si="175"/>
        <v>Twitter Web App</v>
      </c>
      <c r="L1808" s="16">
        <v>43653.0</v>
      </c>
      <c r="M1808" s="16">
        <v>48010.0</v>
      </c>
      <c r="N1808" s="16">
        <v>677.0</v>
      </c>
      <c r="O1808" s="17"/>
      <c r="P1808" s="18">
        <v>39999.49814814815</v>
      </c>
      <c r="Q1808" s="1" t="s">
        <v>533</v>
      </c>
      <c r="R1808" s="1" t="s">
        <v>4232</v>
      </c>
      <c r="S1808" s="13" t="s">
        <v>4233</v>
      </c>
      <c r="T1808" s="14"/>
      <c r="U1808" s="19" t="str">
        <f>HYPERLINK("https://pbs.twimg.com/profile_images/978259613039476737/9aHgb0ke.jpg","View")</f>
        <v>View</v>
      </c>
      <c r="V1808" s="14"/>
      <c r="W1808" s="14"/>
      <c r="X1808" s="14"/>
      <c r="Y1808" s="14"/>
      <c r="Z1808" s="14"/>
    </row>
    <row r="1809">
      <c r="A1809" s="11">
        <v>43844.70908564815</v>
      </c>
      <c r="B1809" s="12" t="str">
        <f>HYPERLINK("https://twitter.com/CSNN","@CSNN")</f>
        <v>@CSNN</v>
      </c>
      <c r="C1809" s="1" t="s">
        <v>8410</v>
      </c>
      <c r="D1809" s="1" t="s">
        <v>8411</v>
      </c>
      <c r="E1809" s="12" t="str">
        <f>HYPERLINK("https://twitter.com/CSNN/status/1217205015972057088","1217205015972057088")</f>
        <v>1217205015972057088</v>
      </c>
      <c r="F1809" s="13" t="s">
        <v>8412</v>
      </c>
      <c r="G1809" s="14"/>
      <c r="H1809" s="14"/>
      <c r="I1809" s="15">
        <v>0.0</v>
      </c>
      <c r="J1809" s="15">
        <v>2.0</v>
      </c>
      <c r="K1809" s="12" t="str">
        <f t="shared" ref="K1809:K1812" si="176">HYPERLINK("https://www.hootsuite.com","Hootsuite Inc.")</f>
        <v>Hootsuite Inc.</v>
      </c>
      <c r="L1809" s="16">
        <v>2432.0</v>
      </c>
      <c r="M1809" s="16">
        <v>219.0</v>
      </c>
      <c r="N1809" s="16">
        <v>60.0</v>
      </c>
      <c r="O1809" s="17"/>
      <c r="P1809" s="18">
        <v>40814.394155092596</v>
      </c>
      <c r="Q1809" s="1" t="s">
        <v>8413</v>
      </c>
      <c r="R1809" s="1" t="s">
        <v>8414</v>
      </c>
      <c r="S1809" s="13" t="s">
        <v>8415</v>
      </c>
      <c r="T1809" s="14"/>
      <c r="U1809" s="19" t="str">
        <f>HYPERLINK("https://pbs.twimg.com/profile_images/954035763565473793/5bCXz4kD.jpg","View")</f>
        <v>View</v>
      </c>
      <c r="V1809" s="14"/>
      <c r="W1809" s="14"/>
      <c r="X1809" s="14"/>
      <c r="Y1809" s="14"/>
      <c r="Z1809" s="14"/>
    </row>
    <row r="1810">
      <c r="A1810" s="11">
        <v>43844.70895833333</v>
      </c>
      <c r="B1810" s="12" t="str">
        <f>HYPERLINK("https://twitter.com/TamraHughesLPC","@TamraHughesLPC")</f>
        <v>@TamraHughesLPC</v>
      </c>
      <c r="C1810" s="1" t="s">
        <v>8416</v>
      </c>
      <c r="D1810" s="1" t="s">
        <v>8417</v>
      </c>
      <c r="E1810" s="12" t="str">
        <f>HYPERLINK("https://twitter.com/TamraHughesLPC/status/1217204971491467266","1217204971491467266")</f>
        <v>1217204971491467266</v>
      </c>
      <c r="F1810" s="13" t="s">
        <v>8418</v>
      </c>
      <c r="G1810" s="14"/>
      <c r="H1810" s="14"/>
      <c r="I1810" s="15">
        <v>0.0</v>
      </c>
      <c r="J1810" s="15">
        <v>0.0</v>
      </c>
      <c r="K1810" s="12" t="str">
        <f t="shared" si="176"/>
        <v>Hootsuite Inc.</v>
      </c>
      <c r="L1810" s="16">
        <v>764.0</v>
      </c>
      <c r="M1810" s="16">
        <v>974.0</v>
      </c>
      <c r="N1810" s="16">
        <v>36.0</v>
      </c>
      <c r="O1810" s="17"/>
      <c r="P1810" s="18">
        <v>40883.70982638889</v>
      </c>
      <c r="Q1810" s="1" t="s">
        <v>8419</v>
      </c>
      <c r="R1810" s="1" t="s">
        <v>8420</v>
      </c>
      <c r="S1810" s="13" t="s">
        <v>8421</v>
      </c>
      <c r="T1810" s="14"/>
      <c r="U1810" s="19" t="str">
        <f>HYPERLINK("https://pbs.twimg.com/profile_images/989493547400245248/0Pj9wSQo.jpg","View")</f>
        <v>View</v>
      </c>
      <c r="V1810" s="14"/>
      <c r="W1810" s="14"/>
      <c r="X1810" s="14"/>
      <c r="Y1810" s="14"/>
      <c r="Z1810" s="14"/>
    </row>
    <row r="1811">
      <c r="A1811" s="11">
        <v>43844.70880787037</v>
      </c>
      <c r="B1811" s="12" t="str">
        <f>HYPERLINK("https://twitter.com/FacingDragons","@FacingDragons")</f>
        <v>@FacingDragons</v>
      </c>
      <c r="C1811" s="1" t="s">
        <v>8422</v>
      </c>
      <c r="D1811" s="1" t="s">
        <v>8423</v>
      </c>
      <c r="E1811" s="12" t="str">
        <f>HYPERLINK("https://twitter.com/FacingDragons/status/1217204918093799425","1217204918093799425")</f>
        <v>1217204918093799425</v>
      </c>
      <c r="F1811" s="13" t="s">
        <v>8424</v>
      </c>
      <c r="G1811" s="14"/>
      <c r="H1811" s="14"/>
      <c r="I1811" s="15">
        <v>0.0</v>
      </c>
      <c r="J1811" s="15">
        <v>0.0</v>
      </c>
      <c r="K1811" s="12" t="str">
        <f t="shared" si="176"/>
        <v>Hootsuite Inc.</v>
      </c>
      <c r="L1811" s="16">
        <v>75.0</v>
      </c>
      <c r="M1811" s="16">
        <v>227.0</v>
      </c>
      <c r="N1811" s="16">
        <v>1.0</v>
      </c>
      <c r="O1811" s="17"/>
      <c r="P1811" s="18">
        <v>41305.600069444445</v>
      </c>
      <c r="Q1811" s="1" t="s">
        <v>143</v>
      </c>
      <c r="R1811" s="1" t="s">
        <v>8425</v>
      </c>
      <c r="S1811" s="13" t="s">
        <v>8426</v>
      </c>
      <c r="T1811" s="14"/>
      <c r="U1811" s="19" t="str">
        <f>HYPERLINK("https://pbs.twimg.com/profile_images/1201615563061170183/lJXvDdWV.jpg","View")</f>
        <v>View</v>
      </c>
      <c r="V1811" s="14"/>
      <c r="W1811" s="14"/>
      <c r="X1811" s="14"/>
      <c r="Y1811" s="14"/>
      <c r="Z1811" s="14"/>
    </row>
    <row r="1812">
      <c r="A1812" s="11">
        <v>43844.70862268518</v>
      </c>
      <c r="B1812" s="12" t="str">
        <f>HYPERLINK("https://twitter.com/MangoPublishing","@MangoPublishing")</f>
        <v>@MangoPublishing</v>
      </c>
      <c r="C1812" s="1" t="s">
        <v>8427</v>
      </c>
      <c r="D1812" s="1" t="s">
        <v>8428</v>
      </c>
      <c r="E1812" s="12" t="str">
        <f>HYPERLINK("https://twitter.com/MangoPublishing/status/1217204851937030146","1217204851937030146")</f>
        <v>1217204851937030146</v>
      </c>
      <c r="F1812" s="13" t="s">
        <v>8429</v>
      </c>
      <c r="G1812" s="14"/>
      <c r="H1812" s="14"/>
      <c r="I1812" s="15">
        <v>4.0</v>
      </c>
      <c r="J1812" s="15">
        <v>5.0</v>
      </c>
      <c r="K1812" s="12" t="str">
        <f t="shared" si="176"/>
        <v>Hootsuite Inc.</v>
      </c>
      <c r="L1812" s="16">
        <v>2210.0</v>
      </c>
      <c r="M1812" s="16">
        <v>1822.0</v>
      </c>
      <c r="N1812" s="16">
        <v>101.0</v>
      </c>
      <c r="O1812" s="17"/>
      <c r="P1812" s="18">
        <v>41864.39755787037</v>
      </c>
      <c r="Q1812" s="1" t="s">
        <v>4766</v>
      </c>
      <c r="R1812" s="1" t="s">
        <v>8430</v>
      </c>
      <c r="S1812" s="13" t="s">
        <v>8431</v>
      </c>
      <c r="T1812" s="14"/>
      <c r="U1812" s="19" t="str">
        <f>HYPERLINK("https://pbs.twimg.com/profile_images/738802713987670017/aKPpqGPn.jpg","View")</f>
        <v>View</v>
      </c>
      <c r="V1812" s="14"/>
      <c r="W1812" s="14"/>
      <c r="X1812" s="14"/>
      <c r="Y1812" s="14"/>
      <c r="Z1812" s="14"/>
    </row>
    <row r="1813">
      <c r="A1813" s="11">
        <v>43844.705775462964</v>
      </c>
      <c r="B1813" s="12" t="str">
        <f>HYPERLINK("https://twitter.com/HoneyLJames","@HoneyLJames")</f>
        <v>@HoneyLJames</v>
      </c>
      <c r="C1813" s="1" t="s">
        <v>8432</v>
      </c>
      <c r="D1813" s="1" t="s">
        <v>8433</v>
      </c>
      <c r="E1813" s="12" t="str">
        <f>HYPERLINK("https://twitter.com/HoneyLJames/status/1217203819232231425","1217203819232231425")</f>
        <v>1217203819232231425</v>
      </c>
      <c r="F1813" s="14"/>
      <c r="G1813" s="13" t="s">
        <v>8434</v>
      </c>
      <c r="H1813" s="14"/>
      <c r="I1813" s="15">
        <v>0.0</v>
      </c>
      <c r="J1813" s="15">
        <v>3.0</v>
      </c>
      <c r="K1813" s="12" t="str">
        <f t="shared" ref="K1813:K1814" si="177">HYPERLINK("http://twitter.com/download/iphone","Twitter for iPhone")</f>
        <v>Twitter for iPhone</v>
      </c>
      <c r="L1813" s="16">
        <v>11865.0</v>
      </c>
      <c r="M1813" s="16">
        <v>3202.0</v>
      </c>
      <c r="N1813" s="16">
        <v>106.0</v>
      </c>
      <c r="O1813" s="17"/>
      <c r="P1813" s="18">
        <v>40030.64025462963</v>
      </c>
      <c r="Q1813" s="1" t="s">
        <v>864</v>
      </c>
      <c r="R1813" s="1" t="s">
        <v>8435</v>
      </c>
      <c r="S1813" s="13" t="s">
        <v>8436</v>
      </c>
      <c r="T1813" s="14"/>
      <c r="U1813" s="19" t="str">
        <f>HYPERLINK("https://pbs.twimg.com/profile_images/1180789569224134656/cAB8X6Pe.jpg","View")</f>
        <v>View</v>
      </c>
      <c r="V1813" s="14"/>
      <c r="W1813" s="14"/>
      <c r="X1813" s="14"/>
      <c r="Y1813" s="14"/>
      <c r="Z1813" s="14"/>
    </row>
    <row r="1814">
      <c r="A1814" s="11">
        <v>43844.70516203703</v>
      </c>
      <c r="B1814" s="12" t="str">
        <f>HYPERLINK("https://twitter.com/jannellmacaulay","@jannellmacaulay")</f>
        <v>@jannellmacaulay</v>
      </c>
      <c r="C1814" s="1" t="s">
        <v>8437</v>
      </c>
      <c r="D1814" s="1" t="s">
        <v>8438</v>
      </c>
      <c r="E1814" s="12" t="str">
        <f>HYPERLINK("https://twitter.com/jannellmacaulay/status/1217203596615245824","1217203596615245824")</f>
        <v>1217203596615245824</v>
      </c>
      <c r="F1814" s="1" t="s">
        <v>8439</v>
      </c>
      <c r="G1814" s="14"/>
      <c r="H1814" s="14"/>
      <c r="I1814" s="15">
        <v>0.0</v>
      </c>
      <c r="J1814" s="15">
        <v>0.0</v>
      </c>
      <c r="K1814" s="12" t="str">
        <f t="shared" si="177"/>
        <v>Twitter for iPhone</v>
      </c>
      <c r="L1814" s="16">
        <v>612.0</v>
      </c>
      <c r="M1814" s="16">
        <v>199.0</v>
      </c>
      <c r="N1814" s="16">
        <v>13.0</v>
      </c>
      <c r="O1814" s="17"/>
      <c r="P1814" s="18">
        <v>42920.73569444445</v>
      </c>
      <c r="Q1814" s="1" t="s">
        <v>56</v>
      </c>
      <c r="R1814" s="1" t="s">
        <v>8440</v>
      </c>
      <c r="S1814" s="13" t="s">
        <v>8441</v>
      </c>
      <c r="T1814" s="14"/>
      <c r="U1814" s="19" t="str">
        <f>HYPERLINK("https://pbs.twimg.com/profile_images/882354970007187456/lUkeOJYp.jpg","View")</f>
        <v>View</v>
      </c>
      <c r="V1814" s="14"/>
      <c r="W1814" s="14"/>
      <c r="X1814" s="14"/>
      <c r="Y1814" s="14"/>
      <c r="Z1814" s="14"/>
    </row>
    <row r="1815">
      <c r="A1815" s="11">
        <v>43844.7047337963</v>
      </c>
      <c r="B1815" s="12" t="str">
        <f>HYPERLINK("https://twitter.com/annetteyoung","@annetteyoung")</f>
        <v>@annetteyoung</v>
      </c>
      <c r="C1815" s="1" t="s">
        <v>7755</v>
      </c>
      <c r="D1815" s="1" t="s">
        <v>8442</v>
      </c>
      <c r="E1815" s="12" t="str">
        <f>HYPERLINK("https://twitter.com/annetteyoung/status/1217203439593312257","1217203439593312257")</f>
        <v>1217203439593312257</v>
      </c>
      <c r="F1815" s="13" t="s">
        <v>7757</v>
      </c>
      <c r="G1815" s="14"/>
      <c r="H1815" s="14"/>
      <c r="I1815" s="15">
        <v>1.0</v>
      </c>
      <c r="J1815" s="15">
        <v>0.0</v>
      </c>
      <c r="K1815" s="12" t="str">
        <f>HYPERLINK("https://bitly.com/","Bitly")</f>
        <v>Bitly</v>
      </c>
      <c r="L1815" s="16">
        <v>19383.0</v>
      </c>
      <c r="M1815" s="16">
        <v>19154.0</v>
      </c>
      <c r="N1815" s="16">
        <v>618.0</v>
      </c>
      <c r="O1815" s="17"/>
      <c r="P1815" s="18">
        <v>39797.20513888889</v>
      </c>
      <c r="Q1815" s="1" t="s">
        <v>2331</v>
      </c>
      <c r="R1815" s="1" t="s">
        <v>7758</v>
      </c>
      <c r="S1815" s="13" t="s">
        <v>7759</v>
      </c>
      <c r="T1815" s="14"/>
      <c r="U1815" s="19" t="str">
        <f>HYPERLINK("https://pbs.twimg.com/profile_images/1210950361097396230/sUiQvCIa.jpg","View")</f>
        <v>View</v>
      </c>
      <c r="V1815" s="14"/>
      <c r="W1815" s="14"/>
      <c r="X1815" s="14"/>
      <c r="Y1815" s="14"/>
      <c r="Z1815" s="14"/>
    </row>
    <row r="1816">
      <c r="A1816" s="11">
        <v>43844.69803240741</v>
      </c>
      <c r="B1816" s="12" t="str">
        <f>HYPERLINK("https://twitter.com/marthaforlines","@marthaforlines")</f>
        <v>@marthaforlines</v>
      </c>
      <c r="C1816" s="1" t="s">
        <v>7645</v>
      </c>
      <c r="D1816" s="1" t="s">
        <v>8443</v>
      </c>
      <c r="E1816" s="12" t="str">
        <f>HYPERLINK("https://twitter.com/marthaforlines/status/1217201011548442625","1217201011548442625")</f>
        <v>1217201011548442625</v>
      </c>
      <c r="F1816" s="13" t="s">
        <v>8444</v>
      </c>
      <c r="G1816" s="14"/>
      <c r="H1816" s="14"/>
      <c r="I1816" s="15">
        <v>0.0</v>
      </c>
      <c r="J1816" s="15">
        <v>0.0</v>
      </c>
      <c r="K1816" s="12" t="str">
        <f>HYPERLINK("https://www.hootsuite.com","Hootsuite Inc.")</f>
        <v>Hootsuite Inc.</v>
      </c>
      <c r="L1816" s="16">
        <v>723.0</v>
      </c>
      <c r="M1816" s="16">
        <v>1012.0</v>
      </c>
      <c r="N1816" s="16">
        <v>37.0</v>
      </c>
      <c r="O1816" s="17"/>
      <c r="P1816" s="18">
        <v>39766.514375</v>
      </c>
      <c r="Q1816" s="1" t="s">
        <v>7648</v>
      </c>
      <c r="R1816" s="1" t="s">
        <v>7649</v>
      </c>
      <c r="S1816" s="13" t="s">
        <v>7650</v>
      </c>
      <c r="T1816" s="14"/>
      <c r="U1816" s="19" t="str">
        <f>HYPERLINK("https://pbs.twimg.com/profile_images/2717343924/0a3e43213b288263ee3e59582516258a.png","View")</f>
        <v>View</v>
      </c>
      <c r="V1816" s="14"/>
      <c r="W1816" s="14"/>
      <c r="X1816" s="14"/>
      <c r="Y1816" s="14"/>
      <c r="Z1816" s="14"/>
    </row>
    <row r="1817">
      <c r="A1817" s="11">
        <v>43844.697743055556</v>
      </c>
      <c r="B1817" s="12" t="str">
        <f>HYPERLINK("https://twitter.com/Cindy_Locher","@Cindy_Locher")</f>
        <v>@Cindy_Locher</v>
      </c>
      <c r="C1817" s="1" t="s">
        <v>8445</v>
      </c>
      <c r="D1817" s="1" t="s">
        <v>8446</v>
      </c>
      <c r="E1817" s="12" t="str">
        <f>HYPERLINK("https://twitter.com/Cindy_Locher/status/1217200908356014080","1217200908356014080")</f>
        <v>1217200908356014080</v>
      </c>
      <c r="F1817" s="13" t="s">
        <v>8447</v>
      </c>
      <c r="G1817" s="13" t="s">
        <v>8448</v>
      </c>
      <c r="H1817" s="14"/>
      <c r="I1817" s="15">
        <v>0.0</v>
      </c>
      <c r="J1817" s="15">
        <v>1.0</v>
      </c>
      <c r="K1817" s="12" t="str">
        <f>HYPERLINK("https://missinglettr.com","Missinglettr")</f>
        <v>Missinglettr</v>
      </c>
      <c r="L1817" s="16">
        <v>40964.0</v>
      </c>
      <c r="M1817" s="16">
        <v>27440.0</v>
      </c>
      <c r="N1817" s="16">
        <v>257.0</v>
      </c>
      <c r="O1817" s="17"/>
      <c r="P1817" s="18">
        <v>39580.90241898148</v>
      </c>
      <c r="Q1817" s="1" t="s">
        <v>8449</v>
      </c>
      <c r="R1817" s="1" t="s">
        <v>8450</v>
      </c>
      <c r="S1817" s="13" t="s">
        <v>8451</v>
      </c>
      <c r="T1817" s="14"/>
      <c r="U1817" s="19" t="str">
        <f>HYPERLINK("https://pbs.twimg.com/profile_images/779296372411338752/j2DngFQ2.jpg","View")</f>
        <v>View</v>
      </c>
      <c r="V1817" s="14"/>
      <c r="W1817" s="14"/>
      <c r="X1817" s="14"/>
      <c r="Y1817" s="14"/>
      <c r="Z1817" s="14"/>
    </row>
    <row r="1818">
      <c r="A1818" s="11">
        <v>43844.69673611112</v>
      </c>
      <c r="B1818" s="12" t="str">
        <f>HYPERLINK("https://twitter.com/teacherDman","@teacherDman")</f>
        <v>@teacherDman</v>
      </c>
      <c r="C1818" s="1" t="s">
        <v>8452</v>
      </c>
      <c r="D1818" s="1" t="s">
        <v>8453</v>
      </c>
      <c r="E1818" s="12" t="str">
        <f>HYPERLINK("https://twitter.com/teacherDman/status/1217200542251802625","1217200542251802625")</f>
        <v>1217200542251802625</v>
      </c>
      <c r="F1818" s="13" t="s">
        <v>8454</v>
      </c>
      <c r="G1818" s="14"/>
      <c r="H1818" s="14"/>
      <c r="I1818" s="15">
        <v>0.0</v>
      </c>
      <c r="J1818" s="15">
        <v>1.0</v>
      </c>
      <c r="K1818" s="12" t="str">
        <f t="shared" ref="K1818:K1820" si="178">HYPERLINK("https://mobile.twitter.com","Twitter Web App")</f>
        <v>Twitter Web App</v>
      </c>
      <c r="L1818" s="16">
        <v>697.0</v>
      </c>
      <c r="M1818" s="16">
        <v>1067.0</v>
      </c>
      <c r="N1818" s="16">
        <v>68.0</v>
      </c>
      <c r="O1818" s="17"/>
      <c r="P1818" s="18">
        <v>39897.39821759259</v>
      </c>
      <c r="Q1818" s="1" t="s">
        <v>8455</v>
      </c>
      <c r="R1818" s="1" t="s">
        <v>8456</v>
      </c>
      <c r="S1818" s="13" t="s">
        <v>8457</v>
      </c>
      <c r="T1818" s="14"/>
      <c r="U1818" s="19" t="str">
        <f>HYPERLINK("https://pbs.twimg.com/profile_images/458008560039784448/y2252veE.jpeg","View")</f>
        <v>View</v>
      </c>
      <c r="V1818" s="14"/>
      <c r="W1818" s="14"/>
      <c r="X1818" s="14"/>
      <c r="Y1818" s="14"/>
      <c r="Z1818" s="14"/>
    </row>
    <row r="1819">
      <c r="A1819" s="11">
        <v>43844.6934837963</v>
      </c>
      <c r="B1819" s="12" t="str">
        <f t="shared" ref="B1819:B1820" si="179">HYPERLINK("https://twitter.com/colbenjamin","@colbenjamin")</f>
        <v>@colbenjamin</v>
      </c>
      <c r="C1819" s="1" t="s">
        <v>4229</v>
      </c>
      <c r="D1819" s="1" t="s">
        <v>4230</v>
      </c>
      <c r="E1819" s="12" t="str">
        <f>HYPERLINK("https://twitter.com/colbenjamin/status/1217199364080390145","1217199364080390145")</f>
        <v>1217199364080390145</v>
      </c>
      <c r="F1819" s="13" t="s">
        <v>4231</v>
      </c>
      <c r="G1819" s="13" t="s">
        <v>8458</v>
      </c>
      <c r="H1819" s="14"/>
      <c r="I1819" s="15">
        <v>0.0</v>
      </c>
      <c r="J1819" s="15">
        <v>0.0</v>
      </c>
      <c r="K1819" s="12" t="str">
        <f t="shared" si="178"/>
        <v>Twitter Web App</v>
      </c>
      <c r="L1819" s="16">
        <v>43653.0</v>
      </c>
      <c r="M1819" s="16">
        <v>48010.0</v>
      </c>
      <c r="N1819" s="16">
        <v>677.0</v>
      </c>
      <c r="O1819" s="17"/>
      <c r="P1819" s="18">
        <v>39999.49814814815</v>
      </c>
      <c r="Q1819" s="1" t="s">
        <v>533</v>
      </c>
      <c r="R1819" s="1" t="s">
        <v>4232</v>
      </c>
      <c r="S1819" s="13" t="s">
        <v>4233</v>
      </c>
      <c r="T1819" s="14"/>
      <c r="U1819" s="19" t="str">
        <f t="shared" ref="U1819:U1820" si="180">HYPERLINK("https://pbs.twimg.com/profile_images/978259613039476737/9aHgb0ke.jpg","View")</f>
        <v>View</v>
      </c>
      <c r="V1819" s="14"/>
      <c r="W1819" s="14"/>
      <c r="X1819" s="14"/>
      <c r="Y1819" s="14"/>
      <c r="Z1819" s="14"/>
    </row>
    <row r="1820">
      <c r="A1820" s="11">
        <v>43844.69331018519</v>
      </c>
      <c r="B1820" s="12" t="str">
        <f t="shared" si="179"/>
        <v>@colbenjamin</v>
      </c>
      <c r="C1820" s="1" t="s">
        <v>4229</v>
      </c>
      <c r="D1820" s="1" t="s">
        <v>4230</v>
      </c>
      <c r="E1820" s="12" t="str">
        <f>HYPERLINK("https://twitter.com/colbenjamin/status/1217199299420999681","1217199299420999681")</f>
        <v>1217199299420999681</v>
      </c>
      <c r="F1820" s="13" t="s">
        <v>4231</v>
      </c>
      <c r="G1820" s="14"/>
      <c r="H1820" s="14"/>
      <c r="I1820" s="15">
        <v>0.0</v>
      </c>
      <c r="J1820" s="15">
        <v>0.0</v>
      </c>
      <c r="K1820" s="12" t="str">
        <f t="shared" si="178"/>
        <v>Twitter Web App</v>
      </c>
      <c r="L1820" s="16">
        <v>43653.0</v>
      </c>
      <c r="M1820" s="16">
        <v>48010.0</v>
      </c>
      <c r="N1820" s="16">
        <v>677.0</v>
      </c>
      <c r="O1820" s="17"/>
      <c r="P1820" s="18">
        <v>39999.49814814815</v>
      </c>
      <c r="Q1820" s="1" t="s">
        <v>533</v>
      </c>
      <c r="R1820" s="1" t="s">
        <v>4232</v>
      </c>
      <c r="S1820" s="13" t="s">
        <v>4233</v>
      </c>
      <c r="T1820" s="14"/>
      <c r="U1820" s="19" t="str">
        <f t="shared" si="180"/>
        <v>View</v>
      </c>
      <c r="V1820" s="14"/>
      <c r="W1820" s="14"/>
      <c r="X1820" s="14"/>
      <c r="Y1820" s="14"/>
      <c r="Z1820" s="14"/>
    </row>
    <row r="1821">
      <c r="A1821" s="11">
        <v>43844.69270833333</v>
      </c>
      <c r="B1821" s="12" t="str">
        <f>HYPERLINK("https://twitter.com/NewsMedical","@NewsMedical")</f>
        <v>@NewsMedical</v>
      </c>
      <c r="C1821" s="1" t="s">
        <v>8308</v>
      </c>
      <c r="D1821" s="1" t="s">
        <v>8459</v>
      </c>
      <c r="E1821" s="12" t="str">
        <f>HYPERLINK("https://twitter.com/NewsMedical/status/1217199082910945281","1217199082910945281")</f>
        <v>1217199082910945281</v>
      </c>
      <c r="F1821" s="13" t="s">
        <v>8460</v>
      </c>
      <c r="G1821" s="13" t="s">
        <v>8461</v>
      </c>
      <c r="H1821" s="14"/>
      <c r="I1821" s="15">
        <v>0.0</v>
      </c>
      <c r="J1821" s="15">
        <v>0.0</v>
      </c>
      <c r="K1821" s="12" t="str">
        <f>HYPERLINK("http://www.news-medical.net/","News Medical")</f>
        <v>News Medical</v>
      </c>
      <c r="L1821" s="16">
        <v>12839.0</v>
      </c>
      <c r="M1821" s="16">
        <v>3376.0</v>
      </c>
      <c r="N1821" s="16">
        <v>453.0</v>
      </c>
      <c r="O1821" s="17"/>
      <c r="P1821" s="18">
        <v>39944.142488425925</v>
      </c>
      <c r="Q1821" s="14"/>
      <c r="R1821" s="1" t="s">
        <v>8312</v>
      </c>
      <c r="S1821" s="13" t="s">
        <v>8313</v>
      </c>
      <c r="T1821" s="14"/>
      <c r="U1821" s="19" t="str">
        <f>HYPERLINK("https://pbs.twimg.com/profile_images/780395551565058048/104TSnWw.jpg","View")</f>
        <v>View</v>
      </c>
      <c r="V1821" s="14"/>
      <c r="W1821" s="14"/>
      <c r="X1821" s="14"/>
      <c r="Y1821" s="14"/>
      <c r="Z1821" s="14"/>
    </row>
    <row r="1822">
      <c r="A1822" s="11">
        <v>43844.692407407405</v>
      </c>
      <c r="B1822" s="12" t="str">
        <f t="shared" ref="B1822:B1823" si="181">HYPERLINK("https://twitter.com/colbenjamin","@colbenjamin")</f>
        <v>@colbenjamin</v>
      </c>
      <c r="C1822" s="1" t="s">
        <v>4229</v>
      </c>
      <c r="D1822" s="1" t="s">
        <v>4234</v>
      </c>
      <c r="E1822" s="12" t="str">
        <f>HYPERLINK("https://twitter.com/colbenjamin/status/1217198972432977920","1217198972432977920")</f>
        <v>1217198972432977920</v>
      </c>
      <c r="F1822" s="13" t="s">
        <v>4231</v>
      </c>
      <c r="G1822" s="13" t="s">
        <v>8462</v>
      </c>
      <c r="H1822" s="14"/>
      <c r="I1822" s="15">
        <v>1.0</v>
      </c>
      <c r="J1822" s="15">
        <v>0.0</v>
      </c>
      <c r="K1822" s="12" t="str">
        <f t="shared" ref="K1822:K1823" si="182">HYPERLINK("https://mobile.twitter.com","Twitter Web App")</f>
        <v>Twitter Web App</v>
      </c>
      <c r="L1822" s="16">
        <v>43653.0</v>
      </c>
      <c r="M1822" s="16">
        <v>48010.0</v>
      </c>
      <c r="N1822" s="16">
        <v>677.0</v>
      </c>
      <c r="O1822" s="17"/>
      <c r="P1822" s="18">
        <v>39999.49814814815</v>
      </c>
      <c r="Q1822" s="1" t="s">
        <v>533</v>
      </c>
      <c r="R1822" s="1" t="s">
        <v>4232</v>
      </c>
      <c r="S1822" s="13" t="s">
        <v>4233</v>
      </c>
      <c r="T1822" s="14"/>
      <c r="U1822" s="19" t="str">
        <f t="shared" ref="U1822:U1823" si="183">HYPERLINK("https://pbs.twimg.com/profile_images/978259613039476737/9aHgb0ke.jpg","View")</f>
        <v>View</v>
      </c>
      <c r="V1822" s="14"/>
      <c r="W1822" s="14"/>
      <c r="X1822" s="14"/>
      <c r="Y1822" s="14"/>
      <c r="Z1822" s="14"/>
    </row>
    <row r="1823">
      <c r="A1823" s="11">
        <v>43844.69217592593</v>
      </c>
      <c r="B1823" s="12" t="str">
        <f t="shared" si="181"/>
        <v>@colbenjamin</v>
      </c>
      <c r="C1823" s="1" t="s">
        <v>4229</v>
      </c>
      <c r="D1823" s="1" t="s">
        <v>4234</v>
      </c>
      <c r="E1823" s="12" t="str">
        <f>HYPERLINK("https://twitter.com/colbenjamin/status/1217198891478736896","1217198891478736896")</f>
        <v>1217198891478736896</v>
      </c>
      <c r="F1823" s="13" t="s">
        <v>4231</v>
      </c>
      <c r="G1823" s="14"/>
      <c r="H1823" s="14"/>
      <c r="I1823" s="15">
        <v>0.0</v>
      </c>
      <c r="J1823" s="15">
        <v>0.0</v>
      </c>
      <c r="K1823" s="12" t="str">
        <f t="shared" si="182"/>
        <v>Twitter Web App</v>
      </c>
      <c r="L1823" s="16">
        <v>43653.0</v>
      </c>
      <c r="M1823" s="16">
        <v>48010.0</v>
      </c>
      <c r="N1823" s="16">
        <v>677.0</v>
      </c>
      <c r="O1823" s="17"/>
      <c r="P1823" s="18">
        <v>39999.49814814815</v>
      </c>
      <c r="Q1823" s="1" t="s">
        <v>533</v>
      </c>
      <c r="R1823" s="1" t="s">
        <v>4232</v>
      </c>
      <c r="S1823" s="13" t="s">
        <v>4233</v>
      </c>
      <c r="T1823" s="14"/>
      <c r="U1823" s="19" t="str">
        <f t="shared" si="183"/>
        <v>View</v>
      </c>
      <c r="V1823" s="14"/>
      <c r="W1823" s="14"/>
      <c r="X1823" s="14"/>
      <c r="Y1823" s="14"/>
      <c r="Z1823" s="14"/>
    </row>
    <row r="1824">
      <c r="A1824" s="11">
        <v>43844.690312499995</v>
      </c>
      <c r="B1824" s="12" t="str">
        <f>HYPERLINK("https://twitter.com/johnkjennings","@johnkjennings")</f>
        <v>@johnkjennings</v>
      </c>
      <c r="C1824" s="1" t="s">
        <v>8463</v>
      </c>
      <c r="D1824" s="1" t="s">
        <v>8464</v>
      </c>
      <c r="E1824" s="12" t="str">
        <f>HYPERLINK("https://twitter.com/johnkjennings/status/1217198214362927109","1217198214362927109")</f>
        <v>1217198214362927109</v>
      </c>
      <c r="F1824" s="13" t="s">
        <v>8465</v>
      </c>
      <c r="G1824" s="13" t="s">
        <v>8466</v>
      </c>
      <c r="H1824" s="14"/>
      <c r="I1824" s="15">
        <v>0.0</v>
      </c>
      <c r="J1824" s="15">
        <v>0.0</v>
      </c>
      <c r="K1824" s="12" t="str">
        <f>HYPERLINK("https://buffer.com","Buffer")</f>
        <v>Buffer</v>
      </c>
      <c r="L1824" s="16">
        <v>174.0</v>
      </c>
      <c r="M1824" s="16">
        <v>148.0</v>
      </c>
      <c r="N1824" s="16">
        <v>3.0</v>
      </c>
      <c r="O1824" s="17"/>
      <c r="P1824" s="18">
        <v>39920.363587962966</v>
      </c>
      <c r="Q1824" s="1" t="s">
        <v>5467</v>
      </c>
      <c r="R1824" s="1" t="s">
        <v>8467</v>
      </c>
      <c r="S1824" s="13" t="s">
        <v>8468</v>
      </c>
      <c r="T1824" s="14"/>
      <c r="U1824" s="19" t="str">
        <f>HYPERLINK("https://pbs.twimg.com/profile_images/1008502678765428736/AStMZdun.jpg","View")</f>
        <v>View</v>
      </c>
      <c r="V1824" s="14"/>
      <c r="W1824" s="14"/>
      <c r="X1824" s="14"/>
      <c r="Y1824" s="14"/>
      <c r="Z1824" s="14"/>
    </row>
    <row r="1825">
      <c r="A1825" s="11">
        <v>43844.687581018516</v>
      </c>
      <c r="B1825" s="12" t="str">
        <f>HYPERLINK("https://twitter.com/SoHappyInTown","@SoHappyInTown")</f>
        <v>@SoHappyInTown</v>
      </c>
      <c r="C1825" s="1" t="s">
        <v>430</v>
      </c>
      <c r="D1825" s="1" t="s">
        <v>431</v>
      </c>
      <c r="E1825" s="12" t="str">
        <f>HYPERLINK("https://twitter.com/SoHappyInTown/status/1217197224612040705","1217197224612040705")</f>
        <v>1217197224612040705</v>
      </c>
      <c r="F1825" s="13" t="s">
        <v>432</v>
      </c>
      <c r="G1825" s="14"/>
      <c r="H1825" s="14"/>
      <c r="I1825" s="15">
        <v>0.0</v>
      </c>
      <c r="J1825" s="15">
        <v>1.0</v>
      </c>
      <c r="K1825" s="12" t="str">
        <f>HYPERLINK("https://www.socialoomph.com","SocialOomph")</f>
        <v>SocialOomph</v>
      </c>
      <c r="L1825" s="16">
        <v>2211.0</v>
      </c>
      <c r="M1825" s="16">
        <v>1660.0</v>
      </c>
      <c r="N1825" s="16">
        <v>39.0</v>
      </c>
      <c r="O1825" s="17"/>
      <c r="P1825" s="18">
        <v>42705.30002314815</v>
      </c>
      <c r="Q1825" s="1" t="s">
        <v>268</v>
      </c>
      <c r="R1825" s="1" t="s">
        <v>433</v>
      </c>
      <c r="S1825" s="13" t="s">
        <v>434</v>
      </c>
      <c r="T1825" s="14"/>
      <c r="U1825" s="19" t="str">
        <f>HYPERLINK("https://pbs.twimg.com/profile_images/914458897531928577/ETJYHe_M.jpg","View")</f>
        <v>View</v>
      </c>
      <c r="V1825" s="14"/>
      <c r="W1825" s="14"/>
      <c r="X1825" s="14"/>
      <c r="Y1825" s="14"/>
      <c r="Z1825" s="14"/>
    </row>
    <row r="1826">
      <c r="A1826" s="11">
        <v>43844.687002314815</v>
      </c>
      <c r="B1826" s="12" t="str">
        <f>HYPERLINK("https://twitter.com/alhaneefa_02","@alhaneefa_02")</f>
        <v>@alhaneefa_02</v>
      </c>
      <c r="C1826" s="1" t="s">
        <v>8469</v>
      </c>
      <c r="D1826" s="1" t="s">
        <v>8470</v>
      </c>
      <c r="E1826" s="12" t="str">
        <f>HYPERLINK("https://twitter.com/alhaneefa_02/status/1217197016369061889","1217197016369061889")</f>
        <v>1217197016369061889</v>
      </c>
      <c r="F1826" s="14"/>
      <c r="G1826" s="13" t="s">
        <v>8471</v>
      </c>
      <c r="H1826" s="14"/>
      <c r="I1826" s="15">
        <v>0.0</v>
      </c>
      <c r="J1826" s="15">
        <v>0.0</v>
      </c>
      <c r="K1826" s="12" t="str">
        <f>HYPERLINK("http://twitter.com/download/iphone","Twitter for iPhone")</f>
        <v>Twitter for iPhone</v>
      </c>
      <c r="L1826" s="16">
        <v>80.0</v>
      </c>
      <c r="M1826" s="16">
        <v>80.0</v>
      </c>
      <c r="N1826" s="16">
        <v>0.0</v>
      </c>
      <c r="O1826" s="17"/>
      <c r="P1826" s="18">
        <v>43484.374201388884</v>
      </c>
      <c r="Q1826" s="1" t="s">
        <v>521</v>
      </c>
      <c r="R1826" s="1" t="s">
        <v>8472</v>
      </c>
      <c r="S1826" s="14"/>
      <c r="T1826" s="14"/>
      <c r="U1826" s="19" t="str">
        <f>HYPERLINK("https://pbs.twimg.com/profile_images/1188517885766815744/VxeuXh3p.jpg","View")</f>
        <v>View</v>
      </c>
      <c r="V1826" s="14"/>
      <c r="W1826" s="14"/>
      <c r="X1826" s="14"/>
      <c r="Y1826" s="14"/>
      <c r="Z1826" s="14"/>
    </row>
    <row r="1827">
      <c r="A1827" s="11">
        <v>43844.68128472222</v>
      </c>
      <c r="B1827" s="12" t="str">
        <f>HYPERLINK("https://twitter.com/pawtocol","@pawtocol")</f>
        <v>@pawtocol</v>
      </c>
      <c r="C1827" s="1" t="s">
        <v>8473</v>
      </c>
      <c r="D1827" s="1" t="s">
        <v>8474</v>
      </c>
      <c r="E1827" s="12" t="str">
        <f>HYPERLINK("https://twitter.com/pawtocol/status/1217194944839831552","1217194944839831552")</f>
        <v>1217194944839831552</v>
      </c>
      <c r="F1827" s="13" t="s">
        <v>8475</v>
      </c>
      <c r="G1827" s="13" t="s">
        <v>8476</v>
      </c>
      <c r="H1827" s="14"/>
      <c r="I1827" s="15">
        <v>0.0</v>
      </c>
      <c r="J1827" s="15">
        <v>1.0</v>
      </c>
      <c r="K1827" s="12" t="str">
        <f>HYPERLINK("https://mobile.twitter.com","Twitter Web App")</f>
        <v>Twitter Web App</v>
      </c>
      <c r="L1827" s="16">
        <v>8200.0</v>
      </c>
      <c r="M1827" s="16">
        <v>4027.0</v>
      </c>
      <c r="N1827" s="16">
        <v>8.0</v>
      </c>
      <c r="O1827" s="17"/>
      <c r="P1827" s="18">
        <v>43079.63319444444</v>
      </c>
      <c r="Q1827" s="14"/>
      <c r="R1827" s="1" t="s">
        <v>8477</v>
      </c>
      <c r="S1827" s="13" t="s">
        <v>8478</v>
      </c>
      <c r="T1827" s="14"/>
      <c r="U1827" s="19" t="str">
        <f>HYPERLINK("https://pbs.twimg.com/profile_images/1159259648438022149/CKSIPimo.jpg","View")</f>
        <v>View</v>
      </c>
      <c r="V1827" s="14"/>
      <c r="W1827" s="14"/>
      <c r="X1827" s="14"/>
      <c r="Y1827" s="14"/>
      <c r="Z1827" s="14"/>
    </row>
    <row r="1828">
      <c r="A1828" s="11">
        <v>43844.680613425924</v>
      </c>
      <c r="B1828" s="12" t="str">
        <f>HYPERLINK("https://twitter.com/amy13simp","@amy13simp")</f>
        <v>@amy13simp</v>
      </c>
      <c r="C1828" s="1" t="s">
        <v>8479</v>
      </c>
      <c r="D1828" s="1" t="s">
        <v>8480</v>
      </c>
      <c r="E1828" s="12" t="str">
        <f>HYPERLINK("https://twitter.com/amy13simp/status/1217194701171970048","1217194701171970048")</f>
        <v>1217194701171970048</v>
      </c>
      <c r="F1828" s="14"/>
      <c r="G1828" s="13" t="s">
        <v>8481</v>
      </c>
      <c r="H1828" s="14"/>
      <c r="I1828" s="15">
        <v>1.0</v>
      </c>
      <c r="J1828" s="15">
        <v>2.0</v>
      </c>
      <c r="K1828" s="12" t="str">
        <f>HYPERLINK("http://twitter.com/download/iphone","Twitter for iPhone")</f>
        <v>Twitter for iPhone</v>
      </c>
      <c r="L1828" s="16">
        <v>492.0</v>
      </c>
      <c r="M1828" s="16">
        <v>673.0</v>
      </c>
      <c r="N1828" s="16">
        <v>9.0</v>
      </c>
      <c r="O1828" s="17"/>
      <c r="P1828" s="18">
        <v>40698.629849537036</v>
      </c>
      <c r="Q1828" s="1" t="s">
        <v>8482</v>
      </c>
      <c r="R1828" s="1" t="s">
        <v>8483</v>
      </c>
      <c r="S1828" s="13" t="s">
        <v>8484</v>
      </c>
      <c r="T1828" s="14"/>
      <c r="U1828" s="19" t="str">
        <f>HYPERLINK("https://pbs.twimg.com/profile_images/1004681094514561024/w8f0FaZa.jpg","View")</f>
        <v>View</v>
      </c>
      <c r="V1828" s="14"/>
      <c r="W1828" s="14"/>
      <c r="X1828" s="14"/>
      <c r="Y1828" s="14"/>
      <c r="Z1828" s="14"/>
    </row>
    <row r="1829">
      <c r="A1829" s="11">
        <v>43844.6772337963</v>
      </c>
      <c r="B1829" s="12" t="str">
        <f>HYPERLINK("https://twitter.com/smallbizbonfire","@smallbizbonfire")</f>
        <v>@smallbizbonfire</v>
      </c>
      <c r="C1829" s="1" t="s">
        <v>210</v>
      </c>
      <c r="D1829" s="1" t="s">
        <v>211</v>
      </c>
      <c r="E1829" s="12" t="str">
        <f>HYPERLINK("https://twitter.com/smallbizbonfire/status/1217193476204507138","1217193476204507138")</f>
        <v>1217193476204507138</v>
      </c>
      <c r="F1829" s="13" t="s">
        <v>212</v>
      </c>
      <c r="G1829" s="14"/>
      <c r="H1829" s="14"/>
      <c r="I1829" s="15">
        <v>2.0</v>
      </c>
      <c r="J1829" s="15">
        <v>0.0</v>
      </c>
      <c r="K1829" s="12" t="str">
        <f>HYPERLINK("https://www.hootsuite.com","Hootsuite Inc.")</f>
        <v>Hootsuite Inc.</v>
      </c>
      <c r="L1829" s="16">
        <v>21534.0</v>
      </c>
      <c r="M1829" s="16">
        <v>17263.0</v>
      </c>
      <c r="N1829" s="16">
        <v>1514.0</v>
      </c>
      <c r="O1829" s="17"/>
      <c r="P1829" s="18">
        <v>40264.32712962963</v>
      </c>
      <c r="Q1829" s="1" t="s">
        <v>213</v>
      </c>
      <c r="R1829" s="1" t="s">
        <v>214</v>
      </c>
      <c r="S1829" s="13" t="s">
        <v>215</v>
      </c>
      <c r="T1829" s="14"/>
      <c r="U1829" s="19" t="str">
        <f>HYPERLINK("https://pbs.twimg.com/profile_images/952207473024397313/qduxv6wU.jpg","View")</f>
        <v>View</v>
      </c>
      <c r="V1829" s="14"/>
      <c r="W1829" s="14"/>
      <c r="X1829" s="14"/>
      <c r="Y1829" s="14"/>
      <c r="Z1829" s="14"/>
    </row>
    <row r="1830">
      <c r="A1830" s="11">
        <v>43844.67708333333</v>
      </c>
      <c r="B1830" s="12" t="str">
        <f>HYPERLINK("https://twitter.com/TrainingMindful","@TrainingMindful")</f>
        <v>@TrainingMindful</v>
      </c>
      <c r="C1830" s="1" t="s">
        <v>94</v>
      </c>
      <c r="D1830" s="1" t="s">
        <v>3857</v>
      </c>
      <c r="E1830" s="12" t="str">
        <f>HYPERLINK("https://twitter.com/TrainingMindful/status/1217193420285980672","1217193420285980672")</f>
        <v>1217193420285980672</v>
      </c>
      <c r="F1830" s="13" t="s">
        <v>3858</v>
      </c>
      <c r="G1830" s="14"/>
      <c r="H1830" s="14"/>
      <c r="I1830" s="15">
        <v>0.0</v>
      </c>
      <c r="J1830" s="15">
        <v>2.0</v>
      </c>
      <c r="K1830" s="12" t="str">
        <f>HYPERLINK("https://www.socialoomph.com","SocialOomph")</f>
        <v>SocialOomph</v>
      </c>
      <c r="L1830" s="16">
        <v>185303.0</v>
      </c>
      <c r="M1830" s="16">
        <v>43980.0</v>
      </c>
      <c r="N1830" s="16">
        <v>2800.0</v>
      </c>
      <c r="O1830" s="17"/>
      <c r="P1830" s="18">
        <v>41286.039305555554</v>
      </c>
      <c r="Q1830" s="1" t="s">
        <v>97</v>
      </c>
      <c r="R1830" s="1" t="s">
        <v>98</v>
      </c>
      <c r="S1830" s="13" t="s">
        <v>99</v>
      </c>
      <c r="T1830" s="14"/>
      <c r="U1830" s="19" t="str">
        <f>HYPERLINK("https://pbs.twimg.com/profile_images/566526924059459584/gdMxDA9x.jpeg","View")</f>
        <v>View</v>
      </c>
      <c r="V1830" s="14"/>
      <c r="W1830" s="14"/>
      <c r="X1830" s="14"/>
      <c r="Y1830" s="14"/>
      <c r="Z1830" s="14"/>
    </row>
    <row r="1831">
      <c r="A1831" s="11">
        <v>43844.676412037035</v>
      </c>
      <c r="B1831" s="12" t="str">
        <f>HYPERLINK("https://twitter.com/KirstyDankoArt","@KirstyDankoArt")</f>
        <v>@KirstyDankoArt</v>
      </c>
      <c r="C1831" s="1" t="s">
        <v>8485</v>
      </c>
      <c r="D1831" s="1" t="s">
        <v>8486</v>
      </c>
      <c r="E1831" s="12" t="str">
        <f>HYPERLINK("https://twitter.com/KirstyDankoArt/status/1217193177108578315","1217193177108578315")</f>
        <v>1217193177108578315</v>
      </c>
      <c r="F1831" s="14"/>
      <c r="G1831" s="13" t="s">
        <v>8487</v>
      </c>
      <c r="H1831" s="14"/>
      <c r="I1831" s="15">
        <v>2.0</v>
      </c>
      <c r="J1831" s="15">
        <v>2.0</v>
      </c>
      <c r="K1831" s="12" t="str">
        <f>HYPERLINK("http://twitter.com/#!/download/ipad","Twitter for iPad")</f>
        <v>Twitter for iPad</v>
      </c>
      <c r="L1831" s="16">
        <v>100.0</v>
      </c>
      <c r="M1831" s="16">
        <v>206.0</v>
      </c>
      <c r="N1831" s="16">
        <v>7.0</v>
      </c>
      <c r="O1831" s="17"/>
      <c r="P1831" s="18">
        <v>42062.50421296296</v>
      </c>
      <c r="Q1831" s="1" t="s">
        <v>263</v>
      </c>
      <c r="R1831" s="1" t="s">
        <v>8488</v>
      </c>
      <c r="S1831" s="14"/>
      <c r="T1831" s="14"/>
      <c r="U1831" s="19" t="str">
        <f>HYPERLINK("https://pbs.twimg.com/profile_images/1178772641500614657/oIGhgwxE.jpg","View")</f>
        <v>View</v>
      </c>
      <c r="V1831" s="14"/>
      <c r="W1831" s="14"/>
      <c r="X1831" s="14"/>
      <c r="Y1831" s="14"/>
      <c r="Z1831" s="14"/>
    </row>
    <row r="1832">
      <c r="A1832" s="11">
        <v>43844.67349537037</v>
      </c>
      <c r="B1832" s="12" t="str">
        <f>HYPERLINK("https://twitter.com/MarcelaPuig12","@MarcelaPuig12")</f>
        <v>@MarcelaPuig12</v>
      </c>
      <c r="C1832" s="1" t="s">
        <v>6044</v>
      </c>
      <c r="D1832" s="1" t="s">
        <v>6045</v>
      </c>
      <c r="E1832" s="12" t="str">
        <f>HYPERLINK("https://twitter.com/MarcelaPuig12/status/1217192119653359621","1217192119653359621")</f>
        <v>1217192119653359621</v>
      </c>
      <c r="F1832" s="13" t="s">
        <v>6046</v>
      </c>
      <c r="G1832" s="13" t="s">
        <v>8489</v>
      </c>
      <c r="H1832" s="14"/>
      <c r="I1832" s="15">
        <v>1.0</v>
      </c>
      <c r="J1832" s="15">
        <v>1.0</v>
      </c>
      <c r="K1832" s="12" t="str">
        <f>HYPERLINK("http://twitter.com/download/android","Twitter for Android")</f>
        <v>Twitter for Android</v>
      </c>
      <c r="L1832" s="16">
        <v>219.0</v>
      </c>
      <c r="M1832" s="16">
        <v>840.0</v>
      </c>
      <c r="N1832" s="16">
        <v>0.0</v>
      </c>
      <c r="O1832" s="17"/>
      <c r="P1832" s="18">
        <v>43753.540717592594</v>
      </c>
      <c r="Q1832" s="14"/>
      <c r="R1832" s="1" t="s">
        <v>6048</v>
      </c>
      <c r="S1832" s="14"/>
      <c r="T1832" s="14"/>
      <c r="U1832" s="19" t="str">
        <f>HYPERLINK("https://pbs.twimg.com/profile_images/1186176562363797505/dBd_JwtD.jpg","View")</f>
        <v>View</v>
      </c>
      <c r="V1832" s="14"/>
      <c r="W1832" s="14"/>
      <c r="X1832" s="14"/>
      <c r="Y1832" s="14"/>
      <c r="Z1832" s="14"/>
    </row>
    <row r="1833">
      <c r="A1833" s="11">
        <v>43844.6728125</v>
      </c>
      <c r="B1833" s="12" t="str">
        <f>HYPERLINK("https://twitter.com/salleemclaren","@salleemclaren")</f>
        <v>@salleemclaren</v>
      </c>
      <c r="C1833" s="1" t="s">
        <v>8490</v>
      </c>
      <c r="D1833" s="1" t="s">
        <v>8491</v>
      </c>
      <c r="E1833" s="12" t="str">
        <f>HYPERLINK("https://twitter.com/salleemclaren/status/1217191871723651073","1217191871723651073")</f>
        <v>1217191871723651073</v>
      </c>
      <c r="F1833" s="13" t="s">
        <v>8492</v>
      </c>
      <c r="G1833" s="14"/>
      <c r="H1833" s="14"/>
      <c r="I1833" s="15">
        <v>0.0</v>
      </c>
      <c r="J1833" s="15">
        <v>0.0</v>
      </c>
      <c r="K1833" s="12" t="str">
        <f>HYPERLINK("http://twitter.com","Twitter Web Client")</f>
        <v>Twitter Web Client</v>
      </c>
      <c r="L1833" s="16">
        <v>80.0</v>
      </c>
      <c r="M1833" s="16">
        <v>301.0</v>
      </c>
      <c r="N1833" s="16">
        <v>2.0</v>
      </c>
      <c r="O1833" s="17"/>
      <c r="P1833" s="18">
        <v>41284.90804398148</v>
      </c>
      <c r="Q1833" s="1" t="s">
        <v>8493</v>
      </c>
      <c r="R1833" s="1" t="s">
        <v>8494</v>
      </c>
      <c r="S1833" s="13" t="s">
        <v>8495</v>
      </c>
      <c r="T1833" s="14"/>
      <c r="U1833" s="19" t="str">
        <f>HYPERLINK("https://pbs.twimg.com/profile_images/717519265411149824/-kV80OLR.jpg","View")</f>
        <v>View</v>
      </c>
      <c r="V1833" s="14"/>
      <c r="W1833" s="14"/>
      <c r="X1833" s="14"/>
      <c r="Y1833" s="14"/>
      <c r="Z1833" s="14"/>
    </row>
    <row r="1834">
      <c r="A1834" s="11">
        <v>43844.670694444445</v>
      </c>
      <c r="B1834" s="12" t="str">
        <f>HYPERLINK("https://twitter.com/EFTSuzanne","@EFTSuzanne")</f>
        <v>@EFTSuzanne</v>
      </c>
      <c r="C1834" s="1" t="s">
        <v>8496</v>
      </c>
      <c r="D1834" s="1" t="s">
        <v>8497</v>
      </c>
      <c r="E1834" s="12" t="str">
        <f>HYPERLINK("https://twitter.com/EFTSuzanne/status/1217191103943913473","1217191103943913473")</f>
        <v>1217191103943913473</v>
      </c>
      <c r="F1834" s="13" t="s">
        <v>8498</v>
      </c>
      <c r="G1834" s="14"/>
      <c r="H1834" s="14"/>
      <c r="I1834" s="15">
        <v>0.0</v>
      </c>
      <c r="J1834" s="15">
        <v>1.0</v>
      </c>
      <c r="K1834" s="12" t="str">
        <f>HYPERLINK("http://twitter.com/download/android","Twitter for Android")</f>
        <v>Twitter for Android</v>
      </c>
      <c r="L1834" s="16">
        <v>10200.0</v>
      </c>
      <c r="M1834" s="16">
        <v>9912.0</v>
      </c>
      <c r="N1834" s="16">
        <v>209.0</v>
      </c>
      <c r="O1834" s="17"/>
      <c r="P1834" s="18">
        <v>39826.619467592594</v>
      </c>
      <c r="Q1834" s="1" t="s">
        <v>268</v>
      </c>
      <c r="R1834" s="1" t="s">
        <v>8499</v>
      </c>
      <c r="S1834" s="13" t="s">
        <v>8500</v>
      </c>
      <c r="T1834" s="14"/>
      <c r="U1834" s="19" t="str">
        <f>HYPERLINK("https://pbs.twimg.com/profile_images/590635844693798913/JRU5KJuc.jpg","View")</f>
        <v>View</v>
      </c>
      <c r="V1834" s="14"/>
      <c r="W1834" s="14"/>
      <c r="X1834" s="14"/>
      <c r="Y1834" s="14"/>
      <c r="Z1834" s="14"/>
    </row>
    <row r="1835">
      <c r="A1835" s="11">
        <v>43844.67027777778</v>
      </c>
      <c r="B1835" s="12" t="str">
        <f>HYPERLINK("https://twitter.com/TBtalks","@TBtalks")</f>
        <v>@TBtalks</v>
      </c>
      <c r="C1835" s="1" t="s">
        <v>355</v>
      </c>
      <c r="D1835" s="1" t="s">
        <v>8501</v>
      </c>
      <c r="E1835" s="12" t="str">
        <f>HYPERLINK("https://twitter.com/TBtalks/status/1217190953817124864","1217190953817124864")</f>
        <v>1217190953817124864</v>
      </c>
      <c r="F1835" s="13" t="s">
        <v>8502</v>
      </c>
      <c r="G1835" s="14"/>
      <c r="H1835" s="14"/>
      <c r="I1835" s="15">
        <v>0.0</v>
      </c>
      <c r="J1835" s="15">
        <v>0.0</v>
      </c>
      <c r="K1835" s="12" t="str">
        <f>HYPERLINK("https://www.hootsuite.com","Hootsuite Inc.")</f>
        <v>Hootsuite Inc.</v>
      </c>
      <c r="L1835" s="16">
        <v>1190.0</v>
      </c>
      <c r="M1835" s="16">
        <v>566.0</v>
      </c>
      <c r="N1835" s="16">
        <v>25.0</v>
      </c>
      <c r="O1835" s="17"/>
      <c r="P1835" s="18">
        <v>41197.62918981482</v>
      </c>
      <c r="Q1835" s="1" t="s">
        <v>358</v>
      </c>
      <c r="R1835" s="1" t="s">
        <v>359</v>
      </c>
      <c r="S1835" s="13" t="s">
        <v>360</v>
      </c>
      <c r="T1835" s="14"/>
      <c r="U1835" s="19" t="str">
        <f>HYPERLINK("https://pbs.twimg.com/profile_images/1181990097610256384/DQu0ny3B.jpg","View")</f>
        <v>View</v>
      </c>
      <c r="V1835" s="14"/>
      <c r="W1835" s="14"/>
      <c r="X1835" s="14"/>
      <c r="Y1835" s="14"/>
      <c r="Z1835" s="14"/>
    </row>
    <row r="1836">
      <c r="A1836" s="11">
        <v>43844.66699074074</v>
      </c>
      <c r="B1836" s="12" t="str">
        <f>HYPERLINK("https://twitter.com/RealVantaBlack","@RealVantaBlack")</f>
        <v>@RealVantaBlack</v>
      </c>
      <c r="C1836" s="1" t="s">
        <v>8503</v>
      </c>
      <c r="D1836" s="1" t="s">
        <v>8504</v>
      </c>
      <c r="E1836" s="12" t="str">
        <f>HYPERLINK("https://twitter.com/RealVantaBlack/status/1217189761141493761","1217189761141493761")</f>
        <v>1217189761141493761</v>
      </c>
      <c r="F1836" s="14"/>
      <c r="G1836" s="13" t="s">
        <v>8505</v>
      </c>
      <c r="H1836" s="14"/>
      <c r="I1836" s="15">
        <v>0.0</v>
      </c>
      <c r="J1836" s="15">
        <v>2.0</v>
      </c>
      <c r="K1836" s="12" t="str">
        <f>HYPERLINK("http://twitter.com/download/iphone","Twitter for iPhone")</f>
        <v>Twitter for iPhone</v>
      </c>
      <c r="L1836" s="16">
        <v>1819.0</v>
      </c>
      <c r="M1836" s="16">
        <v>2132.0</v>
      </c>
      <c r="N1836" s="16">
        <v>8.0</v>
      </c>
      <c r="O1836" s="17"/>
      <c r="P1836" s="18">
        <v>42691.541238425925</v>
      </c>
      <c r="Q1836" s="1" t="s">
        <v>8506</v>
      </c>
      <c r="R1836" s="1" t="s">
        <v>8507</v>
      </c>
      <c r="S1836" s="14"/>
      <c r="T1836" s="14"/>
      <c r="U1836" s="19" t="str">
        <f>HYPERLINK("https://pbs.twimg.com/profile_images/1201161929365966848/hL9kJd-z.jpg","View")</f>
        <v>View</v>
      </c>
      <c r="V1836" s="14"/>
      <c r="W1836" s="14"/>
      <c r="X1836" s="14"/>
      <c r="Y1836" s="14"/>
      <c r="Z1836" s="14"/>
    </row>
    <row r="1837">
      <c r="A1837" s="11">
        <v>43844.66552083333</v>
      </c>
      <c r="B1837" s="12" t="str">
        <f>HYPERLINK("https://twitter.com/GraceMedHealth","@GraceMedHealth")</f>
        <v>@GraceMedHealth</v>
      </c>
      <c r="C1837" s="1" t="s">
        <v>6342</v>
      </c>
      <c r="D1837" s="1" t="s">
        <v>6343</v>
      </c>
      <c r="E1837" s="12" t="str">
        <f>HYPERLINK("https://twitter.com/GraceMedHealth/status/1217189231866662914","1217189231866662914")</f>
        <v>1217189231866662914</v>
      </c>
      <c r="F1837" s="13" t="s">
        <v>6344</v>
      </c>
      <c r="G1837" s="13" t="s">
        <v>8508</v>
      </c>
      <c r="H1837" s="14"/>
      <c r="I1837" s="15">
        <v>0.0</v>
      </c>
      <c r="J1837" s="15">
        <v>1.0</v>
      </c>
      <c r="K1837" s="12" t="str">
        <f>HYPERLINK("https://coschedule.com","CoSchedule")</f>
        <v>CoSchedule</v>
      </c>
      <c r="L1837" s="16">
        <v>805.0</v>
      </c>
      <c r="M1837" s="16">
        <v>663.0</v>
      </c>
      <c r="N1837" s="16">
        <v>21.0</v>
      </c>
      <c r="O1837" s="17"/>
      <c r="P1837" s="18">
        <v>40385.613969907405</v>
      </c>
      <c r="Q1837" s="1" t="s">
        <v>957</v>
      </c>
      <c r="R1837" s="1" t="s">
        <v>6346</v>
      </c>
      <c r="S1837" s="13" t="s">
        <v>6347</v>
      </c>
      <c r="T1837" s="14"/>
      <c r="U1837" s="19" t="str">
        <f>HYPERLINK("https://pbs.twimg.com/profile_images/857939978717978625/YJtuLB4U.jpg","View")</f>
        <v>View</v>
      </c>
      <c r="V1837" s="14"/>
      <c r="W1837" s="14"/>
      <c r="X1837" s="14"/>
      <c r="Y1837" s="14"/>
      <c r="Z1837" s="14"/>
    </row>
    <row r="1838">
      <c r="A1838" s="11">
        <v>43844.66526620371</v>
      </c>
      <c r="B1838" s="12" t="str">
        <f>HYPERLINK("https://twitter.com/RTI_Gender","@RTI_Gender")</f>
        <v>@RTI_Gender</v>
      </c>
      <c r="C1838" s="1" t="s">
        <v>8509</v>
      </c>
      <c r="D1838" s="1" t="s">
        <v>8510</v>
      </c>
      <c r="E1838" s="12" t="str">
        <f>HYPERLINK("https://twitter.com/RTI_Gender/status/1217189138664955907","1217189138664955907")</f>
        <v>1217189138664955907</v>
      </c>
      <c r="F1838" s="13" t="s">
        <v>8511</v>
      </c>
      <c r="G1838" s="13" t="s">
        <v>8512</v>
      </c>
      <c r="H1838" s="14"/>
      <c r="I1838" s="15">
        <v>1.0</v>
      </c>
      <c r="J1838" s="15">
        <v>4.0</v>
      </c>
      <c r="K1838" s="12" t="str">
        <f t="shared" ref="K1838:K1841" si="184">HYPERLINK("https://mobile.twitter.com","Twitter Web App")</f>
        <v>Twitter Web App</v>
      </c>
      <c r="L1838" s="16">
        <v>492.0</v>
      </c>
      <c r="M1838" s="16">
        <v>454.0</v>
      </c>
      <c r="N1838" s="16">
        <v>5.0</v>
      </c>
      <c r="O1838" s="17"/>
      <c r="P1838" s="18">
        <v>42811.38810185185</v>
      </c>
      <c r="Q1838" s="1" t="s">
        <v>8513</v>
      </c>
      <c r="R1838" s="1" t="s">
        <v>8514</v>
      </c>
      <c r="S1838" s="13" t="s">
        <v>8515</v>
      </c>
      <c r="T1838" s="14"/>
      <c r="U1838" s="19" t="str">
        <f>HYPERLINK("https://pbs.twimg.com/profile_images/842731417175961600/GTqzp8kt.jpg","View")</f>
        <v>View</v>
      </c>
      <c r="V1838" s="14"/>
      <c r="W1838" s="14"/>
      <c r="X1838" s="14"/>
      <c r="Y1838" s="14"/>
      <c r="Z1838" s="14"/>
    </row>
    <row r="1839">
      <c r="A1839" s="11">
        <v>43844.66378472222</v>
      </c>
      <c r="B1839" s="12" t="str">
        <f>HYPERLINK("https://twitter.com/OIBR_UGA","@OIBR_UGA")</f>
        <v>@OIBR_UGA</v>
      </c>
      <c r="C1839" s="1" t="s">
        <v>8516</v>
      </c>
      <c r="D1839" s="1" t="s">
        <v>8517</v>
      </c>
      <c r="E1839" s="12" t="str">
        <f>HYPERLINK("https://twitter.com/OIBR_UGA/status/1217188601617735680","1217188601617735680")</f>
        <v>1217188601617735680</v>
      </c>
      <c r="F1839" s="13" t="s">
        <v>8518</v>
      </c>
      <c r="G1839" s="13" t="s">
        <v>8519</v>
      </c>
      <c r="H1839" s="14"/>
      <c r="I1839" s="15">
        <v>1.0</v>
      </c>
      <c r="J1839" s="15">
        <v>4.0</v>
      </c>
      <c r="K1839" s="12" t="str">
        <f t="shared" si="184"/>
        <v>Twitter Web App</v>
      </c>
      <c r="L1839" s="16">
        <v>119.0</v>
      </c>
      <c r="M1839" s="16">
        <v>107.0</v>
      </c>
      <c r="N1839" s="16">
        <v>0.0</v>
      </c>
      <c r="O1839" s="17"/>
      <c r="P1839" s="18">
        <v>41940.613958333335</v>
      </c>
      <c r="Q1839" s="1" t="s">
        <v>8520</v>
      </c>
      <c r="R1839" s="14"/>
      <c r="S1839" s="13" t="s">
        <v>8521</v>
      </c>
      <c r="T1839" s="14"/>
      <c r="U1839" s="19" t="str">
        <f>HYPERLINK("https://pbs.twimg.com/profile_images/848900021953060865/2yADWNO_.jpg","View")</f>
        <v>View</v>
      </c>
      <c r="V1839" s="14"/>
      <c r="W1839" s="14"/>
      <c r="X1839" s="14"/>
      <c r="Y1839" s="14"/>
      <c r="Z1839" s="14"/>
    </row>
    <row r="1840">
      <c r="A1840" s="11">
        <v>43844.66269675926</v>
      </c>
      <c r="B1840" s="12" t="str">
        <f>HYPERLINK("https://twitter.com/MRosengarten77","@MRosengarten77")</f>
        <v>@MRosengarten77</v>
      </c>
      <c r="C1840" s="1" t="s">
        <v>8522</v>
      </c>
      <c r="D1840" s="1" t="s">
        <v>8523</v>
      </c>
      <c r="E1840" s="12" t="str">
        <f>HYPERLINK("https://twitter.com/MRosengarten77/status/1217188205163880451","1217188205163880451")</f>
        <v>1217188205163880451</v>
      </c>
      <c r="F1840" s="13" t="s">
        <v>8524</v>
      </c>
      <c r="G1840" s="14"/>
      <c r="H1840" s="14"/>
      <c r="I1840" s="15">
        <v>0.0</v>
      </c>
      <c r="J1840" s="15">
        <v>0.0</v>
      </c>
      <c r="K1840" s="12" t="str">
        <f t="shared" si="184"/>
        <v>Twitter Web App</v>
      </c>
      <c r="L1840" s="16">
        <v>35.0</v>
      </c>
      <c r="M1840" s="16">
        <v>7.0</v>
      </c>
      <c r="N1840" s="16">
        <v>0.0</v>
      </c>
      <c r="O1840" s="17"/>
      <c r="P1840" s="18">
        <v>41959.41402777778</v>
      </c>
      <c r="Q1840" s="14"/>
      <c r="R1840" s="1" t="s">
        <v>8525</v>
      </c>
      <c r="S1840" s="14"/>
      <c r="T1840" s="14"/>
      <c r="U1840" s="19" t="str">
        <f>HYPERLINK("https://pbs.twimg.com/profile_images/941382595841060864/W1h6EJTt.jpg","View")</f>
        <v>View</v>
      </c>
      <c r="V1840" s="14"/>
      <c r="W1840" s="14"/>
      <c r="X1840" s="14"/>
      <c r="Y1840" s="14"/>
      <c r="Z1840" s="14"/>
    </row>
    <row r="1841">
      <c r="A1841" s="11">
        <v>43844.661516203705</v>
      </c>
      <c r="B1841" s="12" t="str">
        <f>HYPERLINK("https://twitter.com/jopackaj","@jopackaj")</f>
        <v>@jopackaj</v>
      </c>
      <c r="C1841" s="1" t="s">
        <v>8526</v>
      </c>
      <c r="D1841" s="1" t="s">
        <v>8527</v>
      </c>
      <c r="E1841" s="12" t="str">
        <f>HYPERLINK("https://twitter.com/jopackaj/status/1217187779840552963","1217187779840552963")</f>
        <v>1217187779840552963</v>
      </c>
      <c r="F1841" s="13" t="s">
        <v>8528</v>
      </c>
      <c r="G1841" s="14"/>
      <c r="H1841" s="14"/>
      <c r="I1841" s="15">
        <v>1.0</v>
      </c>
      <c r="J1841" s="15">
        <v>2.0</v>
      </c>
      <c r="K1841" s="12" t="str">
        <f t="shared" si="184"/>
        <v>Twitter Web App</v>
      </c>
      <c r="L1841" s="16">
        <v>2894.0</v>
      </c>
      <c r="M1841" s="16">
        <v>2707.0</v>
      </c>
      <c r="N1841" s="16">
        <v>107.0</v>
      </c>
      <c r="O1841" s="17"/>
      <c r="P1841" s="18">
        <v>41508.70390046296</v>
      </c>
      <c r="Q1841" s="1" t="s">
        <v>268</v>
      </c>
      <c r="R1841" s="1" t="s">
        <v>8529</v>
      </c>
      <c r="S1841" s="14"/>
      <c r="T1841" s="14"/>
      <c r="U1841" s="19" t="str">
        <f>HYPERLINK("https://pbs.twimg.com/profile_images/744451837118447617/7GMm831M.jpg","View")</f>
        <v>View</v>
      </c>
      <c r="V1841" s="14"/>
      <c r="W1841" s="14"/>
      <c r="X1841" s="14"/>
      <c r="Y1841" s="14"/>
      <c r="Z1841" s="14"/>
    </row>
    <row r="1842">
      <c r="A1842" s="11">
        <v>43844.66086805555</v>
      </c>
      <c r="B1842" s="12" t="str">
        <f>HYPERLINK("https://twitter.com/DrSimranRattan","@DrSimranRattan")</f>
        <v>@DrSimranRattan</v>
      </c>
      <c r="C1842" s="1" t="s">
        <v>8530</v>
      </c>
      <c r="D1842" s="1" t="s">
        <v>8531</v>
      </c>
      <c r="E1842" s="12" t="str">
        <f>HYPERLINK("https://twitter.com/DrSimranRattan/status/1217187544586211329","1217187544586211329")</f>
        <v>1217187544586211329</v>
      </c>
      <c r="F1842" s="13" t="s">
        <v>8532</v>
      </c>
      <c r="G1842" s="14"/>
      <c r="H1842" s="14"/>
      <c r="I1842" s="15">
        <v>2.0</v>
      </c>
      <c r="J1842" s="15">
        <v>1.0</v>
      </c>
      <c r="K1842" s="12" t="str">
        <f>HYPERLINK("http://twitter.com/download/iphone","Twitter for iPhone")</f>
        <v>Twitter for iPhone</v>
      </c>
      <c r="L1842" s="16">
        <v>241.0</v>
      </c>
      <c r="M1842" s="16">
        <v>187.0</v>
      </c>
      <c r="N1842" s="16">
        <v>2.0</v>
      </c>
      <c r="O1842" s="17"/>
      <c r="P1842" s="18">
        <v>42887.74122685185</v>
      </c>
      <c r="Q1842" s="1" t="s">
        <v>2904</v>
      </c>
      <c r="R1842" s="1" t="s">
        <v>8533</v>
      </c>
      <c r="S1842" s="13" t="s">
        <v>8534</v>
      </c>
      <c r="T1842" s="14"/>
      <c r="U1842" s="19" t="str">
        <f>HYPERLINK("https://pbs.twimg.com/profile_images/1140102362234871808/XGj-QS6L.jpg","View")</f>
        <v>View</v>
      </c>
      <c r="V1842" s="14"/>
      <c r="W1842" s="14"/>
      <c r="X1842" s="14"/>
      <c r="Y1842" s="14"/>
      <c r="Z1842" s="14"/>
    </row>
    <row r="1843">
      <c r="A1843" s="11">
        <v>43844.65827546296</v>
      </c>
      <c r="B1843" s="12" t="str">
        <f>HYPERLINK("https://twitter.com/Salimetrics","@Salimetrics")</f>
        <v>@Salimetrics</v>
      </c>
      <c r="C1843" s="1" t="s">
        <v>8535</v>
      </c>
      <c r="D1843" s="1" t="s">
        <v>8536</v>
      </c>
      <c r="E1843" s="12" t="str">
        <f>HYPERLINK("https://twitter.com/Salimetrics/status/1217186606022455296","1217186606022455296")</f>
        <v>1217186606022455296</v>
      </c>
      <c r="F1843" s="13" t="s">
        <v>8537</v>
      </c>
      <c r="G1843" s="14"/>
      <c r="H1843" s="14"/>
      <c r="I1843" s="15">
        <v>2.0</v>
      </c>
      <c r="J1843" s="15">
        <v>1.0</v>
      </c>
      <c r="K1843" s="12" t="str">
        <f>HYPERLINK("https://mobile.twitter.com","Twitter Web App")</f>
        <v>Twitter Web App</v>
      </c>
      <c r="L1843" s="16">
        <v>569.0</v>
      </c>
      <c r="M1843" s="16">
        <v>377.0</v>
      </c>
      <c r="N1843" s="16">
        <v>51.0</v>
      </c>
      <c r="O1843" s="17"/>
      <c r="P1843" s="18">
        <v>41018.29690972222</v>
      </c>
      <c r="Q1843" s="1" t="s">
        <v>8538</v>
      </c>
      <c r="R1843" s="1" t="s">
        <v>8539</v>
      </c>
      <c r="S1843" s="13" t="s">
        <v>8540</v>
      </c>
      <c r="T1843" s="14"/>
      <c r="U1843" s="19" t="str">
        <f>HYPERLINK("https://pbs.twimg.com/profile_images/2839631539/bff73d8854f646935c133c5e1bc516d6.jpeg","View")</f>
        <v>View</v>
      </c>
      <c r="V1843" s="14"/>
      <c r="W1843" s="14"/>
      <c r="X1843" s="14"/>
      <c r="Y1843" s="14"/>
      <c r="Z1843" s="14"/>
    </row>
    <row r="1844">
      <c r="A1844" s="11">
        <v>43844.65765046296</v>
      </c>
      <c r="B1844" s="12" t="str">
        <f>HYPERLINK("https://twitter.com/BrauerAus","@BrauerAus")</f>
        <v>@BrauerAus</v>
      </c>
      <c r="C1844" s="1" t="s">
        <v>6004</v>
      </c>
      <c r="D1844" s="1" t="s">
        <v>8541</v>
      </c>
      <c r="E1844" s="12" t="str">
        <f>HYPERLINK("https://twitter.com/BrauerAus/status/1217186376900337664","1217186376900337664")</f>
        <v>1217186376900337664</v>
      </c>
      <c r="F1844" s="13" t="s">
        <v>8542</v>
      </c>
      <c r="G1844" s="13" t="s">
        <v>8543</v>
      </c>
      <c r="H1844" s="14"/>
      <c r="I1844" s="15">
        <v>0.0</v>
      </c>
      <c r="J1844" s="15">
        <v>0.0</v>
      </c>
      <c r="K1844" s="12" t="str">
        <f>HYPERLINK("http://www.hubspot.com/","HubSpot")</f>
        <v>HubSpot</v>
      </c>
      <c r="L1844" s="16">
        <v>705.0</v>
      </c>
      <c r="M1844" s="16">
        <v>1001.0</v>
      </c>
      <c r="N1844" s="16">
        <v>126.0</v>
      </c>
      <c r="O1844" s="17"/>
      <c r="P1844" s="18">
        <v>40927.179444444446</v>
      </c>
      <c r="Q1844" s="1" t="s">
        <v>51</v>
      </c>
      <c r="R1844" s="1" t="s">
        <v>6008</v>
      </c>
      <c r="S1844" s="13" t="s">
        <v>6009</v>
      </c>
      <c r="T1844" s="14"/>
      <c r="U1844" s="19" t="str">
        <f>HYPERLINK("https://pbs.twimg.com/profile_images/1128462921661435904/YpJbR3vz.png","View")</f>
        <v>View</v>
      </c>
      <c r="V1844" s="14"/>
      <c r="W1844" s="14"/>
      <c r="X1844" s="14"/>
      <c r="Y1844" s="14"/>
      <c r="Z1844" s="14"/>
    </row>
    <row r="1845">
      <c r="A1845" s="11">
        <v>43844.657222222224</v>
      </c>
      <c r="B1845" s="12" t="str">
        <f>HYPERLINK("https://twitter.com/christineabela","@christineabela")</f>
        <v>@christineabela</v>
      </c>
      <c r="C1845" s="1" t="s">
        <v>8544</v>
      </c>
      <c r="D1845" s="1" t="s">
        <v>8545</v>
      </c>
      <c r="E1845" s="12" t="str">
        <f>HYPERLINK("https://twitter.com/christineabela/status/1217186221228744707","1217186221228744707")</f>
        <v>1217186221228744707</v>
      </c>
      <c r="F1845" s="13" t="s">
        <v>8546</v>
      </c>
      <c r="G1845" s="13" t="s">
        <v>8547</v>
      </c>
      <c r="H1845" s="14"/>
      <c r="I1845" s="15">
        <v>0.0</v>
      </c>
      <c r="J1845" s="15">
        <v>0.0</v>
      </c>
      <c r="K1845" s="12" t="str">
        <f>HYPERLINK("https://missinglettr.com","Missinglettr")</f>
        <v>Missinglettr</v>
      </c>
      <c r="L1845" s="16">
        <v>4374.0</v>
      </c>
      <c r="M1845" s="16">
        <v>4962.0</v>
      </c>
      <c r="N1845" s="16">
        <v>262.0</v>
      </c>
      <c r="O1845" s="17"/>
      <c r="P1845" s="18">
        <v>40195.727314814816</v>
      </c>
      <c r="Q1845" s="1" t="s">
        <v>8548</v>
      </c>
      <c r="R1845" s="1" t="s">
        <v>8549</v>
      </c>
      <c r="S1845" s="13" t="s">
        <v>8550</v>
      </c>
      <c r="T1845" s="14"/>
      <c r="U1845" s="19" t="str">
        <f>HYPERLINK("https://pbs.twimg.com/profile_images/938926326790148096/M01l_nhx.jpg","View")</f>
        <v>View</v>
      </c>
      <c r="V1845" s="14"/>
      <c r="W1845" s="14"/>
      <c r="X1845" s="14"/>
      <c r="Y1845" s="14"/>
      <c r="Z1845" s="14"/>
    </row>
    <row r="1846">
      <c r="A1846" s="11">
        <v>43844.653391203705</v>
      </c>
      <c r="B1846" s="12" t="str">
        <f>HYPERLINK("https://twitter.com/KBMCoaching","@KBMCoaching")</f>
        <v>@KBMCoaching</v>
      </c>
      <c r="C1846" s="1" t="s">
        <v>8551</v>
      </c>
      <c r="D1846" s="1" t="s">
        <v>8552</v>
      </c>
      <c r="E1846" s="12" t="str">
        <f>HYPERLINK("https://twitter.com/KBMCoaching/status/1217184836756168707","1217184836756168707")</f>
        <v>1217184836756168707</v>
      </c>
      <c r="F1846" s="13" t="s">
        <v>8553</v>
      </c>
      <c r="G1846" s="13" t="s">
        <v>8554</v>
      </c>
      <c r="H1846" s="14"/>
      <c r="I1846" s="15">
        <v>0.0</v>
      </c>
      <c r="J1846" s="15">
        <v>0.0</v>
      </c>
      <c r="K1846" s="12" t="str">
        <f>HYPERLINK("https://mobile.twitter.com","Twitter Web App")</f>
        <v>Twitter Web App</v>
      </c>
      <c r="L1846" s="16">
        <v>734.0</v>
      </c>
      <c r="M1846" s="16">
        <v>1127.0</v>
      </c>
      <c r="N1846" s="16">
        <v>73.0</v>
      </c>
      <c r="O1846" s="17"/>
      <c r="P1846" s="18">
        <v>41012.627164351856</v>
      </c>
      <c r="Q1846" s="1" t="s">
        <v>8555</v>
      </c>
      <c r="R1846" s="1" t="s">
        <v>8556</v>
      </c>
      <c r="S1846" s="13" t="s">
        <v>8557</v>
      </c>
      <c r="T1846" s="14"/>
      <c r="U1846" s="19" t="str">
        <f>HYPERLINK("https://pbs.twimg.com/profile_images/855129107020914688/zIgnZYY0.jpg","View")</f>
        <v>View</v>
      </c>
      <c r="V1846" s="14"/>
      <c r="W1846" s="14"/>
      <c r="X1846" s="14"/>
      <c r="Y1846" s="14"/>
      <c r="Z1846" s="14"/>
    </row>
    <row r="1847">
      <c r="A1847" s="11">
        <v>43844.65315972222</v>
      </c>
      <c r="B1847" s="12" t="str">
        <f>HYPERLINK("https://twitter.com/hanna_higher","@hanna_higher")</f>
        <v>@hanna_higher</v>
      </c>
      <c r="C1847" s="1" t="s">
        <v>4327</v>
      </c>
      <c r="D1847" s="1" t="s">
        <v>8558</v>
      </c>
      <c r="E1847" s="12" t="str">
        <f>HYPERLINK("https://twitter.com/hanna_higher/status/1217184751829864448","1217184751829864448")</f>
        <v>1217184751829864448</v>
      </c>
      <c r="F1847" s="13" t="s">
        <v>8559</v>
      </c>
      <c r="G1847" s="14"/>
      <c r="H1847" s="14"/>
      <c r="I1847" s="15">
        <v>0.0</v>
      </c>
      <c r="J1847" s="15">
        <v>2.0</v>
      </c>
      <c r="K1847" s="12" t="str">
        <f>HYPERLINK("https://coschedule.com","CoSchedule")</f>
        <v>CoSchedule</v>
      </c>
      <c r="L1847" s="16">
        <v>32623.0</v>
      </c>
      <c r="M1847" s="16">
        <v>22884.0</v>
      </c>
      <c r="N1847" s="16">
        <v>321.0</v>
      </c>
      <c r="O1847" s="17"/>
      <c r="P1847" s="18">
        <v>42464.42574074074</v>
      </c>
      <c r="Q1847" s="1" t="s">
        <v>1493</v>
      </c>
      <c r="R1847" s="1" t="s">
        <v>4330</v>
      </c>
      <c r="S1847" s="13" t="s">
        <v>4331</v>
      </c>
      <c r="T1847" s="14"/>
      <c r="U1847" s="19" t="str">
        <f>HYPERLINK("https://pbs.twimg.com/profile_images/1170703917379928066/9Wzw-O1O.jpg","View")</f>
        <v>View</v>
      </c>
      <c r="V1847" s="14"/>
      <c r="W1847" s="14"/>
      <c r="X1847" s="14"/>
      <c r="Y1847" s="14"/>
      <c r="Z1847" s="14"/>
    </row>
    <row r="1848">
      <c r="A1848" s="11">
        <v>43844.65314814815</v>
      </c>
      <c r="B1848" s="12" t="str">
        <f>HYPERLINK("https://twitter.com/Dayrizzy1","@Dayrizzy1")</f>
        <v>@Dayrizzy1</v>
      </c>
      <c r="C1848" s="1" t="s">
        <v>8560</v>
      </c>
      <c r="D1848" s="1" t="s">
        <v>8561</v>
      </c>
      <c r="E1848" s="12" t="str">
        <f>HYPERLINK("https://twitter.com/Dayrizzy1/status/1217184744858947589","1217184744858947589")</f>
        <v>1217184744858947589</v>
      </c>
      <c r="F1848" s="14"/>
      <c r="G1848" s="14"/>
      <c r="H1848" s="14"/>
      <c r="I1848" s="15">
        <v>0.0</v>
      </c>
      <c r="J1848" s="15">
        <v>1.0</v>
      </c>
      <c r="K1848" s="12" t="str">
        <f t="shared" ref="K1848:K1849" si="185">HYPERLINK("http://twitter.com/download/iphone","Twitter for iPhone")</f>
        <v>Twitter for iPhone</v>
      </c>
      <c r="L1848" s="16">
        <v>25.0</v>
      </c>
      <c r="M1848" s="16">
        <v>60.0</v>
      </c>
      <c r="N1848" s="16">
        <v>0.0</v>
      </c>
      <c r="O1848" s="17"/>
      <c r="P1848" s="18">
        <v>43807.77034722222</v>
      </c>
      <c r="Q1848" s="1" t="s">
        <v>3209</v>
      </c>
      <c r="R1848" s="1" t="s">
        <v>8562</v>
      </c>
      <c r="S1848" s="13" t="s">
        <v>8563</v>
      </c>
      <c r="T1848" s="14"/>
      <c r="U1848" s="19" t="str">
        <f>HYPERLINK("https://pbs.twimg.com/profile_images/1204956991690547202/-8o8zMXp.jpg","View")</f>
        <v>View</v>
      </c>
      <c r="V1848" s="14"/>
      <c r="W1848" s="14"/>
      <c r="X1848" s="14"/>
      <c r="Y1848" s="14"/>
      <c r="Z1848" s="14"/>
    </row>
    <row r="1849">
      <c r="A1849" s="11">
        <v>43844.64974537037</v>
      </c>
      <c r="B1849" s="12" t="str">
        <f>HYPERLINK("https://twitter.com/imocharity","@imocharity")</f>
        <v>@imocharity</v>
      </c>
      <c r="C1849" s="1" t="s">
        <v>8564</v>
      </c>
      <c r="D1849" s="1" t="s">
        <v>8565</v>
      </c>
      <c r="E1849" s="12" t="str">
        <f>HYPERLINK("https://twitter.com/imocharity/status/1217183512144613378","1217183512144613378")</f>
        <v>1217183512144613378</v>
      </c>
      <c r="F1849" s="14"/>
      <c r="G1849" s="13" t="s">
        <v>8566</v>
      </c>
      <c r="H1849" s="14"/>
      <c r="I1849" s="15">
        <v>0.0</v>
      </c>
      <c r="J1849" s="15">
        <v>2.0</v>
      </c>
      <c r="K1849" s="12" t="str">
        <f t="shared" si="185"/>
        <v>Twitter for iPhone</v>
      </c>
      <c r="L1849" s="16">
        <v>1491.0</v>
      </c>
      <c r="M1849" s="16">
        <v>7.0</v>
      </c>
      <c r="N1849" s="16">
        <v>8.0</v>
      </c>
      <c r="O1849" s="17"/>
      <c r="P1849" s="18">
        <v>41145.158055555556</v>
      </c>
      <c r="Q1849" s="1" t="s">
        <v>8567</v>
      </c>
      <c r="R1849" s="1" t="s">
        <v>8568</v>
      </c>
      <c r="S1849" s="13" t="s">
        <v>8569</v>
      </c>
      <c r="T1849" s="14"/>
      <c r="U1849" s="19" t="str">
        <f>HYPERLINK("https://pbs.twimg.com/profile_images/1118109598068637697/3giOtXoC.jpg","View")</f>
        <v>View</v>
      </c>
      <c r="V1849" s="14"/>
      <c r="W1849" s="14"/>
      <c r="X1849" s="14"/>
      <c r="Y1849" s="14"/>
      <c r="Z1849" s="14"/>
    </row>
    <row r="1850">
      <c r="A1850" s="11">
        <v>43844.64671296296</v>
      </c>
      <c r="B1850" s="12" t="str">
        <f>HYPERLINK("https://twitter.com/HotFlashNetwork","@HotFlashNetwork")</f>
        <v>@HotFlashNetwork</v>
      </c>
      <c r="C1850" s="1" t="s">
        <v>8570</v>
      </c>
      <c r="D1850" s="1" t="s">
        <v>8571</v>
      </c>
      <c r="E1850" s="12" t="str">
        <f>HYPERLINK("https://twitter.com/HotFlashNetwork/status/1217182414562385920","1217182414562385920")</f>
        <v>1217182414562385920</v>
      </c>
      <c r="F1850" s="13" t="s">
        <v>8572</v>
      </c>
      <c r="G1850" s="14"/>
      <c r="H1850" s="14"/>
      <c r="I1850" s="15">
        <v>0.0</v>
      </c>
      <c r="J1850" s="15">
        <v>0.0</v>
      </c>
      <c r="K1850" s="12" t="str">
        <f>HYPERLINK("http://twitter.com","Twitter Web Client")</f>
        <v>Twitter Web Client</v>
      </c>
      <c r="L1850" s="16">
        <v>1226.0</v>
      </c>
      <c r="M1850" s="16">
        <v>556.0</v>
      </c>
      <c r="N1850" s="16">
        <v>36.0</v>
      </c>
      <c r="O1850" s="17"/>
      <c r="P1850" s="18">
        <v>40933.64300925926</v>
      </c>
      <c r="Q1850" s="1" t="s">
        <v>8573</v>
      </c>
      <c r="R1850" s="1" t="s">
        <v>8574</v>
      </c>
      <c r="S1850" s="13" t="s">
        <v>8575</v>
      </c>
      <c r="T1850" s="14"/>
      <c r="U1850" s="19" t="str">
        <f>HYPERLINK("https://pbs.twimg.com/profile_images/1781039286/7_round-bold-small.png","View")</f>
        <v>View</v>
      </c>
      <c r="V1850" s="14"/>
      <c r="W1850" s="14"/>
      <c r="X1850" s="14"/>
      <c r="Y1850" s="14"/>
      <c r="Z1850" s="14"/>
    </row>
    <row r="1851">
      <c r="A1851" s="11">
        <v>43844.64494212963</v>
      </c>
      <c r="B1851" s="12" t="str">
        <f>HYPERLINK("https://twitter.com/bmopstudios","@bmopstudios")</f>
        <v>@bmopstudios</v>
      </c>
      <c r="C1851" s="1" t="s">
        <v>6414</v>
      </c>
      <c r="D1851" s="1" t="s">
        <v>8576</v>
      </c>
      <c r="E1851" s="12" t="str">
        <f>HYPERLINK("https://twitter.com/bmopstudios/status/1217181773299429376","1217181773299429376")</f>
        <v>1217181773299429376</v>
      </c>
      <c r="F1851" s="13" t="s">
        <v>8577</v>
      </c>
      <c r="G1851" s="13" t="s">
        <v>8578</v>
      </c>
      <c r="H1851" s="14"/>
      <c r="I1851" s="15">
        <v>0.0</v>
      </c>
      <c r="J1851" s="15">
        <v>0.0</v>
      </c>
      <c r="K1851" s="12" t="str">
        <f t="shared" ref="K1851:K1855" si="186">HYPERLINK("https://mobile.twitter.com","Twitter Web App")</f>
        <v>Twitter Web App</v>
      </c>
      <c r="L1851" s="16">
        <v>557.0</v>
      </c>
      <c r="M1851" s="16">
        <v>59.0</v>
      </c>
      <c r="N1851" s="16">
        <v>0.0</v>
      </c>
      <c r="O1851" s="17"/>
      <c r="P1851" s="18">
        <v>42814.70313657407</v>
      </c>
      <c r="Q1851" s="1" t="s">
        <v>6418</v>
      </c>
      <c r="R1851" s="1" t="s">
        <v>6419</v>
      </c>
      <c r="S1851" s="13" t="s">
        <v>6420</v>
      </c>
      <c r="T1851" s="14"/>
      <c r="U1851" s="19" t="str">
        <f>HYPERLINK("https://pbs.twimg.com/profile_images/1177651797797806080/JFwm0DKH.jpg","View")</f>
        <v>View</v>
      </c>
      <c r="V1851" s="14"/>
      <c r="W1851" s="14"/>
      <c r="X1851" s="14"/>
      <c r="Y1851" s="14"/>
      <c r="Z1851" s="14"/>
    </row>
    <row r="1852">
      <c r="A1852" s="11">
        <v>43844.64236111111</v>
      </c>
      <c r="B1852" s="12" t="str">
        <f t="shared" ref="B1852:B1855" si="187">HYPERLINK("https://twitter.com/LivProduct","@LivProduct")</f>
        <v>@LivProduct</v>
      </c>
      <c r="C1852" s="1" t="s">
        <v>8579</v>
      </c>
      <c r="D1852" s="1" t="s">
        <v>8580</v>
      </c>
      <c r="E1852" s="12" t="str">
        <f>HYPERLINK("https://twitter.com/LivProduct/status/1217180836812009474","1217180836812009474")</f>
        <v>1217180836812009474</v>
      </c>
      <c r="F1852" s="13" t="s">
        <v>8581</v>
      </c>
      <c r="G1852" s="13" t="s">
        <v>8582</v>
      </c>
      <c r="H1852" s="14"/>
      <c r="I1852" s="15">
        <v>0.0</v>
      </c>
      <c r="J1852" s="15">
        <v>0.0</v>
      </c>
      <c r="K1852" s="12" t="str">
        <f t="shared" si="186"/>
        <v>Twitter Web App</v>
      </c>
      <c r="L1852" s="16">
        <v>0.0</v>
      </c>
      <c r="M1852" s="16">
        <v>0.0</v>
      </c>
      <c r="N1852" s="16">
        <v>0.0</v>
      </c>
      <c r="O1852" s="17"/>
      <c r="P1852" s="18">
        <v>41901.448379629626</v>
      </c>
      <c r="Q1852" s="14"/>
      <c r="R1852" s="1" t="s">
        <v>8583</v>
      </c>
      <c r="S1852" s="13" t="s">
        <v>8581</v>
      </c>
      <c r="T1852" s="14"/>
      <c r="U1852" s="19" t="str">
        <f t="shared" ref="U1852:U1855" si="188">HYPERLINK("https://pbs.twimg.com/profile_images/512976349690990594/QpnjJIG1.png","View")</f>
        <v>View</v>
      </c>
      <c r="V1852" s="14"/>
      <c r="W1852" s="14"/>
      <c r="X1852" s="14"/>
      <c r="Y1852" s="14"/>
      <c r="Z1852" s="14"/>
    </row>
    <row r="1853">
      <c r="A1853" s="11">
        <v>43844.64138888889</v>
      </c>
      <c r="B1853" s="12" t="str">
        <f t="shared" si="187"/>
        <v>@LivProduct</v>
      </c>
      <c r="C1853" s="1" t="s">
        <v>8579</v>
      </c>
      <c r="D1853" s="1" t="s">
        <v>8584</v>
      </c>
      <c r="E1853" s="12" t="str">
        <f>HYPERLINK("https://twitter.com/LivProduct/status/1217180485178265602","1217180485178265602")</f>
        <v>1217180485178265602</v>
      </c>
      <c r="F1853" s="13" t="s">
        <v>8581</v>
      </c>
      <c r="G1853" s="13" t="s">
        <v>8585</v>
      </c>
      <c r="H1853" s="14"/>
      <c r="I1853" s="15">
        <v>0.0</v>
      </c>
      <c r="J1853" s="15">
        <v>0.0</v>
      </c>
      <c r="K1853" s="12" t="str">
        <f t="shared" si="186"/>
        <v>Twitter Web App</v>
      </c>
      <c r="L1853" s="16">
        <v>0.0</v>
      </c>
      <c r="M1853" s="16">
        <v>0.0</v>
      </c>
      <c r="N1853" s="16">
        <v>0.0</v>
      </c>
      <c r="O1853" s="17"/>
      <c r="P1853" s="18">
        <v>41901.448379629626</v>
      </c>
      <c r="Q1853" s="14"/>
      <c r="R1853" s="1" t="s">
        <v>8583</v>
      </c>
      <c r="S1853" s="13" t="s">
        <v>8581</v>
      </c>
      <c r="T1853" s="14"/>
      <c r="U1853" s="19" t="str">
        <f t="shared" si="188"/>
        <v>View</v>
      </c>
      <c r="V1853" s="14"/>
      <c r="W1853" s="14"/>
      <c r="X1853" s="14"/>
      <c r="Y1853" s="14"/>
      <c r="Z1853" s="14"/>
    </row>
    <row r="1854">
      <c r="A1854" s="11">
        <v>43844.64067129629</v>
      </c>
      <c r="B1854" s="12" t="str">
        <f t="shared" si="187"/>
        <v>@LivProduct</v>
      </c>
      <c r="C1854" s="1" t="s">
        <v>8579</v>
      </c>
      <c r="D1854" s="1" t="s">
        <v>8586</v>
      </c>
      <c r="E1854" s="12" t="str">
        <f>HYPERLINK("https://twitter.com/LivProduct/status/1217180225915760640","1217180225915760640")</f>
        <v>1217180225915760640</v>
      </c>
      <c r="F1854" s="13" t="s">
        <v>8581</v>
      </c>
      <c r="G1854" s="13" t="s">
        <v>8587</v>
      </c>
      <c r="H1854" s="14"/>
      <c r="I1854" s="15">
        <v>1.0</v>
      </c>
      <c r="J1854" s="15">
        <v>0.0</v>
      </c>
      <c r="K1854" s="12" t="str">
        <f t="shared" si="186"/>
        <v>Twitter Web App</v>
      </c>
      <c r="L1854" s="16">
        <v>0.0</v>
      </c>
      <c r="M1854" s="16">
        <v>0.0</v>
      </c>
      <c r="N1854" s="16">
        <v>0.0</v>
      </c>
      <c r="O1854" s="17"/>
      <c r="P1854" s="18">
        <v>41901.448379629626</v>
      </c>
      <c r="Q1854" s="14"/>
      <c r="R1854" s="1" t="s">
        <v>8583</v>
      </c>
      <c r="S1854" s="13" t="s">
        <v>8581</v>
      </c>
      <c r="T1854" s="14"/>
      <c r="U1854" s="19" t="str">
        <f t="shared" si="188"/>
        <v>View</v>
      </c>
      <c r="V1854" s="14"/>
      <c r="W1854" s="14"/>
      <c r="X1854" s="14"/>
      <c r="Y1854" s="14"/>
      <c r="Z1854" s="14"/>
    </row>
    <row r="1855">
      <c r="A1855" s="11">
        <v>43844.63931712963</v>
      </c>
      <c r="B1855" s="12" t="str">
        <f t="shared" si="187"/>
        <v>@LivProduct</v>
      </c>
      <c r="C1855" s="1" t="s">
        <v>8579</v>
      </c>
      <c r="D1855" s="1" t="s">
        <v>8588</v>
      </c>
      <c r="E1855" s="12" t="str">
        <f>HYPERLINK("https://twitter.com/LivProduct/status/1217179735488376832","1217179735488376832")</f>
        <v>1217179735488376832</v>
      </c>
      <c r="F1855" s="14"/>
      <c r="G1855" s="13" t="s">
        <v>8589</v>
      </c>
      <c r="H1855" s="14"/>
      <c r="I1855" s="15">
        <v>0.0</v>
      </c>
      <c r="J1855" s="15">
        <v>0.0</v>
      </c>
      <c r="K1855" s="12" t="str">
        <f t="shared" si="186"/>
        <v>Twitter Web App</v>
      </c>
      <c r="L1855" s="16">
        <v>0.0</v>
      </c>
      <c r="M1855" s="16">
        <v>0.0</v>
      </c>
      <c r="N1855" s="16">
        <v>0.0</v>
      </c>
      <c r="O1855" s="17"/>
      <c r="P1855" s="18">
        <v>41901.448379629626</v>
      </c>
      <c r="Q1855" s="14"/>
      <c r="R1855" s="1" t="s">
        <v>8583</v>
      </c>
      <c r="S1855" s="13" t="s">
        <v>8581</v>
      </c>
      <c r="T1855" s="14"/>
      <c r="U1855" s="19" t="str">
        <f t="shared" si="188"/>
        <v>View</v>
      </c>
      <c r="V1855" s="14"/>
      <c r="W1855" s="14"/>
      <c r="X1855" s="14"/>
      <c r="Y1855" s="14"/>
      <c r="Z1855" s="14"/>
    </row>
    <row r="1856">
      <c r="A1856" s="11">
        <v>43844.63474537037</v>
      </c>
      <c r="B1856" s="12" t="str">
        <f>HYPERLINK("https://twitter.com/getdisc_","@getdisc_")</f>
        <v>@getdisc_</v>
      </c>
      <c r="C1856" s="1" t="s">
        <v>8590</v>
      </c>
      <c r="D1856" s="1" t="s">
        <v>8591</v>
      </c>
      <c r="E1856" s="12" t="str">
        <f>HYPERLINK("https://twitter.com/getdisc_/status/1217178077043793920","1217178077043793920")</f>
        <v>1217178077043793920</v>
      </c>
      <c r="F1856" s="13" t="s">
        <v>8592</v>
      </c>
      <c r="G1856" s="13" t="s">
        <v>8593</v>
      </c>
      <c r="H1856" s="14"/>
      <c r="I1856" s="15">
        <v>1.0</v>
      </c>
      <c r="J1856" s="15">
        <v>2.0</v>
      </c>
      <c r="K1856" s="12" t="str">
        <f>HYPERLINK("https://sproutsocial.com","Sprout Social")</f>
        <v>Sprout Social</v>
      </c>
      <c r="L1856" s="16">
        <v>7.0</v>
      </c>
      <c r="M1856" s="16">
        <v>82.0</v>
      </c>
      <c r="N1856" s="16">
        <v>0.0</v>
      </c>
      <c r="O1856" s="17"/>
      <c r="P1856" s="18">
        <v>43717.89982638889</v>
      </c>
      <c r="Q1856" s="1" t="s">
        <v>8594</v>
      </c>
      <c r="R1856" s="1" t="s">
        <v>8595</v>
      </c>
      <c r="S1856" s="13" t="s">
        <v>8596</v>
      </c>
      <c r="T1856" s="14"/>
      <c r="U1856" s="19" t="str">
        <f>HYPERLINK("https://pbs.twimg.com/profile_images/1182709649285533696/3QdCrQSp.jpg","View")</f>
        <v>View</v>
      </c>
      <c r="V1856" s="14"/>
      <c r="W1856" s="14"/>
      <c r="X1856" s="14"/>
      <c r="Y1856" s="14"/>
      <c r="Z1856" s="14"/>
    </row>
    <row r="1857">
      <c r="A1857" s="11">
        <v>43844.63402777778</v>
      </c>
      <c r="B1857" s="12" t="str">
        <f>HYPERLINK("https://twitter.com/GSC_1957","@GSC_1957")</f>
        <v>@GSC_1957</v>
      </c>
      <c r="C1857" s="1" t="s">
        <v>8597</v>
      </c>
      <c r="D1857" s="1" t="s">
        <v>8598</v>
      </c>
      <c r="E1857" s="12" t="str">
        <f>HYPERLINK("https://twitter.com/GSC_1957/status/1217177816795504640","1217177816795504640")</f>
        <v>1217177816795504640</v>
      </c>
      <c r="F1857" s="13" t="s">
        <v>8599</v>
      </c>
      <c r="G1857" s="13" t="s">
        <v>8600</v>
      </c>
      <c r="H1857" s="14"/>
      <c r="I1857" s="15">
        <v>1.0</v>
      </c>
      <c r="J1857" s="15">
        <v>0.0</v>
      </c>
      <c r="K1857" s="12" t="str">
        <f t="shared" ref="K1857:K1858" si="189">HYPERLINK("https://about.twitter.com/products/tweetdeck","TweetDeck")</f>
        <v>TweetDeck</v>
      </c>
      <c r="L1857" s="16">
        <v>2324.0</v>
      </c>
      <c r="M1857" s="16">
        <v>1673.0</v>
      </c>
      <c r="N1857" s="16">
        <v>34.0</v>
      </c>
      <c r="O1857" s="17"/>
      <c r="P1857" s="18">
        <v>40969.39366898148</v>
      </c>
      <c r="Q1857" s="1" t="s">
        <v>143</v>
      </c>
      <c r="R1857" s="1" t="s">
        <v>8601</v>
      </c>
      <c r="S1857" s="13" t="s">
        <v>8602</v>
      </c>
      <c r="T1857" s="14"/>
      <c r="U1857" s="19" t="str">
        <f>HYPERLINK("https://pbs.twimg.com/profile_images/1012000275366678528/evSivpU6.jpg","View")</f>
        <v>View</v>
      </c>
      <c r="V1857" s="14"/>
      <c r="W1857" s="14"/>
      <c r="X1857" s="14"/>
      <c r="Y1857" s="14"/>
      <c r="Z1857" s="14"/>
    </row>
    <row r="1858">
      <c r="A1858" s="11">
        <v>43844.632638888885</v>
      </c>
      <c r="B1858" s="12" t="str">
        <f>HYPERLINK("https://twitter.com/ECDOH","@ECDOH")</f>
        <v>@ECDOH</v>
      </c>
      <c r="C1858" s="1" t="s">
        <v>8603</v>
      </c>
      <c r="D1858" s="1" t="s">
        <v>8604</v>
      </c>
      <c r="E1858" s="12" t="str">
        <f>HYPERLINK("https://twitter.com/ECDOH/status/1217177313273511936","1217177313273511936")</f>
        <v>1217177313273511936</v>
      </c>
      <c r="F1858" s="13" t="s">
        <v>8605</v>
      </c>
      <c r="G1858" s="14"/>
      <c r="H1858" s="14"/>
      <c r="I1858" s="15">
        <v>0.0</v>
      </c>
      <c r="J1858" s="15">
        <v>1.0</v>
      </c>
      <c r="K1858" s="12" t="str">
        <f t="shared" si="189"/>
        <v>TweetDeck</v>
      </c>
      <c r="L1858" s="16">
        <v>4441.0</v>
      </c>
      <c r="M1858" s="16">
        <v>1285.0</v>
      </c>
      <c r="N1858" s="16">
        <v>128.0</v>
      </c>
      <c r="O1858" s="17"/>
      <c r="P1858" s="18">
        <v>41018.35204861111</v>
      </c>
      <c r="Q1858" s="1" t="s">
        <v>8606</v>
      </c>
      <c r="R1858" s="1" t="s">
        <v>8607</v>
      </c>
      <c r="S1858" s="13" t="s">
        <v>8608</v>
      </c>
      <c r="T1858" s="14"/>
      <c r="U1858" s="19" t="str">
        <f>HYPERLINK("https://pbs.twimg.com/profile_images/982354123180789760/j5WIEY6K.jpg","View")</f>
        <v>View</v>
      </c>
      <c r="V1858" s="14"/>
      <c r="W1858" s="14"/>
      <c r="X1858" s="14"/>
      <c r="Y1858" s="14"/>
      <c r="Z1858" s="14"/>
    </row>
    <row r="1859">
      <c r="A1859" s="11">
        <v>43844.629432870366</v>
      </c>
      <c r="B1859" s="12" t="str">
        <f>HYPERLINK("https://twitter.com/depressionbabes","@depressionbabes")</f>
        <v>@depressionbabes</v>
      </c>
      <c r="C1859" s="1" t="s">
        <v>8609</v>
      </c>
      <c r="D1859" s="1" t="s">
        <v>8610</v>
      </c>
      <c r="E1859" s="12" t="str">
        <f>HYPERLINK("https://twitter.com/depressionbabes/status/1217176151648559104","1217176151648559104")</f>
        <v>1217176151648559104</v>
      </c>
      <c r="F1859" s="14"/>
      <c r="G1859" s="14"/>
      <c r="H1859" s="14"/>
      <c r="I1859" s="15">
        <v>0.0</v>
      </c>
      <c r="J1859" s="15">
        <v>3.0</v>
      </c>
      <c r="K1859" s="12" t="str">
        <f>HYPERLINK("http://twitter.com/download/iphone","Twitter for iPhone")</f>
        <v>Twitter for iPhone</v>
      </c>
      <c r="L1859" s="16">
        <v>5.0</v>
      </c>
      <c r="M1859" s="16">
        <v>51.0</v>
      </c>
      <c r="N1859" s="16">
        <v>0.0</v>
      </c>
      <c r="O1859" s="17"/>
      <c r="P1859" s="18">
        <v>43598.556550925925</v>
      </c>
      <c r="Q1859" s="14"/>
      <c r="R1859" s="1" t="s">
        <v>8611</v>
      </c>
      <c r="S1859" s="14"/>
      <c r="T1859" s="14"/>
      <c r="U1859" s="19" t="str">
        <f>HYPERLINK("https://pbs.twimg.com/profile_images/1217174458080940032/PK65odau.jpg","View")</f>
        <v>View</v>
      </c>
      <c r="V1859" s="14"/>
      <c r="W1859" s="14"/>
      <c r="X1859" s="14"/>
      <c r="Y1859" s="14"/>
      <c r="Z1859" s="14"/>
    </row>
    <row r="1860">
      <c r="A1860" s="11">
        <v>43844.628854166665</v>
      </c>
      <c r="B1860" s="12" t="str">
        <f>HYPERLINK("https://twitter.com/GleeYoga","@GleeYoga")</f>
        <v>@GleeYoga</v>
      </c>
      <c r="C1860" s="1" t="s">
        <v>4351</v>
      </c>
      <c r="D1860" s="1" t="s">
        <v>8612</v>
      </c>
      <c r="E1860" s="12" t="str">
        <f>HYPERLINK("https://twitter.com/GleeYoga/status/1217175942054871040","1217175942054871040")</f>
        <v>1217175942054871040</v>
      </c>
      <c r="F1860" s="13" t="s">
        <v>8613</v>
      </c>
      <c r="G1860" s="13" t="s">
        <v>8614</v>
      </c>
      <c r="H1860" s="14"/>
      <c r="I1860" s="15">
        <v>0.0</v>
      </c>
      <c r="J1860" s="15">
        <v>0.0</v>
      </c>
      <c r="K1860" s="12" t="str">
        <f>HYPERLINK("https://dlvrit.com/","dlvr.it")</f>
        <v>dlvr.it</v>
      </c>
      <c r="L1860" s="16">
        <v>1551.0</v>
      </c>
      <c r="M1860" s="16">
        <v>24.0</v>
      </c>
      <c r="N1860" s="16">
        <v>126.0</v>
      </c>
      <c r="O1860" s="17"/>
      <c r="P1860" s="18">
        <v>42505.1422337963</v>
      </c>
      <c r="Q1860" s="1" t="s">
        <v>928</v>
      </c>
      <c r="R1860" s="1" t="s">
        <v>4355</v>
      </c>
      <c r="S1860" s="13" t="s">
        <v>4356</v>
      </c>
      <c r="T1860" s="14"/>
      <c r="U1860" s="19" t="str">
        <f>HYPERLINK("https://pbs.twimg.com/profile_images/731750901778513921/mHNyQ2EL.jpg","View")</f>
        <v>View</v>
      </c>
      <c r="V1860" s="14"/>
      <c r="W1860" s="14"/>
      <c r="X1860" s="14"/>
      <c r="Y1860" s="14"/>
      <c r="Z1860" s="14"/>
    </row>
    <row r="1861">
      <c r="A1861" s="11">
        <v>43844.627789351856</v>
      </c>
      <c r="B1861" s="12" t="str">
        <f>HYPERLINK("https://twitter.com/medpagetoday","@medpagetoday")</f>
        <v>@medpagetoday</v>
      </c>
      <c r="C1861" s="1" t="s">
        <v>8615</v>
      </c>
      <c r="D1861" s="1" t="s">
        <v>8240</v>
      </c>
      <c r="E1861" s="12" t="str">
        <f>HYPERLINK("https://twitter.com/medpagetoday/status/1217175558120931328","1217175558120931328")</f>
        <v>1217175558120931328</v>
      </c>
      <c r="F1861" s="13" t="s">
        <v>8241</v>
      </c>
      <c r="G1861" s="14"/>
      <c r="H1861" s="14"/>
      <c r="I1861" s="15">
        <v>1.0</v>
      </c>
      <c r="J1861" s="15">
        <v>3.0</v>
      </c>
      <c r="K1861" s="12" t="str">
        <f t="shared" ref="K1861:K1862" si="190">HYPERLINK("https://sproutsocial.com","Sprout Social")</f>
        <v>Sprout Social</v>
      </c>
      <c r="L1861" s="16">
        <v>66675.0</v>
      </c>
      <c r="M1861" s="16">
        <v>6256.0</v>
      </c>
      <c r="N1861" s="16">
        <v>1965.0</v>
      </c>
      <c r="O1861" s="20" t="s">
        <v>38</v>
      </c>
      <c r="P1861" s="18">
        <v>39772.30143518519</v>
      </c>
      <c r="Q1861" s="1" t="s">
        <v>809</v>
      </c>
      <c r="R1861" s="1" t="s">
        <v>8616</v>
      </c>
      <c r="S1861" s="13" t="s">
        <v>8617</v>
      </c>
      <c r="T1861" s="14"/>
      <c r="U1861" s="19" t="str">
        <f>HYPERLINK("https://pbs.twimg.com/profile_images/562349842358218754/gjagNG72.png","View")</f>
        <v>View</v>
      </c>
      <c r="V1861" s="14"/>
      <c r="W1861" s="14"/>
      <c r="X1861" s="14"/>
      <c r="Y1861" s="14"/>
      <c r="Z1861" s="14"/>
    </row>
    <row r="1862">
      <c r="A1862" s="11">
        <v>43844.627789351856</v>
      </c>
      <c r="B1862" s="12" t="str">
        <f>HYPERLINK("https://twitter.com/MedPagePsych","@MedPagePsych")</f>
        <v>@MedPagePsych</v>
      </c>
      <c r="C1862" s="1" t="s">
        <v>8618</v>
      </c>
      <c r="D1862" s="1" t="s">
        <v>8240</v>
      </c>
      <c r="E1862" s="12" t="str">
        <f>HYPERLINK("https://twitter.com/MedPagePsych/status/1217175557475094529","1217175557475094529")</f>
        <v>1217175557475094529</v>
      </c>
      <c r="F1862" s="13" t="s">
        <v>8241</v>
      </c>
      <c r="G1862" s="14"/>
      <c r="H1862" s="14"/>
      <c r="I1862" s="15">
        <v>7.0</v>
      </c>
      <c r="J1862" s="15">
        <v>6.0</v>
      </c>
      <c r="K1862" s="12" t="str">
        <f t="shared" si="190"/>
        <v>Sprout Social</v>
      </c>
      <c r="L1862" s="16">
        <v>259.0</v>
      </c>
      <c r="M1862" s="16">
        <v>36.0</v>
      </c>
      <c r="N1862" s="16">
        <v>3.0</v>
      </c>
      <c r="O1862" s="17"/>
      <c r="P1862" s="18">
        <v>43496.54364583333</v>
      </c>
      <c r="Q1862" s="1" t="s">
        <v>809</v>
      </c>
      <c r="R1862" s="1" t="s">
        <v>8619</v>
      </c>
      <c r="S1862" s="14"/>
      <c r="T1862" s="14"/>
      <c r="U1862" s="19" t="str">
        <f>HYPERLINK("https://pbs.twimg.com/profile_images/1125500871276748801/PyTpDaa3.jpg","View")</f>
        <v>View</v>
      </c>
      <c r="V1862" s="14"/>
      <c r="W1862" s="14"/>
      <c r="X1862" s="14"/>
      <c r="Y1862" s="14"/>
      <c r="Z1862" s="14"/>
    </row>
    <row r="1863">
      <c r="A1863" s="11">
        <v>43844.626018518524</v>
      </c>
      <c r="B1863" s="12" t="str">
        <f>HYPERLINK("https://twitter.com/kathrynguylay","@kathrynguylay")</f>
        <v>@kathrynguylay</v>
      </c>
      <c r="C1863" s="1" t="s">
        <v>1569</v>
      </c>
      <c r="D1863" s="1" t="s">
        <v>8620</v>
      </c>
      <c r="E1863" s="12" t="str">
        <f>HYPERLINK("https://twitter.com/kathrynguylay/status/1217174916325421057","1217174916325421057")</f>
        <v>1217174916325421057</v>
      </c>
      <c r="F1863" s="13" t="s">
        <v>8621</v>
      </c>
      <c r="G1863" s="13" t="s">
        <v>8622</v>
      </c>
      <c r="H1863" s="14"/>
      <c r="I1863" s="15">
        <v>0.0</v>
      </c>
      <c r="J1863" s="15">
        <v>0.0</v>
      </c>
      <c r="K1863" s="12" t="str">
        <f>HYPERLINK("https://www.socialjukebox.com","The Social Jukebox")</f>
        <v>The Social Jukebox</v>
      </c>
      <c r="L1863" s="16">
        <v>9650.0</v>
      </c>
      <c r="M1863" s="16">
        <v>9025.0</v>
      </c>
      <c r="N1863" s="16">
        <v>202.0</v>
      </c>
      <c r="O1863" s="17"/>
      <c r="P1863" s="18">
        <v>42027.73943287037</v>
      </c>
      <c r="Q1863" s="1" t="s">
        <v>1573</v>
      </c>
      <c r="R1863" s="1" t="s">
        <v>1574</v>
      </c>
      <c r="S1863" s="13" t="s">
        <v>1575</v>
      </c>
      <c r="T1863" s="14"/>
      <c r="U1863" s="19" t="str">
        <f>HYPERLINK("https://pbs.twimg.com/profile_images/1202621038959267840/sUkTc3IJ.jpg","View")</f>
        <v>View</v>
      </c>
      <c r="V1863" s="14"/>
      <c r="W1863" s="14"/>
      <c r="X1863" s="14"/>
      <c r="Y1863" s="14"/>
      <c r="Z1863" s="14"/>
    </row>
    <row r="1864">
      <c r="A1864" s="11">
        <v>43844.62568287037</v>
      </c>
      <c r="B1864" s="12" t="str">
        <f>HYPERLINK("https://twitter.com/AndrewStenhouse","@AndrewStenhouse")</f>
        <v>@AndrewStenhouse</v>
      </c>
      <c r="C1864" s="1" t="s">
        <v>8623</v>
      </c>
      <c r="D1864" s="1" t="s">
        <v>8624</v>
      </c>
      <c r="E1864" s="12" t="str">
        <f>HYPERLINK("https://twitter.com/AndrewStenhouse/status/1217174795579809792","1217174795579809792")</f>
        <v>1217174795579809792</v>
      </c>
      <c r="F1864" s="13" t="s">
        <v>8625</v>
      </c>
      <c r="G1864" s="14"/>
      <c r="H1864" s="14"/>
      <c r="I1864" s="15">
        <v>0.0</v>
      </c>
      <c r="J1864" s="15">
        <v>1.0</v>
      </c>
      <c r="K1864" s="12" t="str">
        <f>HYPERLINK("https://buffer.com","Buffer")</f>
        <v>Buffer</v>
      </c>
      <c r="L1864" s="16">
        <v>2793.0</v>
      </c>
      <c r="M1864" s="16">
        <v>2601.0</v>
      </c>
      <c r="N1864" s="16">
        <v>85.0</v>
      </c>
      <c r="O1864" s="17"/>
      <c r="P1864" s="18">
        <v>41151.481840277775</v>
      </c>
      <c r="Q1864" s="1" t="s">
        <v>8626</v>
      </c>
      <c r="R1864" s="1" t="s">
        <v>8627</v>
      </c>
      <c r="S1864" s="13" t="s">
        <v>8628</v>
      </c>
      <c r="T1864" s="14"/>
      <c r="U1864" s="19" t="str">
        <f>HYPERLINK("https://pbs.twimg.com/profile_images/1100819579549302785/WyJesDDK.png","View")</f>
        <v>View</v>
      </c>
      <c r="V1864" s="14"/>
      <c r="W1864" s="14"/>
      <c r="X1864" s="14"/>
      <c r="Y1864" s="14"/>
      <c r="Z1864" s="14"/>
    </row>
    <row r="1865">
      <c r="A1865" s="11">
        <v>43844.62563657407</v>
      </c>
      <c r="B1865" s="12" t="str">
        <f>HYPERLINK("https://twitter.com/IdealYear","@IdealYear")</f>
        <v>@IdealYear</v>
      </c>
      <c r="C1865" s="1" t="s">
        <v>8629</v>
      </c>
      <c r="D1865" s="1" t="s">
        <v>8630</v>
      </c>
      <c r="E1865" s="12" t="str">
        <f>HYPERLINK("https://twitter.com/IdealYear/status/1217174776617283585","1217174776617283585")</f>
        <v>1217174776617283585</v>
      </c>
      <c r="F1865" s="1" t="s">
        <v>8631</v>
      </c>
      <c r="G1865" s="13" t="s">
        <v>8632</v>
      </c>
      <c r="H1865" s="14"/>
      <c r="I1865" s="15">
        <v>0.0</v>
      </c>
      <c r="J1865" s="15">
        <v>0.0</v>
      </c>
      <c r="K1865" s="12" t="str">
        <f>HYPERLINK("https://www.hootsuite.com","Hootsuite Inc.")</f>
        <v>Hootsuite Inc.</v>
      </c>
      <c r="L1865" s="16">
        <v>143.0</v>
      </c>
      <c r="M1865" s="16">
        <v>67.0</v>
      </c>
      <c r="N1865" s="16">
        <v>8.0</v>
      </c>
      <c r="O1865" s="17"/>
      <c r="P1865" s="18">
        <v>39995.398043981484</v>
      </c>
      <c r="Q1865" s="1" t="s">
        <v>8633</v>
      </c>
      <c r="R1865" s="1" t="s">
        <v>8634</v>
      </c>
      <c r="S1865" s="13" t="s">
        <v>8635</v>
      </c>
      <c r="T1865" s="14"/>
      <c r="U1865" s="19" t="str">
        <f>HYPERLINK("https://pbs.twimg.com/profile_images/1113237838257061888/6AdMdofh.png","View")</f>
        <v>View</v>
      </c>
      <c r="V1865" s="14"/>
      <c r="W1865" s="14"/>
      <c r="X1865" s="14"/>
      <c r="Y1865" s="14"/>
      <c r="Z1865" s="14"/>
    </row>
    <row r="1866">
      <c r="A1866" s="11">
        <v>43844.625</v>
      </c>
      <c r="B1866" s="12" t="str">
        <f>HYPERLINK("https://twitter.com/colleyam1","@colleyam1")</f>
        <v>@colleyam1</v>
      </c>
      <c r="C1866" s="1" t="s">
        <v>8636</v>
      </c>
      <c r="D1866" s="1" t="s">
        <v>8637</v>
      </c>
      <c r="E1866" s="12" t="str">
        <f>HYPERLINK("https://twitter.com/colleyam1/status/1217174547222482947","1217174547222482947")</f>
        <v>1217174547222482947</v>
      </c>
      <c r="F1866" s="13" t="s">
        <v>8638</v>
      </c>
      <c r="G1866" s="14"/>
      <c r="H1866" s="14"/>
      <c r="I1866" s="15">
        <v>0.0</v>
      </c>
      <c r="J1866" s="15">
        <v>0.0</v>
      </c>
      <c r="K1866" s="12" t="str">
        <f>HYPERLINK("http://www.linkedin.com/","LinkedIn")</f>
        <v>LinkedIn</v>
      </c>
      <c r="L1866" s="16">
        <v>495.0</v>
      </c>
      <c r="M1866" s="16">
        <v>910.0</v>
      </c>
      <c r="N1866" s="16">
        <v>12.0</v>
      </c>
      <c r="O1866" s="17"/>
      <c r="P1866" s="18">
        <v>40974.462384259255</v>
      </c>
      <c r="Q1866" s="14"/>
      <c r="R1866" s="1" t="s">
        <v>8639</v>
      </c>
      <c r="S1866" s="13" t="s">
        <v>8640</v>
      </c>
      <c r="T1866" s="14"/>
      <c r="U1866" s="19" t="str">
        <f>HYPERLINK("https://pbs.twimg.com/profile_images/1011909387101900806/aW0uVw7k.jpg","View")</f>
        <v>View</v>
      </c>
      <c r="V1866" s="14"/>
      <c r="W1866" s="14"/>
      <c r="X1866" s="14"/>
      <c r="Y1866" s="14"/>
      <c r="Z1866" s="14"/>
    </row>
    <row r="1867">
      <c r="A1867" s="11">
        <v>43844.621666666666</v>
      </c>
      <c r="B1867" s="12" t="str">
        <f>HYPERLINK("https://twitter.com/BCCancer","@BCCancer")</f>
        <v>@BCCancer</v>
      </c>
      <c r="C1867" s="1" t="s">
        <v>8641</v>
      </c>
      <c r="D1867" s="1" t="s">
        <v>8642</v>
      </c>
      <c r="E1867" s="12" t="str">
        <f>HYPERLINK("https://twitter.com/BCCancer/status/1217173337912356865","1217173337912356865")</f>
        <v>1217173337912356865</v>
      </c>
      <c r="F1867" s="13" t="s">
        <v>8643</v>
      </c>
      <c r="G1867" s="13" t="s">
        <v>8644</v>
      </c>
      <c r="H1867" s="14"/>
      <c r="I1867" s="15">
        <v>3.0</v>
      </c>
      <c r="J1867" s="15">
        <v>5.0</v>
      </c>
      <c r="K1867" s="12" t="str">
        <f t="shared" ref="K1867:K1868" si="191">HYPERLINK("https://www.hootsuite.com","Hootsuite Inc.")</f>
        <v>Hootsuite Inc.</v>
      </c>
      <c r="L1867" s="16">
        <v>6468.0</v>
      </c>
      <c r="M1867" s="16">
        <v>2082.0</v>
      </c>
      <c r="N1867" s="16">
        <v>140.0</v>
      </c>
      <c r="O1867" s="17"/>
      <c r="P1867" s="18">
        <v>41498.60391203704</v>
      </c>
      <c r="Q1867" s="14"/>
      <c r="R1867" s="1" t="s">
        <v>8645</v>
      </c>
      <c r="S1867" s="13" t="s">
        <v>8646</v>
      </c>
      <c r="T1867" s="14"/>
      <c r="U1867" s="19" t="str">
        <f>HYPERLINK("https://pbs.twimg.com/profile_images/1182787768415592448/lYwBdWwX.jpg","View")</f>
        <v>View</v>
      </c>
      <c r="V1867" s="14"/>
      <c r="W1867" s="14"/>
      <c r="X1867" s="14"/>
      <c r="Y1867" s="14"/>
      <c r="Z1867" s="14"/>
    </row>
    <row r="1868">
      <c r="A1868" s="11">
        <v>43844.62092592593</v>
      </c>
      <c r="B1868" s="12" t="str">
        <f>HYPERLINK("https://twitter.com/PrimeEdgeTech","@PrimeEdgeTech")</f>
        <v>@PrimeEdgeTech</v>
      </c>
      <c r="C1868" s="1" t="s">
        <v>8647</v>
      </c>
      <c r="D1868" s="1" t="s">
        <v>8648</v>
      </c>
      <c r="E1868" s="12" t="str">
        <f>HYPERLINK("https://twitter.com/PrimeEdgeTech/status/1217173069212659715","1217173069212659715")</f>
        <v>1217173069212659715</v>
      </c>
      <c r="F1868" s="13" t="s">
        <v>8649</v>
      </c>
      <c r="G1868" s="13" t="s">
        <v>8650</v>
      </c>
      <c r="H1868" s="14"/>
      <c r="I1868" s="15">
        <v>0.0</v>
      </c>
      <c r="J1868" s="15">
        <v>0.0</v>
      </c>
      <c r="K1868" s="12" t="str">
        <f t="shared" si="191"/>
        <v>Hootsuite Inc.</v>
      </c>
      <c r="L1868" s="16">
        <v>164.0</v>
      </c>
      <c r="M1868" s="16">
        <v>362.0</v>
      </c>
      <c r="N1868" s="16">
        <v>16.0</v>
      </c>
      <c r="O1868" s="17"/>
      <c r="P1868" s="18">
        <v>41577.53811342592</v>
      </c>
      <c r="Q1868" s="1" t="s">
        <v>8651</v>
      </c>
      <c r="R1868" s="1" t="s">
        <v>8652</v>
      </c>
      <c r="S1868" s="13" t="s">
        <v>8653</v>
      </c>
      <c r="T1868" s="14"/>
      <c r="U1868" s="19" t="str">
        <f>HYPERLINK("https://pbs.twimg.com/profile_images/824737774691557376/1anQa1E0.jpg","View")</f>
        <v>View</v>
      </c>
      <c r="V1868" s="14"/>
      <c r="W1868" s="14"/>
      <c r="X1868" s="14"/>
      <c r="Y1868" s="14"/>
      <c r="Z1868" s="14"/>
    </row>
    <row r="1869">
      <c r="A1869" s="11">
        <v>43844.619305555556</v>
      </c>
      <c r="B1869" s="12" t="str">
        <f>HYPERLINK("https://twitter.com/puregreenxpress","@puregreenxpress")</f>
        <v>@puregreenxpress</v>
      </c>
      <c r="C1869" s="1" t="s">
        <v>6403</v>
      </c>
      <c r="D1869" s="1" t="s">
        <v>8654</v>
      </c>
      <c r="E1869" s="12" t="str">
        <f>HYPERLINK("https://twitter.com/puregreenxpress/status/1217172482731409408","1217172482731409408")</f>
        <v>1217172482731409408</v>
      </c>
      <c r="F1869" s="13" t="s">
        <v>8655</v>
      </c>
      <c r="G1869" s="14"/>
      <c r="H1869" s="14"/>
      <c r="I1869" s="15">
        <v>1.0</v>
      </c>
      <c r="J1869" s="15">
        <v>1.0</v>
      </c>
      <c r="K1869" s="12" t="str">
        <f>HYPERLINK("http://twitter.com","Twitter Web Client")</f>
        <v>Twitter Web Client</v>
      </c>
      <c r="L1869" s="16">
        <v>4232.0</v>
      </c>
      <c r="M1869" s="16">
        <v>3939.0</v>
      </c>
      <c r="N1869" s="16">
        <v>18.0</v>
      </c>
      <c r="O1869" s="17"/>
      <c r="P1869" s="18">
        <v>42832.91449074074</v>
      </c>
      <c r="Q1869" s="1" t="s">
        <v>4938</v>
      </c>
      <c r="R1869" s="1" t="s">
        <v>6406</v>
      </c>
      <c r="S1869" s="13" t="s">
        <v>6407</v>
      </c>
      <c r="T1869" s="14"/>
      <c r="U1869" s="19" t="str">
        <f>HYPERLINK("https://pbs.twimg.com/profile_images/850531013323218944/qtaGwM5r.jpg","View")</f>
        <v>View</v>
      </c>
      <c r="V1869" s="14"/>
      <c r="W1869" s="14"/>
      <c r="X1869" s="14"/>
      <c r="Y1869" s="14"/>
      <c r="Z1869" s="14"/>
    </row>
    <row r="1870">
      <c r="A1870" s="11">
        <v>43844.61806712963</v>
      </c>
      <c r="B1870" s="12" t="str">
        <f>HYPERLINK("https://twitter.com/DivergentCIO","@DivergentCIO")</f>
        <v>@DivergentCIO</v>
      </c>
      <c r="C1870" s="1" t="s">
        <v>536</v>
      </c>
      <c r="D1870" s="1" t="s">
        <v>537</v>
      </c>
      <c r="E1870" s="12" t="str">
        <f>HYPERLINK("https://twitter.com/DivergentCIO/status/1217172033089482753","1217172033089482753")</f>
        <v>1217172033089482753</v>
      </c>
      <c r="F1870" s="13" t="s">
        <v>538</v>
      </c>
      <c r="G1870" s="14"/>
      <c r="H1870" s="14"/>
      <c r="I1870" s="15">
        <v>1.0</v>
      </c>
      <c r="J1870" s="15">
        <v>0.0</v>
      </c>
      <c r="K1870" s="12" t="str">
        <f>HYPERLINK("https://buffer.com","Buffer")</f>
        <v>Buffer</v>
      </c>
      <c r="L1870" s="16">
        <v>28703.0</v>
      </c>
      <c r="M1870" s="16">
        <v>25615.0</v>
      </c>
      <c r="N1870" s="16">
        <v>1729.0</v>
      </c>
      <c r="O1870" s="17"/>
      <c r="P1870" s="18">
        <v>42071.738854166666</v>
      </c>
      <c r="Q1870" s="1" t="s">
        <v>539</v>
      </c>
      <c r="R1870" s="1" t="s">
        <v>540</v>
      </c>
      <c r="S1870" s="13" t="s">
        <v>541</v>
      </c>
      <c r="T1870" s="14"/>
      <c r="U1870" s="19" t="str">
        <f>HYPERLINK("https://pbs.twimg.com/profile_images/767507322583199745/rpfbzBzg.jpg","View")</f>
        <v>View</v>
      </c>
      <c r="V1870" s="14"/>
      <c r="W1870" s="14"/>
      <c r="X1870" s="14"/>
      <c r="Y1870" s="14"/>
      <c r="Z1870" s="14"/>
    </row>
    <row r="1871">
      <c r="A1871" s="11">
        <v>43844.616018518514</v>
      </c>
      <c r="B1871" s="12" t="str">
        <f>HYPERLINK("https://twitter.com/OberonDiagnosti","@OberonDiagnosti")</f>
        <v>@OberonDiagnosti</v>
      </c>
      <c r="C1871" s="13" t="s">
        <v>8656</v>
      </c>
      <c r="D1871" s="1" t="s">
        <v>8657</v>
      </c>
      <c r="E1871" s="12" t="str">
        <f>HYPERLINK("https://twitter.com/OberonDiagnosti/status/1217171293176356864","1217171293176356864")</f>
        <v>1217171293176356864</v>
      </c>
      <c r="F1871" s="13" t="s">
        <v>8658</v>
      </c>
      <c r="G1871" s="13" t="s">
        <v>8659</v>
      </c>
      <c r="H1871" s="14"/>
      <c r="I1871" s="15">
        <v>0.0</v>
      </c>
      <c r="J1871" s="15">
        <v>1.0</v>
      </c>
      <c r="K1871" s="12" t="str">
        <f>HYPERLINK("https://dlvrit.com/","dlvr.it")</f>
        <v>dlvr.it</v>
      </c>
      <c r="L1871" s="16">
        <v>341.0</v>
      </c>
      <c r="M1871" s="16">
        <v>10.0</v>
      </c>
      <c r="N1871" s="16">
        <v>187.0</v>
      </c>
      <c r="O1871" s="17"/>
      <c r="P1871" s="18">
        <v>42053.83072916667</v>
      </c>
      <c r="Q1871" s="1" t="s">
        <v>8660</v>
      </c>
      <c r="R1871" s="1" t="s">
        <v>8661</v>
      </c>
      <c r="S1871" s="13" t="s">
        <v>8662</v>
      </c>
      <c r="T1871" s="14"/>
      <c r="U1871" s="19" t="str">
        <f>HYPERLINK("https://pbs.twimg.com/profile_images/1126365170798813184/jqBxQenF.png","View")</f>
        <v>View</v>
      </c>
      <c r="V1871" s="14"/>
      <c r="W1871" s="14"/>
      <c r="X1871" s="14"/>
      <c r="Y1871" s="14"/>
      <c r="Z1871" s="14"/>
    </row>
    <row r="1872">
      <c r="A1872" s="11">
        <v>43844.61114583333</v>
      </c>
      <c r="B1872" s="12" t="str">
        <f>HYPERLINK("https://twitter.com/RLAssoc","@RLAssoc")</f>
        <v>@RLAssoc</v>
      </c>
      <c r="C1872" s="1" t="s">
        <v>7344</v>
      </c>
      <c r="D1872" s="1" t="s">
        <v>8663</v>
      </c>
      <c r="E1872" s="12" t="str">
        <f>HYPERLINK("https://twitter.com/RLAssoc/status/1217169525621305345","1217169525621305345")</f>
        <v>1217169525621305345</v>
      </c>
      <c r="F1872" s="13" t="s">
        <v>8664</v>
      </c>
      <c r="G1872" s="14"/>
      <c r="H1872" s="14"/>
      <c r="I1872" s="15">
        <v>0.0</v>
      </c>
      <c r="J1872" s="15">
        <v>0.0</v>
      </c>
      <c r="K1872" s="12" t="str">
        <f>HYPERLINK("https://www.hootsuite.com","Hootsuite Inc.")</f>
        <v>Hootsuite Inc.</v>
      </c>
      <c r="L1872" s="16">
        <v>655.0</v>
      </c>
      <c r="M1872" s="16">
        <v>615.0</v>
      </c>
      <c r="N1872" s="16">
        <v>106.0</v>
      </c>
      <c r="O1872" s="17"/>
      <c r="P1872" s="18">
        <v>42464.40311342593</v>
      </c>
      <c r="Q1872" s="1" t="s">
        <v>263</v>
      </c>
      <c r="R1872" s="1" t="s">
        <v>7347</v>
      </c>
      <c r="S1872" s="13" t="s">
        <v>7348</v>
      </c>
      <c r="T1872" s="14"/>
      <c r="U1872" s="19" t="str">
        <f>HYPERLINK("https://pbs.twimg.com/profile_images/785546755920330753/cFihDw8r.jpg","View")</f>
        <v>View</v>
      </c>
      <c r="V1872" s="14"/>
      <c r="W1872" s="14"/>
      <c r="X1872" s="14"/>
      <c r="Y1872" s="14"/>
      <c r="Z1872" s="14"/>
    </row>
    <row r="1873">
      <c r="A1873" s="11">
        <v>43844.60832175926</v>
      </c>
      <c r="B1873" s="12" t="str">
        <f>HYPERLINK("https://twitter.com/AskDrGanz","@AskDrGanz")</f>
        <v>@AskDrGanz</v>
      </c>
      <c r="C1873" s="13" t="s">
        <v>1747</v>
      </c>
      <c r="D1873" s="1" t="s">
        <v>8665</v>
      </c>
      <c r="E1873" s="12" t="str">
        <f>HYPERLINK("https://twitter.com/AskDrGanz/status/1217168501875412994","1217168501875412994")</f>
        <v>1217168501875412994</v>
      </c>
      <c r="F1873" s="13" t="s">
        <v>8666</v>
      </c>
      <c r="G1873" s="14"/>
      <c r="H1873" s="14"/>
      <c r="I1873" s="15">
        <v>0.0</v>
      </c>
      <c r="J1873" s="15">
        <v>1.0</v>
      </c>
      <c r="K1873" s="12" t="str">
        <f t="shared" ref="K1873:K1874" si="192">HYPERLINK("http://twitter.com/download/android","Twitter for Android")</f>
        <v>Twitter for Android</v>
      </c>
      <c r="L1873" s="16">
        <v>1112.0</v>
      </c>
      <c r="M1873" s="16">
        <v>4975.0</v>
      </c>
      <c r="N1873" s="16">
        <v>5.0</v>
      </c>
      <c r="O1873" s="17"/>
      <c r="P1873" s="18">
        <v>43517.01850694444</v>
      </c>
      <c r="Q1873" s="1" t="s">
        <v>1751</v>
      </c>
      <c r="R1873" s="1" t="s">
        <v>1752</v>
      </c>
      <c r="S1873" s="13" t="s">
        <v>1753</v>
      </c>
      <c r="T1873" s="14"/>
      <c r="U1873" s="19" t="str">
        <f>HYPERLINK("https://pbs.twimg.com/profile_images/1180437526374301697/0MYADYa_.jpg","View")</f>
        <v>View</v>
      </c>
      <c r="V1873" s="14"/>
      <c r="W1873" s="14"/>
      <c r="X1873" s="14"/>
      <c r="Y1873" s="14"/>
      <c r="Z1873" s="14"/>
    </row>
    <row r="1874">
      <c r="A1874" s="11">
        <v>43844.60097222222</v>
      </c>
      <c r="B1874" s="12" t="str">
        <f>HYPERLINK("https://twitter.com/CeiriogT","@CeiriogT")</f>
        <v>@CeiriogT</v>
      </c>
      <c r="C1874" s="1" t="s">
        <v>8667</v>
      </c>
      <c r="D1874" s="1" t="s">
        <v>8668</v>
      </c>
      <c r="E1874" s="12" t="str">
        <f>HYPERLINK("https://twitter.com/CeiriogT/status/1217165836928135168","1217165836928135168")</f>
        <v>1217165836928135168</v>
      </c>
      <c r="F1874" s="13" t="s">
        <v>8669</v>
      </c>
      <c r="G1874" s="13" t="s">
        <v>8670</v>
      </c>
      <c r="H1874" s="14"/>
      <c r="I1874" s="15">
        <v>2.0</v>
      </c>
      <c r="J1874" s="15">
        <v>4.0</v>
      </c>
      <c r="K1874" s="12" t="str">
        <f t="shared" si="192"/>
        <v>Twitter for Android</v>
      </c>
      <c r="L1874" s="16">
        <v>63.0</v>
      </c>
      <c r="M1874" s="16">
        <v>167.0</v>
      </c>
      <c r="N1874" s="16">
        <v>0.0</v>
      </c>
      <c r="O1874" s="17"/>
      <c r="P1874" s="18">
        <v>43785.19163194444</v>
      </c>
      <c r="Q1874" s="1" t="s">
        <v>8671</v>
      </c>
      <c r="R1874" s="1" t="s">
        <v>8672</v>
      </c>
      <c r="S1874" s="13" t="s">
        <v>8673</v>
      </c>
      <c r="T1874" s="14"/>
      <c r="U1874" s="19" t="str">
        <f>HYPERLINK("https://pbs.twimg.com/profile_images/1195641943994380288/2qXU39Cc.jpg","View")</f>
        <v>View</v>
      </c>
      <c r="V1874" s="14"/>
      <c r="W1874" s="14"/>
      <c r="X1874" s="14"/>
      <c r="Y1874" s="14"/>
      <c r="Z1874" s="14"/>
    </row>
    <row r="1875">
      <c r="A1875" s="11">
        <v>43844.593819444446</v>
      </c>
      <c r="B1875" s="12" t="str">
        <f>HYPERLINK("https://twitter.com/HopeInstilled","@HopeInstilled")</f>
        <v>@HopeInstilled</v>
      </c>
      <c r="C1875" s="1" t="s">
        <v>2076</v>
      </c>
      <c r="D1875" s="1" t="s">
        <v>2077</v>
      </c>
      <c r="E1875" s="12" t="str">
        <f>HYPERLINK("https://twitter.com/HopeInstilled/status/1217163248807575552","1217163248807575552")</f>
        <v>1217163248807575552</v>
      </c>
      <c r="F1875" s="13" t="s">
        <v>2078</v>
      </c>
      <c r="G1875" s="13" t="s">
        <v>8674</v>
      </c>
      <c r="H1875" s="14"/>
      <c r="I1875" s="15">
        <v>0.0</v>
      </c>
      <c r="J1875" s="15">
        <v>1.0</v>
      </c>
      <c r="K1875" s="12" t="str">
        <f>HYPERLINK("https://www.hootsuite.com","Hootsuite Inc.")</f>
        <v>Hootsuite Inc.</v>
      </c>
      <c r="L1875" s="16">
        <v>1348.0</v>
      </c>
      <c r="M1875" s="16">
        <v>1123.0</v>
      </c>
      <c r="N1875" s="16">
        <v>12.0</v>
      </c>
      <c r="O1875" s="17"/>
      <c r="P1875" s="18">
        <v>42521.35806712963</v>
      </c>
      <c r="Q1875" s="1" t="s">
        <v>2079</v>
      </c>
      <c r="R1875" s="1" t="s">
        <v>2080</v>
      </c>
      <c r="S1875" s="13" t="s">
        <v>2081</v>
      </c>
      <c r="T1875" s="14"/>
      <c r="U1875" s="19" t="str">
        <f>HYPERLINK("https://pbs.twimg.com/profile_images/866744897541476354/GRu9wvtJ.jpg","View")</f>
        <v>View</v>
      </c>
      <c r="V1875" s="14"/>
      <c r="W1875" s="14"/>
      <c r="X1875" s="14"/>
      <c r="Y1875" s="14"/>
      <c r="Z1875" s="14"/>
    </row>
    <row r="1876">
      <c r="A1876" s="11">
        <v>43844.592731481476</v>
      </c>
      <c r="B1876" s="12" t="str">
        <f>HYPERLINK("https://twitter.com/ResDoughnut","@ResDoughnut")</f>
        <v>@ResDoughnut</v>
      </c>
      <c r="C1876" s="1" t="s">
        <v>8675</v>
      </c>
      <c r="D1876" s="1" t="s">
        <v>8676</v>
      </c>
      <c r="E1876" s="12" t="str">
        <f>HYPERLINK("https://twitter.com/ResDoughnut/status/1217162853460926465","1217162853460926465")</f>
        <v>1217162853460926465</v>
      </c>
      <c r="F1876" s="13" t="s">
        <v>8677</v>
      </c>
      <c r="G1876" s="14"/>
      <c r="H1876" s="14"/>
      <c r="I1876" s="15">
        <v>2.0</v>
      </c>
      <c r="J1876" s="15">
        <v>2.0</v>
      </c>
      <c r="K1876" s="12" t="str">
        <f>HYPERLINK("http://twitter.com/download/iphone","Twitter for iPhone")</f>
        <v>Twitter for iPhone</v>
      </c>
      <c r="L1876" s="16">
        <v>4765.0</v>
      </c>
      <c r="M1876" s="16">
        <v>5.0</v>
      </c>
      <c r="N1876" s="16">
        <v>89.0</v>
      </c>
      <c r="O1876" s="17"/>
      <c r="P1876" s="18">
        <v>41374.35229166667</v>
      </c>
      <c r="Q1876" s="1" t="s">
        <v>8678</v>
      </c>
      <c r="R1876" s="1" t="s">
        <v>8679</v>
      </c>
      <c r="S1876" s="13" t="s">
        <v>8680</v>
      </c>
      <c r="T1876" s="14"/>
      <c r="U1876" s="19" t="str">
        <f>HYPERLINK("https://pbs.twimg.com/profile_images/862970585298718722/FH77SUz9.jpg","View")</f>
        <v>View</v>
      </c>
      <c r="V1876" s="14"/>
      <c r="W1876" s="14"/>
      <c r="X1876" s="14"/>
      <c r="Y1876" s="14"/>
      <c r="Z1876" s="14"/>
    </row>
    <row r="1877">
      <c r="A1877" s="11">
        <v>43844.59241898148</v>
      </c>
      <c r="B1877" s="12" t="str">
        <f>HYPERLINK("https://twitter.com/SimplyPureMJ","@SimplyPureMJ")</f>
        <v>@SimplyPureMJ</v>
      </c>
      <c r="C1877" s="1" t="s">
        <v>8681</v>
      </c>
      <c r="D1877" s="1" t="s">
        <v>8682</v>
      </c>
      <c r="E1877" s="12" t="str">
        <f>HYPERLINK("https://twitter.com/SimplyPureMJ/status/1217162737672847360","1217162737672847360")</f>
        <v>1217162737672847360</v>
      </c>
      <c r="F1877" s="13" t="s">
        <v>8683</v>
      </c>
      <c r="G1877" s="14"/>
      <c r="H1877" s="14"/>
      <c r="I1877" s="15">
        <v>0.0</v>
      </c>
      <c r="J1877" s="15">
        <v>2.0</v>
      </c>
      <c r="K1877" s="12" t="str">
        <f>HYPERLINK("https://mobile.twitter.com","Twitter Web App")</f>
        <v>Twitter Web App</v>
      </c>
      <c r="L1877" s="16">
        <v>3083.0</v>
      </c>
      <c r="M1877" s="16">
        <v>3531.0</v>
      </c>
      <c r="N1877" s="16">
        <v>30.0</v>
      </c>
      <c r="O1877" s="17"/>
      <c r="P1877" s="18">
        <v>40434.99733796297</v>
      </c>
      <c r="Q1877" s="1" t="s">
        <v>1975</v>
      </c>
      <c r="R1877" s="1" t="s">
        <v>8684</v>
      </c>
      <c r="S1877" s="13" t="s">
        <v>8685</v>
      </c>
      <c r="T1877" s="14"/>
      <c r="U1877" s="19" t="str">
        <f>HYPERLINK("https://pbs.twimg.com/profile_images/1013941209637588993/zYsaQQ08.jpg","View")</f>
        <v>View</v>
      </c>
      <c r="V1877" s="14"/>
      <c r="W1877" s="14"/>
      <c r="X1877" s="14"/>
      <c r="Y1877" s="14"/>
      <c r="Z1877" s="14"/>
    </row>
    <row r="1878">
      <c r="A1878" s="11">
        <v>43844.59166666667</v>
      </c>
      <c r="B1878" s="12" t="str">
        <f>HYPERLINK("https://twitter.com/DivergentCIO","@DivergentCIO")</f>
        <v>@DivergentCIO</v>
      </c>
      <c r="C1878" s="1" t="s">
        <v>536</v>
      </c>
      <c r="D1878" s="1" t="s">
        <v>571</v>
      </c>
      <c r="E1878" s="12" t="str">
        <f>HYPERLINK("https://twitter.com/DivergentCIO/status/1217162466574131200","1217162466574131200")</f>
        <v>1217162466574131200</v>
      </c>
      <c r="F1878" s="13" t="s">
        <v>572</v>
      </c>
      <c r="G1878" s="14"/>
      <c r="H1878" s="14"/>
      <c r="I1878" s="15">
        <v>0.0</v>
      </c>
      <c r="J1878" s="15">
        <v>1.0</v>
      </c>
      <c r="K1878" s="12" t="str">
        <f>HYPERLINK("https://buffer.com","Buffer")</f>
        <v>Buffer</v>
      </c>
      <c r="L1878" s="16">
        <v>28703.0</v>
      </c>
      <c r="M1878" s="16">
        <v>25615.0</v>
      </c>
      <c r="N1878" s="16">
        <v>1729.0</v>
      </c>
      <c r="O1878" s="17"/>
      <c r="P1878" s="18">
        <v>42071.738854166666</v>
      </c>
      <c r="Q1878" s="1" t="s">
        <v>539</v>
      </c>
      <c r="R1878" s="1" t="s">
        <v>540</v>
      </c>
      <c r="S1878" s="13" t="s">
        <v>541</v>
      </c>
      <c r="T1878" s="14"/>
      <c r="U1878" s="19" t="str">
        <f>HYPERLINK("https://pbs.twimg.com/profile_images/767507322583199745/rpfbzBzg.jpg","View")</f>
        <v>View</v>
      </c>
      <c r="V1878" s="14"/>
      <c r="W1878" s="14"/>
      <c r="X1878" s="14"/>
      <c r="Y1878" s="14"/>
      <c r="Z1878" s="14"/>
    </row>
    <row r="1879">
      <c r="A1879" s="11">
        <v>43844.589594907404</v>
      </c>
      <c r="B1879" s="12" t="str">
        <f>HYPERLINK("https://twitter.com/MindfulStudies","@MindfulStudies")</f>
        <v>@MindfulStudies</v>
      </c>
      <c r="C1879" s="1" t="s">
        <v>8686</v>
      </c>
      <c r="D1879" s="1" t="s">
        <v>8687</v>
      </c>
      <c r="E1879" s="12" t="str">
        <f>HYPERLINK("https://twitter.com/MindfulStudies/status/1217161716045434881","1217161716045434881")</f>
        <v>1217161716045434881</v>
      </c>
      <c r="F1879" s="13" t="s">
        <v>8688</v>
      </c>
      <c r="G1879" s="14"/>
      <c r="H1879" s="14"/>
      <c r="I1879" s="15">
        <v>3.0</v>
      </c>
      <c r="J1879" s="15">
        <v>4.0</v>
      </c>
      <c r="K1879" s="12" t="str">
        <f>HYPERLINK("https://mobile.twitter.com","Twitter Web App")</f>
        <v>Twitter Web App</v>
      </c>
      <c r="L1879" s="16">
        <v>8751.0</v>
      </c>
      <c r="M1879" s="16">
        <v>2257.0</v>
      </c>
      <c r="N1879" s="16">
        <v>0.0</v>
      </c>
      <c r="O1879" s="17"/>
      <c r="P1879" s="18">
        <v>40927.68498842593</v>
      </c>
      <c r="Q1879" s="1" t="s">
        <v>8594</v>
      </c>
      <c r="R1879" s="1" t="s">
        <v>8689</v>
      </c>
      <c r="S1879" s="13" t="s">
        <v>8690</v>
      </c>
      <c r="T1879" s="14"/>
      <c r="U1879" s="19" t="str">
        <f>HYPERLINK("https://pbs.twimg.com/profile_images/1135619867455971328/xo2ecyg3.png","View")</f>
        <v>View</v>
      </c>
      <c r="V1879" s="14"/>
      <c r="W1879" s="14"/>
      <c r="X1879" s="14"/>
      <c r="Y1879" s="14"/>
      <c r="Z1879" s="14"/>
    </row>
    <row r="1880">
      <c r="A1880" s="11">
        <v>43844.58831018519</v>
      </c>
      <c r="B1880" s="12" t="str">
        <f>HYPERLINK("https://twitter.com/neuroflowlive","@neuroflowlive")</f>
        <v>@neuroflowlive</v>
      </c>
      <c r="C1880" s="1" t="s">
        <v>2288</v>
      </c>
      <c r="D1880" s="1" t="s">
        <v>8691</v>
      </c>
      <c r="E1880" s="12" t="str">
        <f>HYPERLINK("https://twitter.com/neuroflowlive/status/1217161248481193987","1217161248481193987")</f>
        <v>1217161248481193987</v>
      </c>
      <c r="F1880" s="14"/>
      <c r="G1880" s="13" t="s">
        <v>8692</v>
      </c>
      <c r="H1880" s="14"/>
      <c r="I1880" s="15">
        <v>0.0</v>
      </c>
      <c r="J1880" s="15">
        <v>0.0</v>
      </c>
      <c r="K1880" s="12" t="str">
        <f>HYPERLINK("http://www.hubspot.com/","HubSpot")</f>
        <v>HubSpot</v>
      </c>
      <c r="L1880" s="16">
        <v>888.0</v>
      </c>
      <c r="M1880" s="16">
        <v>1447.0</v>
      </c>
      <c r="N1880" s="16">
        <v>16.0</v>
      </c>
      <c r="O1880" s="17"/>
      <c r="P1880" s="18">
        <v>42802.66462962963</v>
      </c>
      <c r="Q1880" s="1" t="s">
        <v>2015</v>
      </c>
      <c r="R1880" s="1" t="s">
        <v>2291</v>
      </c>
      <c r="S1880" s="13" t="s">
        <v>2292</v>
      </c>
      <c r="T1880" s="14"/>
      <c r="U1880" s="19" t="str">
        <f>HYPERLINK("https://pbs.twimg.com/profile_images/1048386258378973184/mkvdztzj.jpg","View")</f>
        <v>View</v>
      </c>
      <c r="V1880" s="14"/>
      <c r="W1880" s="14"/>
      <c r="X1880" s="14"/>
      <c r="Y1880" s="14"/>
      <c r="Z1880" s="14"/>
    </row>
    <row r="1881">
      <c r="A1881" s="11">
        <v>43844.586956018524</v>
      </c>
      <c r="B1881" s="12" t="str">
        <f>HYPERLINK("https://twitter.com/AustinTxMassage","@AustinTxMassage")</f>
        <v>@AustinTxMassage</v>
      </c>
      <c r="C1881" s="1" t="s">
        <v>8693</v>
      </c>
      <c r="D1881" s="1" t="s">
        <v>8694</v>
      </c>
      <c r="E1881" s="12" t="str">
        <f>HYPERLINK("https://twitter.com/AustinTxMassage/status/1217160757604798465","1217160757604798465")</f>
        <v>1217160757604798465</v>
      </c>
      <c r="F1881" s="13" t="s">
        <v>8695</v>
      </c>
      <c r="G1881" s="13" t="s">
        <v>8696</v>
      </c>
      <c r="H1881" s="14"/>
      <c r="I1881" s="15">
        <v>0.0</v>
      </c>
      <c r="J1881" s="15">
        <v>0.0</v>
      </c>
      <c r="K1881" s="12" t="str">
        <f t="shared" ref="K1881:K1882" si="193">HYPERLINK("https://www.hootsuite.com","Hootsuite Inc.")</f>
        <v>Hootsuite Inc.</v>
      </c>
      <c r="L1881" s="16">
        <v>1202.0</v>
      </c>
      <c r="M1881" s="16">
        <v>1771.0</v>
      </c>
      <c r="N1881" s="16">
        <v>61.0</v>
      </c>
      <c r="O1881" s="17"/>
      <c r="P1881" s="18">
        <v>40325.45927083334</v>
      </c>
      <c r="Q1881" s="1" t="s">
        <v>606</v>
      </c>
      <c r="R1881" s="1" t="s">
        <v>8697</v>
      </c>
      <c r="S1881" s="13" t="s">
        <v>8698</v>
      </c>
      <c r="T1881" s="14"/>
      <c r="U1881" s="19" t="str">
        <f>HYPERLINK("https://pbs.twimg.com/profile_images/378800000786968083/d4dc57a0ff6e631d2b2af9028d96a86f.jpeg","View")</f>
        <v>View</v>
      </c>
      <c r="V1881" s="14"/>
      <c r="W1881" s="14"/>
      <c r="X1881" s="14"/>
      <c r="Y1881" s="14"/>
      <c r="Z1881" s="14"/>
    </row>
    <row r="1882">
      <c r="A1882" s="11">
        <v>43844.58458333333</v>
      </c>
      <c r="B1882" s="12" t="str">
        <f>HYPERLINK("https://twitter.com/TBtalks","@TBtalks")</f>
        <v>@TBtalks</v>
      </c>
      <c r="C1882" s="1" t="s">
        <v>355</v>
      </c>
      <c r="D1882" s="1" t="s">
        <v>8699</v>
      </c>
      <c r="E1882" s="12" t="str">
        <f>HYPERLINK("https://twitter.com/TBtalks/status/1217159898020110337","1217159898020110337")</f>
        <v>1217159898020110337</v>
      </c>
      <c r="F1882" s="13" t="s">
        <v>8700</v>
      </c>
      <c r="G1882" s="13" t="s">
        <v>8701</v>
      </c>
      <c r="H1882" s="14"/>
      <c r="I1882" s="15">
        <v>1.0</v>
      </c>
      <c r="J1882" s="15">
        <v>0.0</v>
      </c>
      <c r="K1882" s="12" t="str">
        <f t="shared" si="193"/>
        <v>Hootsuite Inc.</v>
      </c>
      <c r="L1882" s="16">
        <v>1190.0</v>
      </c>
      <c r="M1882" s="16">
        <v>566.0</v>
      </c>
      <c r="N1882" s="16">
        <v>25.0</v>
      </c>
      <c r="O1882" s="17"/>
      <c r="P1882" s="18">
        <v>41197.62918981482</v>
      </c>
      <c r="Q1882" s="1" t="s">
        <v>358</v>
      </c>
      <c r="R1882" s="1" t="s">
        <v>359</v>
      </c>
      <c r="S1882" s="13" t="s">
        <v>360</v>
      </c>
      <c r="T1882" s="14"/>
      <c r="U1882" s="19" t="str">
        <f>HYPERLINK("https://pbs.twimg.com/profile_images/1181990097610256384/DQu0ny3B.jpg","View")</f>
        <v>View</v>
      </c>
      <c r="V1882" s="14"/>
      <c r="W1882" s="14"/>
      <c r="X1882" s="14"/>
      <c r="Y1882" s="14"/>
      <c r="Z1882" s="14"/>
    </row>
    <row r="1883">
      <c r="A1883" s="11">
        <v>43844.58351851851</v>
      </c>
      <c r="B1883" s="12" t="str">
        <f>HYPERLINK("https://twitter.com/SoIsFibroReal","@SoIsFibroReal")</f>
        <v>@SoIsFibroReal</v>
      </c>
      <c r="C1883" s="1" t="s">
        <v>1543</v>
      </c>
      <c r="D1883" s="1" t="s">
        <v>8702</v>
      </c>
      <c r="E1883" s="12" t="str">
        <f>HYPERLINK("https://twitter.com/SoIsFibroReal/status/1217159514341900288","1217159514341900288")</f>
        <v>1217159514341900288</v>
      </c>
      <c r="F1883" s="13" t="s">
        <v>4002</v>
      </c>
      <c r="G1883" s="14"/>
      <c r="H1883" s="14"/>
      <c r="I1883" s="15">
        <v>1.0</v>
      </c>
      <c r="J1883" s="15">
        <v>3.0</v>
      </c>
      <c r="K1883" s="12" t="str">
        <f>HYPERLINK("https://mobile.twitter.com","Twitter Web App")</f>
        <v>Twitter Web App</v>
      </c>
      <c r="L1883" s="16">
        <v>4890.0</v>
      </c>
      <c r="M1883" s="16">
        <v>5373.0</v>
      </c>
      <c r="N1883" s="16">
        <v>38.0</v>
      </c>
      <c r="O1883" s="17"/>
      <c r="P1883" s="18">
        <v>42783.583125000005</v>
      </c>
      <c r="Q1883" s="1" t="s">
        <v>143</v>
      </c>
      <c r="R1883" s="1" t="s">
        <v>1546</v>
      </c>
      <c r="S1883" s="13" t="s">
        <v>1547</v>
      </c>
      <c r="T1883" s="14"/>
      <c r="U1883" s="19" t="str">
        <f>HYPERLINK("https://pbs.twimg.com/profile_images/833390340778422278/g2ya39PE.jpg","View")</f>
        <v>View</v>
      </c>
      <c r="V1883" s="14"/>
      <c r="W1883" s="14"/>
      <c r="X1883" s="14"/>
      <c r="Y1883" s="14"/>
      <c r="Z1883" s="14"/>
    </row>
    <row r="1884">
      <c r="A1884" s="11">
        <v>43844.5815162037</v>
      </c>
      <c r="B1884" s="12" t="str">
        <f>HYPERLINK("https://twitter.com/Janetleehoward","@Janetleehoward")</f>
        <v>@Janetleehoward</v>
      </c>
      <c r="C1884" s="1" t="s">
        <v>8703</v>
      </c>
      <c r="D1884" s="1" t="s">
        <v>8704</v>
      </c>
      <c r="E1884" s="12" t="str">
        <f>HYPERLINK("https://twitter.com/Janetleehoward/status/1217158789125808129","1217158789125808129")</f>
        <v>1217158789125808129</v>
      </c>
      <c r="F1884" s="13" t="s">
        <v>8705</v>
      </c>
      <c r="G1884" s="13" t="s">
        <v>8706</v>
      </c>
      <c r="H1884" s="14"/>
      <c r="I1884" s="15">
        <v>0.0</v>
      </c>
      <c r="J1884" s="15">
        <v>0.0</v>
      </c>
      <c r="K1884" s="12" t="str">
        <f>HYPERLINK("https://www.corelistingmachine.com/","CORE ListingMachine")</f>
        <v>CORE ListingMachine</v>
      </c>
      <c r="L1884" s="16">
        <v>537.0</v>
      </c>
      <c r="M1884" s="16">
        <v>464.0</v>
      </c>
      <c r="N1884" s="16">
        <v>24.0</v>
      </c>
      <c r="O1884" s="17"/>
      <c r="P1884" s="18">
        <v>39804.60194444445</v>
      </c>
      <c r="Q1884" s="1" t="s">
        <v>8707</v>
      </c>
      <c r="R1884" s="1" t="s">
        <v>8708</v>
      </c>
      <c r="S1884" s="14"/>
      <c r="T1884" s="14"/>
      <c r="U1884" s="19" t="str">
        <f>HYPERLINK("https://pbs.twimg.com/profile_images/1086277257738350594/9BoEW1xu.jpg","View")</f>
        <v>View</v>
      </c>
      <c r="V1884" s="14"/>
      <c r="W1884" s="14"/>
      <c r="X1884" s="14"/>
      <c r="Y1884" s="14"/>
      <c r="Z1884" s="14"/>
    </row>
    <row r="1885">
      <c r="A1885" s="11">
        <v>43844.576215277775</v>
      </c>
      <c r="B1885" s="12" t="str">
        <f>HYPERLINK("https://twitter.com/catstaycalm","@catstaycalm")</f>
        <v>@catstaycalm</v>
      </c>
      <c r="C1885" s="1" t="s">
        <v>8709</v>
      </c>
      <c r="D1885" s="1" t="s">
        <v>8710</v>
      </c>
      <c r="E1885" s="12" t="str">
        <f>HYPERLINK("https://twitter.com/catstaycalm/status/1217156866289143815","1217156866289143815")</f>
        <v>1217156866289143815</v>
      </c>
      <c r="F1885" s="13" t="s">
        <v>8711</v>
      </c>
      <c r="G1885" s="14"/>
      <c r="H1885" s="14"/>
      <c r="I1885" s="15">
        <v>0.0</v>
      </c>
      <c r="J1885" s="15">
        <v>1.0</v>
      </c>
      <c r="K1885" s="12" t="str">
        <f>HYPERLINK("http://instagram.com","Instagram")</f>
        <v>Instagram</v>
      </c>
      <c r="L1885" s="16">
        <v>1553.0</v>
      </c>
      <c r="M1885" s="16">
        <v>2055.0</v>
      </c>
      <c r="N1885" s="16">
        <v>56.0</v>
      </c>
      <c r="O1885" s="17"/>
      <c r="P1885" s="18">
        <v>41209.715625</v>
      </c>
      <c r="Q1885" s="1" t="s">
        <v>8712</v>
      </c>
      <c r="R1885" s="1" t="s">
        <v>8713</v>
      </c>
      <c r="S1885" s="13" t="s">
        <v>8714</v>
      </c>
      <c r="T1885" s="14"/>
      <c r="U1885" s="19" t="str">
        <f>HYPERLINK("https://pbs.twimg.com/profile_images/510809646559264768/drnu8nLR.jpeg","View")</f>
        <v>View</v>
      </c>
      <c r="V1885" s="14"/>
      <c r="W1885" s="14"/>
      <c r="X1885" s="14"/>
      <c r="Y1885" s="14"/>
      <c r="Z1885" s="14"/>
    </row>
    <row r="1886">
      <c r="A1886" s="11">
        <v>43844.575266203705</v>
      </c>
      <c r="B1886" s="12" t="str">
        <f>HYPERLINK("https://twitter.com/ScentFill","@ScentFill")</f>
        <v>@ScentFill</v>
      </c>
      <c r="C1886" s="1" t="s">
        <v>960</v>
      </c>
      <c r="D1886" s="1" t="s">
        <v>8715</v>
      </c>
      <c r="E1886" s="12" t="str">
        <f>HYPERLINK("https://twitter.com/ScentFill/status/1217156523857719296","1217156523857719296")</f>
        <v>1217156523857719296</v>
      </c>
      <c r="F1886" s="13" t="s">
        <v>8716</v>
      </c>
      <c r="G1886" s="13" t="s">
        <v>8717</v>
      </c>
      <c r="H1886" s="14"/>
      <c r="I1886" s="15">
        <v>0.0</v>
      </c>
      <c r="J1886" s="15">
        <v>1.0</v>
      </c>
      <c r="K1886" s="12" t="str">
        <f>HYPERLINK("https://www.socialoomph.com","SocialOomph")</f>
        <v>SocialOomph</v>
      </c>
      <c r="L1886" s="16">
        <v>1863.0</v>
      </c>
      <c r="M1886" s="16">
        <v>2105.0</v>
      </c>
      <c r="N1886" s="16">
        <v>25.0</v>
      </c>
      <c r="O1886" s="17"/>
      <c r="P1886" s="18">
        <v>42692.65809027778</v>
      </c>
      <c r="Q1886" s="14"/>
      <c r="R1886" s="1" t="s">
        <v>964</v>
      </c>
      <c r="S1886" s="13" t="s">
        <v>965</v>
      </c>
      <c r="T1886" s="14"/>
      <c r="U1886" s="19" t="str">
        <f>HYPERLINK("https://pbs.twimg.com/profile_images/799717698556956672/mdITl9zd.jpg","View")</f>
        <v>View</v>
      </c>
      <c r="V1886" s="14"/>
      <c r="W1886" s="14"/>
      <c r="X1886" s="14"/>
      <c r="Y1886" s="14"/>
      <c r="Z1886" s="14"/>
    </row>
    <row r="1887">
      <c r="A1887" s="11">
        <v>43844.57450231482</v>
      </c>
      <c r="B1887" s="12" t="str">
        <f>HYPERLINK("https://twitter.com/LorieCBN","@LorieCBN")</f>
        <v>@LorieCBN</v>
      </c>
      <c r="C1887" s="1" t="s">
        <v>8718</v>
      </c>
      <c r="D1887" s="1" t="s">
        <v>8719</v>
      </c>
      <c r="E1887" s="12" t="str">
        <f>HYPERLINK("https://twitter.com/LorieCBN/status/1217156247935385611","1217156247935385611")</f>
        <v>1217156247935385611</v>
      </c>
      <c r="F1887" s="14"/>
      <c r="G1887" s="13" t="s">
        <v>8720</v>
      </c>
      <c r="H1887" s="14"/>
      <c r="I1887" s="15">
        <v>2.0</v>
      </c>
      <c r="J1887" s="15">
        <v>2.0</v>
      </c>
      <c r="K1887" s="12" t="str">
        <f>HYPERLINK("http://twitter.com/download/iphone","Twitter for iPhone")</f>
        <v>Twitter for iPhone</v>
      </c>
      <c r="L1887" s="16">
        <v>2491.0</v>
      </c>
      <c r="M1887" s="16">
        <v>339.0</v>
      </c>
      <c r="N1887" s="16">
        <v>149.0</v>
      </c>
      <c r="O1887" s="17"/>
      <c r="P1887" s="18">
        <v>40417.942025462966</v>
      </c>
      <c r="Q1887" s="1" t="s">
        <v>8721</v>
      </c>
      <c r="R1887" s="1" t="s">
        <v>8722</v>
      </c>
      <c r="S1887" s="13" t="s">
        <v>8723</v>
      </c>
      <c r="T1887" s="14"/>
      <c r="U1887" s="19" t="str">
        <f>HYPERLINK("https://pbs.twimg.com/profile_images/2361506356/90qrban9ntjeaqxzgu2n.jpeg","View")</f>
        <v>View</v>
      </c>
      <c r="V1887" s="14"/>
      <c r="W1887" s="14"/>
      <c r="X1887" s="14"/>
      <c r="Y1887" s="14"/>
      <c r="Z1887" s="14"/>
    </row>
    <row r="1888">
      <c r="A1888" s="11">
        <v>43844.573101851856</v>
      </c>
      <c r="B1888" s="12" t="str">
        <f>HYPERLINK("https://twitter.com/WanaBrands","@WanaBrands")</f>
        <v>@WanaBrands</v>
      </c>
      <c r="C1888" s="1" t="s">
        <v>8724</v>
      </c>
      <c r="D1888" s="1" t="s">
        <v>8725</v>
      </c>
      <c r="E1888" s="12" t="str">
        <f>HYPERLINK("https://twitter.com/WanaBrands/status/1217155738319171584","1217155738319171584")</f>
        <v>1217155738319171584</v>
      </c>
      <c r="F1888" s="14"/>
      <c r="G1888" s="13" t="s">
        <v>8726</v>
      </c>
      <c r="H1888" s="14"/>
      <c r="I1888" s="15">
        <v>0.0</v>
      </c>
      <c r="J1888" s="15">
        <v>0.0</v>
      </c>
      <c r="K1888" s="12" t="str">
        <f>HYPERLINK("https://www.hootsuite.com","Hootsuite Inc.")</f>
        <v>Hootsuite Inc.</v>
      </c>
      <c r="L1888" s="16">
        <v>2322.0</v>
      </c>
      <c r="M1888" s="16">
        <v>993.0</v>
      </c>
      <c r="N1888" s="16">
        <v>57.0</v>
      </c>
      <c r="O1888" s="17"/>
      <c r="P1888" s="18">
        <v>41400.48152777778</v>
      </c>
      <c r="Q1888" s="1" t="s">
        <v>1485</v>
      </c>
      <c r="R1888" s="1" t="s">
        <v>8727</v>
      </c>
      <c r="S1888" s="13" t="s">
        <v>8728</v>
      </c>
      <c r="T1888" s="14"/>
      <c r="U1888" s="19" t="str">
        <f>HYPERLINK("https://pbs.twimg.com/profile_images/1203005187578847233/qEADneIv.jpg","View")</f>
        <v>View</v>
      </c>
      <c r="V1888" s="14"/>
      <c r="W1888" s="14"/>
      <c r="X1888" s="14"/>
      <c r="Y1888" s="14"/>
      <c r="Z1888" s="14"/>
    </row>
    <row r="1889">
      <c r="A1889" s="11">
        <v>43844.57162037037</v>
      </c>
      <c r="B1889" s="12" t="str">
        <f>HYPERLINK("https://twitter.com/SandSable1","@SandSable1")</f>
        <v>@SandSable1</v>
      </c>
      <c r="C1889" s="1" t="s">
        <v>8729</v>
      </c>
      <c r="D1889" s="1" t="s">
        <v>8730</v>
      </c>
      <c r="E1889" s="12" t="str">
        <f>HYPERLINK("https://twitter.com/SandSable1/status/1217155203952234496","1217155203952234496")</f>
        <v>1217155203952234496</v>
      </c>
      <c r="F1889" s="13" t="s">
        <v>8731</v>
      </c>
      <c r="G1889" s="14"/>
      <c r="H1889" s="14"/>
      <c r="I1889" s="15">
        <v>0.0</v>
      </c>
      <c r="J1889" s="15">
        <v>1.0</v>
      </c>
      <c r="K1889" s="12" t="str">
        <f>HYPERLINK("https://mobile.twitter.com","Twitter Web App")</f>
        <v>Twitter Web App</v>
      </c>
      <c r="L1889" s="16">
        <v>29.0</v>
      </c>
      <c r="M1889" s="16">
        <v>34.0</v>
      </c>
      <c r="N1889" s="16">
        <v>0.0</v>
      </c>
      <c r="O1889" s="17"/>
      <c r="P1889" s="18">
        <v>43844.3696412037</v>
      </c>
      <c r="Q1889" s="14"/>
      <c r="R1889" s="1" t="s">
        <v>8732</v>
      </c>
      <c r="S1889" s="14"/>
      <c r="T1889" s="14"/>
      <c r="U1889" s="19" t="str">
        <f>HYPERLINK("https://pbs.twimg.com/profile_images/1217110453144428546/ghONONO8.png","View")</f>
        <v>View</v>
      </c>
      <c r="V1889" s="14"/>
      <c r="W1889" s="14"/>
      <c r="X1889" s="14"/>
      <c r="Y1889" s="14"/>
      <c r="Z1889" s="14"/>
    </row>
    <row r="1890">
      <c r="A1890" s="11">
        <v>43844.568761574075</v>
      </c>
      <c r="B1890" s="12" t="str">
        <f>HYPERLINK("https://twitter.com/Babadetide","@Babadetide")</f>
        <v>@Babadetide</v>
      </c>
      <c r="C1890" s="1" t="s">
        <v>8733</v>
      </c>
      <c r="D1890" s="1" t="s">
        <v>8734</v>
      </c>
      <c r="E1890" s="12" t="str">
        <f>HYPERLINK("https://twitter.com/Babadetide/status/1217154164393988096","1217154164393988096")</f>
        <v>1217154164393988096</v>
      </c>
      <c r="F1890" s="14"/>
      <c r="G1890" s="13" t="s">
        <v>8735</v>
      </c>
      <c r="H1890" s="14"/>
      <c r="I1890" s="15">
        <v>0.0</v>
      </c>
      <c r="J1890" s="15">
        <v>3.0</v>
      </c>
      <c r="K1890" s="12" t="str">
        <f>HYPERLINK("http://twitter.com/download/android","Twitter for Android")</f>
        <v>Twitter for Android</v>
      </c>
      <c r="L1890" s="16">
        <v>938.0</v>
      </c>
      <c r="M1890" s="16">
        <v>840.0</v>
      </c>
      <c r="N1890" s="16">
        <v>13.0</v>
      </c>
      <c r="O1890" s="17"/>
      <c r="P1890" s="18">
        <v>40585.53944444445</v>
      </c>
      <c r="Q1890" s="1" t="s">
        <v>3729</v>
      </c>
      <c r="R1890" s="1" t="s">
        <v>8736</v>
      </c>
      <c r="S1890" s="14"/>
      <c r="T1890" s="14"/>
      <c r="U1890" s="19" t="str">
        <f>HYPERLINK("https://pbs.twimg.com/profile_images/602624326198808576/pqb4z2pU.jpg","View")</f>
        <v>View</v>
      </c>
      <c r="V1890" s="14"/>
      <c r="W1890" s="14"/>
      <c r="X1890" s="14"/>
      <c r="Y1890" s="14"/>
      <c r="Z1890" s="14"/>
    </row>
    <row r="1891">
      <c r="A1891" s="11">
        <v>43844.56717592593</v>
      </c>
      <c r="B1891" s="12" t="str">
        <f>HYPERLINK("https://twitter.com/LlcCup","@LlcCup")</f>
        <v>@LlcCup</v>
      </c>
      <c r="C1891" s="1" t="s">
        <v>8737</v>
      </c>
      <c r="D1891" s="1" t="s">
        <v>8738</v>
      </c>
      <c r="E1891" s="12" t="str">
        <f>HYPERLINK("https://twitter.com/LlcCup/status/1217153590688731138","1217153590688731138")</f>
        <v>1217153590688731138</v>
      </c>
      <c r="F1891" s="13" t="s">
        <v>8739</v>
      </c>
      <c r="G1891" s="14"/>
      <c r="H1891" s="14"/>
      <c r="I1891" s="15">
        <v>0.0</v>
      </c>
      <c r="J1891" s="15">
        <v>2.0</v>
      </c>
      <c r="K1891" s="12" t="str">
        <f>HYPERLINK("http://twitter.com/download/iphone","Twitter for iPhone")</f>
        <v>Twitter for iPhone</v>
      </c>
      <c r="L1891" s="16">
        <v>0.0</v>
      </c>
      <c r="M1891" s="16">
        <v>6.0</v>
      </c>
      <c r="N1891" s="16">
        <v>0.0</v>
      </c>
      <c r="O1891" s="17"/>
      <c r="P1891" s="18">
        <v>43816.61644675926</v>
      </c>
      <c r="Q1891" s="14"/>
      <c r="R1891" s="1" t="s">
        <v>8740</v>
      </c>
      <c r="S1891" s="14"/>
      <c r="T1891" s="14"/>
      <c r="U1891" s="19" t="str">
        <f>HYPERLINK("https://pbs.twimg.com/profile_images/1207024641962844162/gJcGsJN9.jpg","View")</f>
        <v>View</v>
      </c>
      <c r="V1891" s="14"/>
      <c r="W1891" s="14"/>
      <c r="X1891" s="14"/>
      <c r="Y1891" s="14"/>
      <c r="Z1891" s="14"/>
    </row>
    <row r="1892">
      <c r="A1892" s="11">
        <v>43844.56548611111</v>
      </c>
      <c r="B1892" s="12" t="str">
        <f>HYPERLINK("https://twitter.com/happycbdstore","@happycbdstore")</f>
        <v>@happycbdstore</v>
      </c>
      <c r="C1892" s="1" t="s">
        <v>4038</v>
      </c>
      <c r="D1892" s="1" t="s">
        <v>8741</v>
      </c>
      <c r="E1892" s="12" t="str">
        <f>HYPERLINK("https://twitter.com/happycbdstore/status/1217152978735362049","1217152978735362049")</f>
        <v>1217152978735362049</v>
      </c>
      <c r="F1892" s="13" t="s">
        <v>8742</v>
      </c>
      <c r="G1892" s="13" t="s">
        <v>8743</v>
      </c>
      <c r="H1892" s="14"/>
      <c r="I1892" s="15">
        <v>1.0</v>
      </c>
      <c r="J1892" s="15">
        <v>1.0</v>
      </c>
      <c r="K1892" s="12" t="str">
        <f>HYPERLINK("https://mobile.twitter.com","Twitter Web App")</f>
        <v>Twitter Web App</v>
      </c>
      <c r="L1892" s="16">
        <v>661.0</v>
      </c>
      <c r="M1892" s="16">
        <v>685.0</v>
      </c>
      <c r="N1892" s="16">
        <v>10.0</v>
      </c>
      <c r="O1892" s="17"/>
      <c r="P1892" s="18">
        <v>43070.83542824074</v>
      </c>
      <c r="Q1892" s="1" t="s">
        <v>1493</v>
      </c>
      <c r="R1892" s="1" t="s">
        <v>4042</v>
      </c>
      <c r="S1892" s="13" t="s">
        <v>4043</v>
      </c>
      <c r="T1892" s="14"/>
      <c r="U1892" s="19" t="str">
        <f>HYPERLINK("https://pbs.twimg.com/profile_images/1089683579007787008/v8sX5MRm.jpg","View")</f>
        <v>View</v>
      </c>
      <c r="V1892" s="14"/>
      <c r="W1892" s="14"/>
      <c r="X1892" s="14"/>
      <c r="Y1892" s="14"/>
      <c r="Z1892" s="14"/>
    </row>
    <row r="1893">
      <c r="A1893" s="11">
        <v>43844.56349537037</v>
      </c>
      <c r="B1893" s="12" t="str">
        <f>HYPERLINK("https://twitter.com/hanna_higher","@hanna_higher")</f>
        <v>@hanna_higher</v>
      </c>
      <c r="C1893" s="1" t="s">
        <v>4327</v>
      </c>
      <c r="D1893" s="1" t="s">
        <v>8744</v>
      </c>
      <c r="E1893" s="12" t="str">
        <f>HYPERLINK("https://twitter.com/hanna_higher/status/1217152257709543426","1217152257709543426")</f>
        <v>1217152257709543426</v>
      </c>
      <c r="F1893" s="14"/>
      <c r="G1893" s="13" t="s">
        <v>8745</v>
      </c>
      <c r="H1893" s="14"/>
      <c r="I1893" s="15">
        <v>0.0</v>
      </c>
      <c r="J1893" s="15">
        <v>1.0</v>
      </c>
      <c r="K1893" s="12" t="str">
        <f>HYPERLINK("https://coschedule.com","CoSchedule")</f>
        <v>CoSchedule</v>
      </c>
      <c r="L1893" s="16">
        <v>32623.0</v>
      </c>
      <c r="M1893" s="16">
        <v>22884.0</v>
      </c>
      <c r="N1893" s="16">
        <v>321.0</v>
      </c>
      <c r="O1893" s="17"/>
      <c r="P1893" s="18">
        <v>42464.42574074074</v>
      </c>
      <c r="Q1893" s="1" t="s">
        <v>1493</v>
      </c>
      <c r="R1893" s="1" t="s">
        <v>4330</v>
      </c>
      <c r="S1893" s="13" t="s">
        <v>4331</v>
      </c>
      <c r="T1893" s="14"/>
      <c r="U1893" s="19" t="str">
        <f>HYPERLINK("https://pbs.twimg.com/profile_images/1170703917379928066/9Wzw-O1O.jpg","View")</f>
        <v>View</v>
      </c>
      <c r="V1893" s="14"/>
      <c r="W1893" s="14"/>
      <c r="X1893" s="14"/>
      <c r="Y1893" s="14"/>
      <c r="Z1893" s="14"/>
    </row>
    <row r="1894">
      <c r="A1894" s="11">
        <v>43844.560625</v>
      </c>
      <c r="B1894" s="12" t="str">
        <f>HYPERLINK("https://twitter.com/MahiraK12128172","@MahiraK12128172")</f>
        <v>@MahiraK12128172</v>
      </c>
      <c r="C1894" s="1" t="s">
        <v>1961</v>
      </c>
      <c r="D1894" s="1" t="s">
        <v>8746</v>
      </c>
      <c r="E1894" s="12" t="str">
        <f>HYPERLINK("https://twitter.com/MahiraK12128172/status/1217151217643728896","1217151217643728896")</f>
        <v>1217151217643728896</v>
      </c>
      <c r="F1894" s="14"/>
      <c r="G1894" s="13" t="s">
        <v>8747</v>
      </c>
      <c r="H1894" s="14"/>
      <c r="I1894" s="15">
        <v>0.0</v>
      </c>
      <c r="J1894" s="15">
        <v>2.0</v>
      </c>
      <c r="K1894" s="12" t="str">
        <f>HYPERLINK("http://twitter.com/download/android","Twitter for Android")</f>
        <v>Twitter for Android</v>
      </c>
      <c r="L1894" s="16">
        <v>7.0</v>
      </c>
      <c r="M1894" s="16">
        <v>6.0</v>
      </c>
      <c r="N1894" s="16">
        <v>0.0</v>
      </c>
      <c r="O1894" s="17"/>
      <c r="P1894" s="18">
        <v>43828.45667824074</v>
      </c>
      <c r="Q1894" s="14"/>
      <c r="R1894" s="1" t="s">
        <v>1963</v>
      </c>
      <c r="S1894" s="14"/>
      <c r="T1894" s="14"/>
      <c r="U1894" s="19" t="str">
        <f>HYPERLINK("https://pbs.twimg.com/profile_images/1215238874550632448/rjhz6sRR.jpg","View")</f>
        <v>View</v>
      </c>
      <c r="V1894" s="14"/>
      <c r="W1894" s="14"/>
      <c r="X1894" s="14"/>
      <c r="Y1894" s="14"/>
      <c r="Z1894" s="14"/>
    </row>
    <row r="1895">
      <c r="A1895" s="11">
        <v>43844.55917824074</v>
      </c>
      <c r="B1895" s="12" t="str">
        <f>HYPERLINK("https://twitter.com/PureEssenceLabs","@PureEssenceLabs")</f>
        <v>@PureEssenceLabs</v>
      </c>
      <c r="C1895" s="1" t="s">
        <v>8748</v>
      </c>
      <c r="D1895" s="1" t="s">
        <v>8749</v>
      </c>
      <c r="E1895" s="12" t="str">
        <f>HYPERLINK("https://twitter.com/PureEssenceLabs/status/1217150691728379905","1217150691728379905")</f>
        <v>1217150691728379905</v>
      </c>
      <c r="F1895" s="14"/>
      <c r="G1895" s="13" t="s">
        <v>8750</v>
      </c>
      <c r="H1895" s="14"/>
      <c r="I1895" s="15">
        <v>2.0</v>
      </c>
      <c r="J1895" s="15">
        <v>2.0</v>
      </c>
      <c r="K1895" s="12" t="str">
        <f>HYPERLINK("https://mobile.twitter.com","Twitter Web App")</f>
        <v>Twitter Web App</v>
      </c>
      <c r="L1895" s="16">
        <v>2902.0</v>
      </c>
      <c r="M1895" s="16">
        <v>1758.0</v>
      </c>
      <c r="N1895" s="16">
        <v>141.0</v>
      </c>
      <c r="O1895" s="17"/>
      <c r="P1895" s="18">
        <v>40410.64386574074</v>
      </c>
      <c r="Q1895" s="1" t="s">
        <v>115</v>
      </c>
      <c r="R1895" s="1" t="s">
        <v>8751</v>
      </c>
      <c r="S1895" s="13" t="s">
        <v>8752</v>
      </c>
      <c r="T1895" s="14"/>
      <c r="U1895" s="19" t="str">
        <f>HYPERLINK("https://pbs.twimg.com/profile_images/1096140050943733760/MU-tW3F9.png","View")</f>
        <v>View</v>
      </c>
      <c r="V1895" s="14"/>
      <c r="W1895" s="14"/>
      <c r="X1895" s="14"/>
      <c r="Y1895" s="14"/>
      <c r="Z1895" s="14"/>
    </row>
    <row r="1896">
      <c r="A1896" s="11">
        <v>43844.55907407407</v>
      </c>
      <c r="B1896" s="12" t="str">
        <f>HYPERLINK("https://twitter.com/GraceMedHealth","@GraceMedHealth")</f>
        <v>@GraceMedHealth</v>
      </c>
      <c r="C1896" s="1" t="s">
        <v>6342</v>
      </c>
      <c r="D1896" s="1" t="s">
        <v>6343</v>
      </c>
      <c r="E1896" s="12" t="str">
        <f>HYPERLINK("https://twitter.com/GraceMedHealth/status/1217150655724490752","1217150655724490752")</f>
        <v>1217150655724490752</v>
      </c>
      <c r="F1896" s="13" t="s">
        <v>6344</v>
      </c>
      <c r="G1896" s="13" t="s">
        <v>8753</v>
      </c>
      <c r="H1896" s="14"/>
      <c r="I1896" s="15">
        <v>0.0</v>
      </c>
      <c r="J1896" s="15">
        <v>0.0</v>
      </c>
      <c r="K1896" s="12" t="str">
        <f>HYPERLINK("https://coschedule.com","CoSchedule")</f>
        <v>CoSchedule</v>
      </c>
      <c r="L1896" s="16">
        <v>805.0</v>
      </c>
      <c r="M1896" s="16">
        <v>663.0</v>
      </c>
      <c r="N1896" s="16">
        <v>21.0</v>
      </c>
      <c r="O1896" s="17"/>
      <c r="P1896" s="18">
        <v>40385.613969907405</v>
      </c>
      <c r="Q1896" s="1" t="s">
        <v>957</v>
      </c>
      <c r="R1896" s="1" t="s">
        <v>6346</v>
      </c>
      <c r="S1896" s="13" t="s">
        <v>6347</v>
      </c>
      <c r="T1896" s="14"/>
      <c r="U1896" s="19" t="str">
        <f>HYPERLINK("https://pbs.twimg.com/profile_images/857939978717978625/YJtuLB4U.jpg","View")</f>
        <v>View</v>
      </c>
      <c r="V1896" s="14"/>
      <c r="W1896" s="14"/>
      <c r="X1896" s="14"/>
      <c r="Y1896" s="14"/>
      <c r="Z1896" s="14"/>
    </row>
    <row r="1897">
      <c r="A1897" s="11">
        <v>43844.55799768519</v>
      </c>
      <c r="B1897" s="12" t="str">
        <f>HYPERLINK("https://twitter.com/HomeswithERG","@HomeswithERG")</f>
        <v>@HomeswithERG</v>
      </c>
      <c r="C1897" s="1" t="s">
        <v>8754</v>
      </c>
      <c r="D1897" s="1" t="s">
        <v>8755</v>
      </c>
      <c r="E1897" s="12" t="str">
        <f>HYPERLINK("https://twitter.com/HomeswithERG/status/1217150265410932741","1217150265410932741")</f>
        <v>1217150265410932741</v>
      </c>
      <c r="F1897" s="13" t="s">
        <v>8756</v>
      </c>
      <c r="G1897" s="13" t="s">
        <v>8757</v>
      </c>
      <c r="H1897" s="14"/>
      <c r="I1897" s="15">
        <v>0.0</v>
      </c>
      <c r="J1897" s="15">
        <v>0.0</v>
      </c>
      <c r="K1897" s="12" t="str">
        <f>HYPERLINK("https://www.corelistingmachine.com/","CORE ListingMachine")</f>
        <v>CORE ListingMachine</v>
      </c>
      <c r="L1897" s="16">
        <v>23.0</v>
      </c>
      <c r="M1897" s="16">
        <v>10.0</v>
      </c>
      <c r="N1897" s="16">
        <v>0.0</v>
      </c>
      <c r="O1897" s="17"/>
      <c r="P1897" s="18">
        <v>43047.69825231482</v>
      </c>
      <c r="Q1897" s="1" t="s">
        <v>8758</v>
      </c>
      <c r="R1897" s="14"/>
      <c r="S1897" s="13" t="s">
        <v>8759</v>
      </c>
      <c r="T1897" s="14"/>
      <c r="U1897" s="19" t="str">
        <f>HYPERLINK("https://pbs.twimg.com/profile_images/928379266806448128/kuzEjs8G.jpg","View")</f>
        <v>View</v>
      </c>
      <c r="V1897" s="14"/>
      <c r="W1897" s="14"/>
      <c r="X1897" s="14"/>
      <c r="Y1897" s="14"/>
      <c r="Z1897" s="14"/>
    </row>
    <row r="1898">
      <c r="A1898" s="11">
        <v>43844.557592592595</v>
      </c>
      <c r="B1898" s="12" t="str">
        <f>HYPERLINK("https://twitter.com/_Zoe_Andrews","@_Zoe_Andrews")</f>
        <v>@_Zoe_Andrews</v>
      </c>
      <c r="C1898" s="1" t="s">
        <v>8760</v>
      </c>
      <c r="D1898" s="1" t="s">
        <v>8761</v>
      </c>
      <c r="E1898" s="12" t="str">
        <f>HYPERLINK("https://twitter.com/_Zoe_Andrews/status/1217150117217742848","1217150117217742848")</f>
        <v>1217150117217742848</v>
      </c>
      <c r="F1898" s="14"/>
      <c r="G1898" s="13" t="s">
        <v>8762</v>
      </c>
      <c r="H1898" s="14"/>
      <c r="I1898" s="15">
        <v>0.0</v>
      </c>
      <c r="J1898" s="15">
        <v>11.0</v>
      </c>
      <c r="K1898" s="12" t="str">
        <f>HYPERLINK("https://mobile.twitter.com","Twitter Web App")</f>
        <v>Twitter Web App</v>
      </c>
      <c r="L1898" s="16">
        <v>869.0</v>
      </c>
      <c r="M1898" s="16">
        <v>1387.0</v>
      </c>
      <c r="N1898" s="16">
        <v>2.0</v>
      </c>
      <c r="O1898" s="17"/>
      <c r="P1898" s="18">
        <v>40646.767233796294</v>
      </c>
      <c r="Q1898" s="1" t="s">
        <v>8763</v>
      </c>
      <c r="R1898" s="1" t="s">
        <v>8764</v>
      </c>
      <c r="S1898" s="14"/>
      <c r="T1898" s="14"/>
      <c r="U1898" s="19" t="str">
        <f>HYPERLINK("https://pbs.twimg.com/profile_images/1217196086479216642/nu0gIXlB.jpg","View")</f>
        <v>View</v>
      </c>
      <c r="V1898" s="14"/>
      <c r="W1898" s="14"/>
      <c r="X1898" s="14"/>
      <c r="Y1898" s="14"/>
      <c r="Z1898" s="14"/>
    </row>
    <row r="1899">
      <c r="A1899" s="11">
        <v>43844.55625</v>
      </c>
      <c r="B1899" s="12" t="str">
        <f>HYPERLINK("https://twitter.com/getyourfeelzon","@getyourfeelzon")</f>
        <v>@getyourfeelzon</v>
      </c>
      <c r="C1899" s="1" t="s">
        <v>8765</v>
      </c>
      <c r="D1899" s="1" t="s">
        <v>8766</v>
      </c>
      <c r="E1899" s="12" t="str">
        <f>HYPERLINK("https://twitter.com/getyourfeelzon/status/1217149632121311232","1217149632121311232")</f>
        <v>1217149632121311232</v>
      </c>
      <c r="F1899" s="14"/>
      <c r="G1899" s="13" t="s">
        <v>8767</v>
      </c>
      <c r="H1899" s="14"/>
      <c r="I1899" s="15">
        <v>1.0</v>
      </c>
      <c r="J1899" s="15">
        <v>2.0</v>
      </c>
      <c r="K1899" s="12" t="str">
        <f>HYPERLINK("https://www.semrush.com/","SEMrush Social Media Tool")</f>
        <v>SEMrush Social Media Tool</v>
      </c>
      <c r="L1899" s="16">
        <v>134.0</v>
      </c>
      <c r="M1899" s="16">
        <v>311.0</v>
      </c>
      <c r="N1899" s="16">
        <v>3.0</v>
      </c>
      <c r="O1899" s="17"/>
      <c r="P1899" s="18">
        <v>41213.71070601852</v>
      </c>
      <c r="Q1899" s="1" t="s">
        <v>8768</v>
      </c>
      <c r="R1899" s="1" t="s">
        <v>8769</v>
      </c>
      <c r="S1899" s="13" t="s">
        <v>8770</v>
      </c>
      <c r="T1899" s="14"/>
      <c r="U1899" s="19" t="str">
        <f>HYPERLINK("https://pbs.twimg.com/profile_images/1172214605189439488/10xSb6ZC.jpg","View")</f>
        <v>View</v>
      </c>
      <c r="V1899" s="14"/>
      <c r="W1899" s="14"/>
      <c r="X1899" s="14"/>
      <c r="Y1899" s="14"/>
      <c r="Z1899" s="14"/>
    </row>
    <row r="1900">
      <c r="A1900" s="11">
        <v>43844.554884259254</v>
      </c>
      <c r="B1900" s="12" t="str">
        <f>HYPERLINK("https://twitter.com/pat_capel","@pat_capel")</f>
        <v>@pat_capel</v>
      </c>
      <c r="C1900" s="1" t="s">
        <v>8771</v>
      </c>
      <c r="D1900" s="1" t="s">
        <v>8772</v>
      </c>
      <c r="E1900" s="12" t="str">
        <f>HYPERLINK("https://twitter.com/pat_capel/status/1217149138246295552","1217149138246295552")</f>
        <v>1217149138246295552</v>
      </c>
      <c r="F1900" s="13" t="s">
        <v>8773</v>
      </c>
      <c r="G1900" s="13" t="s">
        <v>8774</v>
      </c>
      <c r="H1900" s="14"/>
      <c r="I1900" s="15">
        <v>2.0</v>
      </c>
      <c r="J1900" s="15">
        <v>3.0</v>
      </c>
      <c r="K1900" s="12" t="str">
        <f>HYPERLINK("https://buffer.com","Buffer")</f>
        <v>Buffer</v>
      </c>
      <c r="L1900" s="16">
        <v>149.0</v>
      </c>
      <c r="M1900" s="16">
        <v>194.0</v>
      </c>
      <c r="N1900" s="16">
        <v>0.0</v>
      </c>
      <c r="O1900" s="17"/>
      <c r="P1900" s="18">
        <v>43470.31605324074</v>
      </c>
      <c r="Q1900" s="1" t="s">
        <v>268</v>
      </c>
      <c r="R1900" s="1" t="s">
        <v>8775</v>
      </c>
      <c r="S1900" s="13" t="s">
        <v>8776</v>
      </c>
      <c r="T1900" s="14"/>
      <c r="U1900" s="19" t="str">
        <f>HYPERLINK("https://pbs.twimg.com/profile_images/1163462846690316288/QtmCrztO.jpg","View")</f>
        <v>View</v>
      </c>
      <c r="V1900" s="14"/>
      <c r="W1900" s="14"/>
      <c r="X1900" s="14"/>
      <c r="Y1900" s="14"/>
      <c r="Z1900" s="14"/>
    </row>
    <row r="1901">
      <c r="A1901" s="11">
        <v>43844.55306712963</v>
      </c>
      <c r="B1901" s="12" t="str">
        <f>HYPERLINK("https://twitter.com/GarlandVance","@GarlandVance")</f>
        <v>@GarlandVance</v>
      </c>
      <c r="C1901" s="1" t="s">
        <v>2132</v>
      </c>
      <c r="D1901" s="1" t="s">
        <v>8777</v>
      </c>
      <c r="E1901" s="12" t="str">
        <f>HYPERLINK("https://twitter.com/GarlandVance/status/1217148477836316672","1217148477836316672")</f>
        <v>1217148477836316672</v>
      </c>
      <c r="F1901" s="13" t="s">
        <v>5099</v>
      </c>
      <c r="G1901" s="14"/>
      <c r="H1901" s="14"/>
      <c r="I1901" s="15">
        <v>0.0</v>
      </c>
      <c r="J1901" s="15">
        <v>0.0</v>
      </c>
      <c r="K1901" s="12" t="str">
        <f>HYPERLINK("https://coschedule.com","CoSchedule")</f>
        <v>CoSchedule</v>
      </c>
      <c r="L1901" s="16">
        <v>7551.0</v>
      </c>
      <c r="M1901" s="16">
        <v>2894.0</v>
      </c>
      <c r="N1901" s="16">
        <v>34.0</v>
      </c>
      <c r="O1901" s="17"/>
      <c r="P1901" s="18">
        <v>40174.59726851852</v>
      </c>
      <c r="Q1901" s="1" t="s">
        <v>2135</v>
      </c>
      <c r="R1901" s="1" t="s">
        <v>2136</v>
      </c>
      <c r="S1901" s="13" t="s">
        <v>2137</v>
      </c>
      <c r="T1901" s="14"/>
      <c r="U1901" s="19" t="str">
        <f>HYPERLINK("https://pbs.twimg.com/profile_images/723172806058369025/Jz4o6CKX.jpg","View")</f>
        <v>View</v>
      </c>
      <c r="V1901" s="14"/>
      <c r="W1901" s="14"/>
      <c r="X1901" s="14"/>
      <c r="Y1901" s="14"/>
      <c r="Z1901" s="14"/>
    </row>
    <row r="1902">
      <c r="A1902" s="11">
        <v>43844.552407407406</v>
      </c>
      <c r="B1902" s="12" t="str">
        <f>HYPERLINK("https://twitter.com/HighlandTeaBox","@HighlandTeaBox")</f>
        <v>@HighlandTeaBox</v>
      </c>
      <c r="C1902" s="1" t="s">
        <v>8778</v>
      </c>
      <c r="D1902" s="1" t="s">
        <v>8779</v>
      </c>
      <c r="E1902" s="12" t="str">
        <f>HYPERLINK("https://twitter.com/HighlandTeaBox/status/1217148241298456577","1217148241298456577")</f>
        <v>1217148241298456577</v>
      </c>
      <c r="F1902" s="13" t="s">
        <v>8780</v>
      </c>
      <c r="G1902" s="14"/>
      <c r="H1902" s="14"/>
      <c r="I1902" s="15">
        <v>0.0</v>
      </c>
      <c r="J1902" s="15">
        <v>0.0</v>
      </c>
      <c r="K1902" s="12" t="str">
        <f>HYPERLINK("http://instagram.com","Instagram")</f>
        <v>Instagram</v>
      </c>
      <c r="L1902" s="16">
        <v>33.0</v>
      </c>
      <c r="M1902" s="16">
        <v>46.0</v>
      </c>
      <c r="N1902" s="16">
        <v>0.0</v>
      </c>
      <c r="O1902" s="17"/>
      <c r="P1902" s="18">
        <v>43469.650509259256</v>
      </c>
      <c r="Q1902" s="1" t="s">
        <v>7532</v>
      </c>
      <c r="R1902" s="1" t="s">
        <v>8781</v>
      </c>
      <c r="S1902" s="13" t="s">
        <v>8782</v>
      </c>
      <c r="T1902" s="14"/>
      <c r="U1902" s="19" t="str">
        <f>HYPERLINK("https://pbs.twimg.com/profile_images/1153922319259185153/xXO48HmM.jpg","View")</f>
        <v>View</v>
      </c>
      <c r="V1902" s="14"/>
      <c r="W1902" s="14"/>
      <c r="X1902" s="14"/>
      <c r="Y1902" s="14"/>
      <c r="Z1902" s="14"/>
    </row>
    <row r="1903">
      <c r="A1903" s="11">
        <v>43844.54790509259</v>
      </c>
      <c r="B1903" s="12" t="str">
        <f>HYPERLINK("https://twitter.com/nrmentalhealth","@nrmentalhealth")</f>
        <v>@nrmentalhealth</v>
      </c>
      <c r="C1903" s="1" t="s">
        <v>8783</v>
      </c>
      <c r="D1903" s="1" t="s">
        <v>8784</v>
      </c>
      <c r="E1903" s="12" t="str">
        <f>HYPERLINK("https://twitter.com/nrmentalhealth/status/1217146608590229505","1217146608590229505")</f>
        <v>1217146608590229505</v>
      </c>
      <c r="F1903" s="14"/>
      <c r="G1903" s="13" t="s">
        <v>8785</v>
      </c>
      <c r="H1903" s="14"/>
      <c r="I1903" s="15">
        <v>28.0</v>
      </c>
      <c r="J1903" s="15">
        <v>44.0</v>
      </c>
      <c r="K1903" s="12" t="str">
        <f>HYPERLINK("https://mobile.twitter.com","Twitter Web App")</f>
        <v>Twitter Web App</v>
      </c>
      <c r="L1903" s="16">
        <v>12698.0</v>
      </c>
      <c r="M1903" s="16">
        <v>5909.0</v>
      </c>
      <c r="N1903" s="16">
        <v>107.0</v>
      </c>
      <c r="O1903" s="17"/>
      <c r="P1903" s="18">
        <v>42861.156875</v>
      </c>
      <c r="Q1903" s="1" t="s">
        <v>8786</v>
      </c>
      <c r="R1903" s="1" t="s">
        <v>8787</v>
      </c>
      <c r="S1903" s="14"/>
      <c r="T1903" s="14"/>
      <c r="U1903" s="19" t="str">
        <f>HYPERLINK("https://pbs.twimg.com/profile_images/860778979019694080/J1zhUtG3.jpg","View")</f>
        <v>View</v>
      </c>
      <c r="V1903" s="14"/>
      <c r="W1903" s="14"/>
      <c r="X1903" s="14"/>
      <c r="Y1903" s="14"/>
      <c r="Z1903" s="14"/>
    </row>
    <row r="1904">
      <c r="A1904" s="11">
        <v>43844.54655092592</v>
      </c>
      <c r="B1904" s="12" t="str">
        <f>HYPERLINK("https://twitter.com/QBCrystals","@QBCrystals")</f>
        <v>@QBCrystals</v>
      </c>
      <c r="C1904" s="1" t="s">
        <v>4077</v>
      </c>
      <c r="D1904" s="1" t="s">
        <v>8788</v>
      </c>
      <c r="E1904" s="12" t="str">
        <f>HYPERLINK("https://twitter.com/QBCrystals/status/1217146116032155650","1217146116032155650")</f>
        <v>1217146116032155650</v>
      </c>
      <c r="F1904" s="13" t="s">
        <v>8789</v>
      </c>
      <c r="G1904" s="13" t="s">
        <v>8790</v>
      </c>
      <c r="H1904" s="14"/>
      <c r="I1904" s="15">
        <v>0.0</v>
      </c>
      <c r="J1904" s="15">
        <v>0.0</v>
      </c>
      <c r="K1904" s="12" t="str">
        <f>HYPERLINK("https://buffer.com","Buffer")</f>
        <v>Buffer</v>
      </c>
      <c r="L1904" s="16">
        <v>1188.0</v>
      </c>
      <c r="M1904" s="16">
        <v>1146.0</v>
      </c>
      <c r="N1904" s="16">
        <v>4.0</v>
      </c>
      <c r="O1904" s="17"/>
      <c r="P1904" s="18">
        <v>43366.790081018524</v>
      </c>
      <c r="Q1904" s="1" t="s">
        <v>4081</v>
      </c>
      <c r="R1904" s="1" t="s">
        <v>4082</v>
      </c>
      <c r="S1904" s="13" t="s">
        <v>4083</v>
      </c>
      <c r="T1904" s="14"/>
      <c r="U1904" s="19" t="str">
        <f>HYPERLINK("https://pbs.twimg.com/profile_images/1056666207238025216/IxgnYKNl.jpg","View")</f>
        <v>View</v>
      </c>
      <c r="V1904" s="14"/>
      <c r="W1904" s="14"/>
      <c r="X1904" s="14"/>
      <c r="Y1904" s="14"/>
      <c r="Z1904" s="14"/>
    </row>
    <row r="1905">
      <c r="A1905" s="11">
        <v>43844.5465162037</v>
      </c>
      <c r="B1905" s="12" t="str">
        <f>HYPERLINK("https://twitter.com/catchingclouds","@catchingclouds")</f>
        <v>@catchingclouds</v>
      </c>
      <c r="C1905" s="1" t="s">
        <v>8791</v>
      </c>
      <c r="D1905" s="1" t="s">
        <v>8792</v>
      </c>
      <c r="E1905" s="12" t="str">
        <f>HYPERLINK("https://twitter.com/catchingclouds/status/1217146103436541953","1217146103436541953")</f>
        <v>1217146103436541953</v>
      </c>
      <c r="F1905" s="13" t="s">
        <v>8793</v>
      </c>
      <c r="G1905" s="14"/>
      <c r="H1905" s="14"/>
      <c r="I1905" s="15">
        <v>0.0</v>
      </c>
      <c r="J1905" s="15">
        <v>0.0</v>
      </c>
      <c r="K1905" s="12" t="str">
        <f>HYPERLINK("http://www.hubspot.com/","HubSpot")</f>
        <v>HubSpot</v>
      </c>
      <c r="L1905" s="16">
        <v>2101.0</v>
      </c>
      <c r="M1905" s="16">
        <v>2356.0</v>
      </c>
      <c r="N1905" s="16">
        <v>114.0</v>
      </c>
      <c r="O1905" s="17"/>
      <c r="P1905" s="18">
        <v>40884.90678240741</v>
      </c>
      <c r="Q1905" s="1" t="s">
        <v>8794</v>
      </c>
      <c r="R1905" s="1" t="s">
        <v>8795</v>
      </c>
      <c r="S1905" s="13" t="s">
        <v>8796</v>
      </c>
      <c r="T1905" s="14"/>
      <c r="U1905" s="19" t="str">
        <f>HYPERLINK("https://pbs.twimg.com/profile_images/854439111859462144/vvt8tE3B.jpg","View")</f>
        <v>View</v>
      </c>
      <c r="V1905" s="14"/>
      <c r="W1905" s="14"/>
      <c r="X1905" s="14"/>
      <c r="Y1905" s="14"/>
      <c r="Z1905" s="14"/>
    </row>
    <row r="1906">
      <c r="A1906" s="11">
        <v>43844.54528935185</v>
      </c>
      <c r="B1906" s="12" t="str">
        <f>HYPERLINK("https://twitter.com/kvhuffel","@kvhuffel")</f>
        <v>@kvhuffel</v>
      </c>
      <c r="C1906" s="1" t="s">
        <v>8797</v>
      </c>
      <c r="D1906" s="1" t="s">
        <v>8798</v>
      </c>
      <c r="E1906" s="12" t="str">
        <f>HYPERLINK("https://twitter.com/kvhuffel/status/1217145659020783616","1217145659020783616")</f>
        <v>1217145659020783616</v>
      </c>
      <c r="F1906" s="13" t="s">
        <v>8799</v>
      </c>
      <c r="G1906" s="14"/>
      <c r="H1906" s="14"/>
      <c r="I1906" s="15">
        <v>0.0</v>
      </c>
      <c r="J1906" s="15">
        <v>0.0</v>
      </c>
      <c r="K1906" s="12" t="str">
        <f>HYPERLINK("https://www.hootsuite.com","Hootsuite Inc.")</f>
        <v>Hootsuite Inc.</v>
      </c>
      <c r="L1906" s="16">
        <v>161.0</v>
      </c>
      <c r="M1906" s="16">
        <v>161.0</v>
      </c>
      <c r="N1906" s="16">
        <v>9.0</v>
      </c>
      <c r="O1906" s="17"/>
      <c r="P1906" s="18">
        <v>40786.500601851854</v>
      </c>
      <c r="Q1906" s="1" t="s">
        <v>2669</v>
      </c>
      <c r="R1906" s="1" t="s">
        <v>8800</v>
      </c>
      <c r="S1906" s="14"/>
      <c r="T1906" s="14"/>
      <c r="U1906" s="19" t="str">
        <f>HYPERLINK("https://pbs.twimg.com/profile_images/1184115018691993604/YH6y3pt9.jpg","View")</f>
        <v>View</v>
      </c>
      <c r="V1906" s="14"/>
      <c r="W1906" s="14"/>
      <c r="X1906" s="14"/>
      <c r="Y1906" s="14"/>
      <c r="Z1906" s="14"/>
    </row>
    <row r="1907">
      <c r="A1907" s="11">
        <v>43844.54517361111</v>
      </c>
      <c r="B1907" s="12" t="str">
        <f>HYPERLINK("https://twitter.com/bhaktibrown","@bhaktibrown")</f>
        <v>@bhaktibrown</v>
      </c>
      <c r="C1907" s="1" t="s">
        <v>8801</v>
      </c>
      <c r="D1907" s="1" t="s">
        <v>7052</v>
      </c>
      <c r="E1907" s="12" t="str">
        <f>HYPERLINK("https://twitter.com/bhaktibrown/status/1217145616222113795","1217145616222113795")</f>
        <v>1217145616222113795</v>
      </c>
      <c r="F1907" s="13" t="s">
        <v>7053</v>
      </c>
      <c r="G1907" s="13" t="s">
        <v>8802</v>
      </c>
      <c r="H1907" s="14"/>
      <c r="I1907" s="15">
        <v>0.0</v>
      </c>
      <c r="J1907" s="15">
        <v>0.0</v>
      </c>
      <c r="K1907" s="12" t="str">
        <f>HYPERLINK("https://buffer.com","Buffer")</f>
        <v>Buffer</v>
      </c>
      <c r="L1907" s="16">
        <v>161.0</v>
      </c>
      <c r="M1907" s="16">
        <v>68.0</v>
      </c>
      <c r="N1907" s="16">
        <v>135.0</v>
      </c>
      <c r="O1907" s="17"/>
      <c r="P1907" s="18">
        <v>40356.45825231481</v>
      </c>
      <c r="Q1907" s="1" t="s">
        <v>8803</v>
      </c>
      <c r="R1907" s="14"/>
      <c r="S1907" s="13" t="s">
        <v>8804</v>
      </c>
      <c r="T1907" s="14"/>
      <c r="U1907" s="19" t="str">
        <f>HYPERLINK("https://pbs.twimg.com/profile_images/631076549060624384/KaECWcDh.jpg","View")</f>
        <v>View</v>
      </c>
      <c r="V1907" s="14"/>
      <c r="W1907" s="14"/>
      <c r="X1907" s="14"/>
      <c r="Y1907" s="14"/>
      <c r="Z1907" s="14"/>
    </row>
    <row r="1908">
      <c r="A1908" s="11">
        <v>43844.54292824074</v>
      </c>
      <c r="B1908" s="12" t="str">
        <f>HYPERLINK("https://twitter.com/NexalinTech","@NexalinTech")</f>
        <v>@NexalinTech</v>
      </c>
      <c r="C1908" s="1" t="s">
        <v>8805</v>
      </c>
      <c r="D1908" s="1" t="s">
        <v>8806</v>
      </c>
      <c r="E1908" s="12" t="str">
        <f>HYPERLINK("https://twitter.com/NexalinTech/status/1217144806155149313","1217144806155149313")</f>
        <v>1217144806155149313</v>
      </c>
      <c r="F1908" s="13" t="s">
        <v>8807</v>
      </c>
      <c r="G1908" s="13" t="s">
        <v>8808</v>
      </c>
      <c r="H1908" s="14"/>
      <c r="I1908" s="15">
        <v>0.0</v>
      </c>
      <c r="J1908" s="15">
        <v>0.0</v>
      </c>
      <c r="K1908" s="12" t="str">
        <f t="shared" ref="K1908:K1909" si="194">HYPERLINK("http://www.reputationmailer.com/privacy/","Social Reputation")</f>
        <v>Social Reputation</v>
      </c>
      <c r="L1908" s="16">
        <v>149.0</v>
      </c>
      <c r="M1908" s="16">
        <v>404.0</v>
      </c>
      <c r="N1908" s="16">
        <v>4.0</v>
      </c>
      <c r="O1908" s="17"/>
      <c r="P1908" s="18">
        <v>40990.652719907404</v>
      </c>
      <c r="Q1908" s="1" t="s">
        <v>8809</v>
      </c>
      <c r="R1908" s="1" t="s">
        <v>8810</v>
      </c>
      <c r="S1908" s="13" t="s">
        <v>8811</v>
      </c>
      <c r="T1908" s="14"/>
      <c r="U1908" s="19" t="str">
        <f>HYPERLINK("https://pbs.twimg.com/profile_images/555150953863581696/l5Khcb96.png","View")</f>
        <v>View</v>
      </c>
      <c r="V1908" s="14"/>
      <c r="W1908" s="14"/>
      <c r="X1908" s="14"/>
      <c r="Y1908" s="14"/>
      <c r="Z1908" s="14"/>
    </row>
    <row r="1909">
      <c r="A1909" s="11">
        <v>43844.54275462963</v>
      </c>
      <c r="B1909" s="12" t="str">
        <f>HYPERLINK("https://twitter.com/UniqueMindCare1","@UniqueMindCare1")</f>
        <v>@UniqueMindCare1</v>
      </c>
      <c r="C1909" s="1" t="s">
        <v>8812</v>
      </c>
      <c r="D1909" s="1" t="s">
        <v>8813</v>
      </c>
      <c r="E1909" s="12" t="str">
        <f>HYPERLINK("https://twitter.com/UniqueMindCare1/status/1217144742653386753","1217144742653386753")</f>
        <v>1217144742653386753</v>
      </c>
      <c r="F1909" s="13" t="s">
        <v>8814</v>
      </c>
      <c r="G1909" s="13" t="s">
        <v>8815</v>
      </c>
      <c r="H1909" s="14"/>
      <c r="I1909" s="15">
        <v>0.0</v>
      </c>
      <c r="J1909" s="15">
        <v>0.0</v>
      </c>
      <c r="K1909" s="12" t="str">
        <f t="shared" si="194"/>
        <v>Social Reputation</v>
      </c>
      <c r="L1909" s="16">
        <v>22.0</v>
      </c>
      <c r="M1909" s="16">
        <v>9.0</v>
      </c>
      <c r="N1909" s="16">
        <v>2.0</v>
      </c>
      <c r="O1909" s="17"/>
      <c r="P1909" s="18">
        <v>42193.75871527778</v>
      </c>
      <c r="Q1909" s="1" t="s">
        <v>8809</v>
      </c>
      <c r="R1909" s="1" t="s">
        <v>8816</v>
      </c>
      <c r="S1909" s="13" t="s">
        <v>8817</v>
      </c>
      <c r="T1909" s="14"/>
      <c r="U1909" s="19" t="str">
        <f>HYPERLINK("https://pbs.twimg.com/profile_images/618916506332561409/sLY4lpSc.png","View")</f>
        <v>View</v>
      </c>
      <c r="V1909" s="14"/>
      <c r="W1909" s="14"/>
      <c r="X1909" s="14"/>
      <c r="Y1909" s="14"/>
      <c r="Z1909" s="14"/>
    </row>
    <row r="1910">
      <c r="A1910" s="11">
        <v>43844.542592592596</v>
      </c>
      <c r="B1910" s="12" t="str">
        <f>HYPERLINK("https://twitter.com/TheHND76","@TheHND76")</f>
        <v>@TheHND76</v>
      </c>
      <c r="C1910" s="1" t="s">
        <v>8818</v>
      </c>
      <c r="D1910" s="1" t="s">
        <v>8819</v>
      </c>
      <c r="E1910" s="12" t="str">
        <f>HYPERLINK("https://twitter.com/TheHND76/status/1217144681206820865","1217144681206820865")</f>
        <v>1217144681206820865</v>
      </c>
      <c r="F1910" s="13" t="s">
        <v>8820</v>
      </c>
      <c r="G1910" s="13" t="s">
        <v>8821</v>
      </c>
      <c r="H1910" s="14"/>
      <c r="I1910" s="15">
        <v>0.0</v>
      </c>
      <c r="J1910" s="15">
        <v>0.0</v>
      </c>
      <c r="K1910" s="12" t="str">
        <f>HYPERLINK("https://www.later.com","LaterMedia")</f>
        <v>LaterMedia</v>
      </c>
      <c r="L1910" s="16">
        <v>52.0</v>
      </c>
      <c r="M1910" s="16">
        <v>287.0</v>
      </c>
      <c r="N1910" s="16">
        <v>1.0</v>
      </c>
      <c r="O1910" s="17"/>
      <c r="P1910" s="18">
        <v>43622.61756944444</v>
      </c>
      <c r="Q1910" s="1" t="s">
        <v>1806</v>
      </c>
      <c r="R1910" s="1" t="s">
        <v>8822</v>
      </c>
      <c r="S1910" s="13" t="s">
        <v>8823</v>
      </c>
      <c r="T1910" s="14"/>
      <c r="U1910" s="19" t="str">
        <f>HYPERLINK("https://pbs.twimg.com/profile_images/1136710970456326144/rfCLlr_O.png","View")</f>
        <v>View</v>
      </c>
      <c r="V1910" s="14"/>
      <c r="W1910" s="14"/>
      <c r="X1910" s="14"/>
      <c r="Y1910" s="14"/>
      <c r="Z1910" s="14"/>
    </row>
    <row r="1911">
      <c r="A1911" s="11">
        <v>43844.54167824074</v>
      </c>
      <c r="B1911" s="12" t="str">
        <f>HYPERLINK("https://twitter.com/WeHearYouZA","@WeHearYouZA")</f>
        <v>@WeHearYouZA</v>
      </c>
      <c r="C1911" s="1" t="s">
        <v>2299</v>
      </c>
      <c r="D1911" s="1" t="s">
        <v>8824</v>
      </c>
      <c r="E1911" s="12" t="str">
        <f>HYPERLINK("https://twitter.com/WeHearYouZA/status/1217144351685521409","1217144351685521409")</f>
        <v>1217144351685521409</v>
      </c>
      <c r="F1911" s="14"/>
      <c r="G1911" s="13" t="s">
        <v>8825</v>
      </c>
      <c r="H1911" s="14"/>
      <c r="I1911" s="15">
        <v>1.0</v>
      </c>
      <c r="J1911" s="15">
        <v>1.0</v>
      </c>
      <c r="K1911" s="12" t="str">
        <f t="shared" ref="K1911:K1912" si="195">HYPERLINK("https://about.twitter.com/products/tweetdeck","TweetDeck")</f>
        <v>TweetDeck</v>
      </c>
      <c r="L1911" s="16">
        <v>26.0</v>
      </c>
      <c r="M1911" s="16">
        <v>43.0</v>
      </c>
      <c r="N1911" s="16">
        <v>4.0</v>
      </c>
      <c r="O1911" s="17"/>
      <c r="P1911" s="18">
        <v>43661.22396990741</v>
      </c>
      <c r="Q1911" s="1" t="s">
        <v>2302</v>
      </c>
      <c r="R1911" s="1" t="s">
        <v>2303</v>
      </c>
      <c r="S1911" s="13" t="s">
        <v>2304</v>
      </c>
      <c r="T1911" s="14"/>
      <c r="U1911" s="19" t="str">
        <f>HYPERLINK("https://pbs.twimg.com/profile_images/1153562188415737856/1QVWKhWI.jpg","View")</f>
        <v>View</v>
      </c>
      <c r="V1911" s="14"/>
      <c r="W1911" s="14"/>
      <c r="X1911" s="14"/>
      <c r="Y1911" s="14"/>
      <c r="Z1911" s="14"/>
    </row>
    <row r="1912">
      <c r="A1912" s="11">
        <v>43844.54166666667</v>
      </c>
      <c r="B1912" s="12" t="str">
        <f>HYPERLINK("https://twitter.com/Centrobed","@Centrobed")</f>
        <v>@Centrobed</v>
      </c>
      <c r="C1912" s="1" t="s">
        <v>8826</v>
      </c>
      <c r="D1912" s="1" t="s">
        <v>8827</v>
      </c>
      <c r="E1912" s="12" t="str">
        <f>HYPERLINK("https://twitter.com/Centrobed/status/1217144349386952704","1217144349386952704")</f>
        <v>1217144349386952704</v>
      </c>
      <c r="F1912" s="13" t="s">
        <v>8828</v>
      </c>
      <c r="G1912" s="13" t="s">
        <v>8829</v>
      </c>
      <c r="H1912" s="14"/>
      <c r="I1912" s="15">
        <v>0.0</v>
      </c>
      <c r="J1912" s="15">
        <v>0.0</v>
      </c>
      <c r="K1912" s="12" t="str">
        <f t="shared" si="195"/>
        <v>TweetDeck</v>
      </c>
      <c r="L1912" s="16">
        <v>1703.0</v>
      </c>
      <c r="M1912" s="16">
        <v>4907.0</v>
      </c>
      <c r="N1912" s="16">
        <v>55.0</v>
      </c>
      <c r="O1912" s="17"/>
      <c r="P1912" s="18">
        <v>42074.41784722223</v>
      </c>
      <c r="Q1912" s="1" t="s">
        <v>8830</v>
      </c>
      <c r="R1912" s="1" t="s">
        <v>8831</v>
      </c>
      <c r="S1912" s="13" t="s">
        <v>8832</v>
      </c>
      <c r="T1912" s="14"/>
      <c r="U1912" s="19" t="str">
        <f>HYPERLINK("https://pbs.twimg.com/profile_images/1217142243766697984/rOgji5DV.jpg","View")</f>
        <v>View</v>
      </c>
      <c r="V1912" s="14"/>
      <c r="W1912" s="14"/>
      <c r="X1912" s="14"/>
      <c r="Y1912" s="14"/>
      <c r="Z1912" s="14"/>
    </row>
    <row r="1913">
      <c r="A1913" s="11">
        <v>43844.54145833333</v>
      </c>
      <c r="B1913" s="12" t="str">
        <f>HYPERLINK("https://twitter.com/RachelButlerCo1","@RachelButlerCo1")</f>
        <v>@RachelButlerCo1</v>
      </c>
      <c r="C1913" s="1" t="s">
        <v>8833</v>
      </c>
      <c r="D1913" s="1" t="s">
        <v>8834</v>
      </c>
      <c r="E1913" s="12" t="str">
        <f>HYPERLINK("https://twitter.com/RachelButlerCo1/status/1217144273340006401","1217144273340006401")</f>
        <v>1217144273340006401</v>
      </c>
      <c r="F1913" s="13" t="s">
        <v>8835</v>
      </c>
      <c r="G1913" s="14"/>
      <c r="H1913" s="14"/>
      <c r="I1913" s="15">
        <v>0.0</v>
      </c>
      <c r="J1913" s="15">
        <v>0.0</v>
      </c>
      <c r="K1913" s="12" t="str">
        <f>HYPERLINK("http://instagram.com","Instagram")</f>
        <v>Instagram</v>
      </c>
      <c r="L1913" s="16">
        <v>29.0</v>
      </c>
      <c r="M1913" s="16">
        <v>107.0</v>
      </c>
      <c r="N1913" s="16">
        <v>0.0</v>
      </c>
      <c r="O1913" s="17"/>
      <c r="P1913" s="18">
        <v>43477.612546296295</v>
      </c>
      <c r="Q1913" s="1" t="s">
        <v>8836</v>
      </c>
      <c r="R1913" s="1" t="s">
        <v>8837</v>
      </c>
      <c r="S1913" s="14"/>
      <c r="T1913" s="14"/>
      <c r="U1913" s="19" t="str">
        <f>HYPERLINK("https://pbs.twimg.com/profile_images/1084173783332737024/QIwtjLIs.jpg","View")</f>
        <v>View</v>
      </c>
      <c r="V1913" s="14"/>
      <c r="W1913" s="14"/>
      <c r="X1913" s="14"/>
      <c r="Y1913" s="14"/>
      <c r="Z1913" s="14"/>
    </row>
    <row r="1914">
      <c r="A1914" s="11">
        <v>43844.5399537037</v>
      </c>
      <c r="B1914" s="12" t="str">
        <f>HYPERLINK("https://twitter.com/itsgardningtime","@itsgardningtime")</f>
        <v>@itsgardningtime</v>
      </c>
      <c r="C1914" s="1" t="s">
        <v>1169</v>
      </c>
      <c r="D1914" s="1" t="s">
        <v>2685</v>
      </c>
      <c r="E1914" s="12" t="str">
        <f>HYPERLINK("https://twitter.com/itsgardningtime/status/1217143725773619200","1217143725773619200")</f>
        <v>1217143725773619200</v>
      </c>
      <c r="F1914" s="13" t="s">
        <v>8838</v>
      </c>
      <c r="G1914" s="14"/>
      <c r="H1914" s="14"/>
      <c r="I1914" s="15">
        <v>0.0</v>
      </c>
      <c r="J1914" s="15">
        <v>0.0</v>
      </c>
      <c r="K1914" s="12" t="str">
        <f>HYPERLINK("http://itsgardeningtime.com","its_twitter_app")</f>
        <v>its_twitter_app</v>
      </c>
      <c r="L1914" s="16">
        <v>4886.0</v>
      </c>
      <c r="M1914" s="16">
        <v>1450.0</v>
      </c>
      <c r="N1914" s="16">
        <v>112.0</v>
      </c>
      <c r="O1914" s="17"/>
      <c r="P1914" s="18">
        <v>41797.48112268519</v>
      </c>
      <c r="Q1914" s="1" t="s">
        <v>1172</v>
      </c>
      <c r="R1914" s="1" t="s">
        <v>1173</v>
      </c>
      <c r="S1914" s="13" t="s">
        <v>1174</v>
      </c>
      <c r="T1914" s="14"/>
      <c r="U1914" s="19" t="str">
        <f>HYPERLINK("https://pbs.twimg.com/profile_images/475316354694660096/LwQ1yvEV.jpeg","View")</f>
        <v>View</v>
      </c>
      <c r="V1914" s="14"/>
      <c r="W1914" s="14"/>
      <c r="X1914" s="14"/>
      <c r="Y1914" s="14"/>
      <c r="Z1914" s="14"/>
    </row>
    <row r="1915">
      <c r="A1915" s="11">
        <v>43844.538356481484</v>
      </c>
      <c r="B1915" s="12" t="str">
        <f>HYPERLINK("https://twitter.com/BrockmansGin","@BrockmansGin")</f>
        <v>@BrockmansGin</v>
      </c>
      <c r="C1915" s="1" t="s">
        <v>8839</v>
      </c>
      <c r="D1915" s="1" t="s">
        <v>8840</v>
      </c>
      <c r="E1915" s="12" t="str">
        <f>HYPERLINK("https://twitter.com/BrockmansGin/status/1217143149472239616","1217143149472239616")</f>
        <v>1217143149472239616</v>
      </c>
      <c r="F1915" s="14"/>
      <c r="G1915" s="13" t="s">
        <v>8841</v>
      </c>
      <c r="H1915" s="14"/>
      <c r="I1915" s="15">
        <v>0.0</v>
      </c>
      <c r="J1915" s="15">
        <v>9.0</v>
      </c>
      <c r="K1915" s="12" t="str">
        <f>HYPERLINK("https://www.hootsuite.com","Hootsuite Inc.")</f>
        <v>Hootsuite Inc.</v>
      </c>
      <c r="L1915" s="16">
        <v>31553.0</v>
      </c>
      <c r="M1915" s="16">
        <v>2408.0</v>
      </c>
      <c r="N1915" s="16">
        <v>195.0</v>
      </c>
      <c r="O1915" s="17"/>
      <c r="P1915" s="18">
        <v>40220.83719907407</v>
      </c>
      <c r="Q1915" s="14"/>
      <c r="R1915" s="1" t="s">
        <v>8842</v>
      </c>
      <c r="S1915" s="13" t="s">
        <v>8843</v>
      </c>
      <c r="T1915" s="14"/>
      <c r="U1915" s="19" t="str">
        <f>HYPERLINK("https://pbs.twimg.com/profile_images/459621535464955904/4ut2oO-w.jpeg","View")</f>
        <v>View</v>
      </c>
      <c r="V1915" s="14"/>
      <c r="W1915" s="14"/>
      <c r="X1915" s="14"/>
      <c r="Y1915" s="14"/>
      <c r="Z1915" s="14"/>
    </row>
    <row r="1916">
      <c r="A1916" s="11">
        <v>43844.538310185184</v>
      </c>
      <c r="B1916" s="12" t="str">
        <f>HYPERLINK("https://twitter.com/TalkOfTheTownie","@TalkOfTheTownie")</f>
        <v>@TalkOfTheTownie</v>
      </c>
      <c r="C1916" s="1" t="s">
        <v>8844</v>
      </c>
      <c r="D1916" s="1" t="s">
        <v>8845</v>
      </c>
      <c r="E1916" s="12" t="str">
        <f>HYPERLINK("https://twitter.com/TalkOfTheTownie/status/1217143129142386688","1217143129142386688")</f>
        <v>1217143129142386688</v>
      </c>
      <c r="F1916" s="14"/>
      <c r="G1916" s="13" t="s">
        <v>8846</v>
      </c>
      <c r="H1916" s="14"/>
      <c r="I1916" s="15">
        <v>1.0</v>
      </c>
      <c r="J1916" s="15">
        <v>3.0</v>
      </c>
      <c r="K1916" s="12" t="str">
        <f t="shared" ref="K1916:K1917" si="196">HYPERLINK("http://twitter.com/download/iphone","Twitter for iPhone")</f>
        <v>Twitter for iPhone</v>
      </c>
      <c r="L1916" s="16">
        <v>287.0</v>
      </c>
      <c r="M1916" s="16">
        <v>236.0</v>
      </c>
      <c r="N1916" s="16">
        <v>0.0</v>
      </c>
      <c r="O1916" s="17"/>
      <c r="P1916" s="18">
        <v>43095.80979166667</v>
      </c>
      <c r="Q1916" s="1" t="s">
        <v>8847</v>
      </c>
      <c r="R1916" s="1" t="s">
        <v>8848</v>
      </c>
      <c r="S1916" s="13" t="s">
        <v>8849</v>
      </c>
      <c r="T1916" s="14"/>
      <c r="U1916" s="19" t="str">
        <f>HYPERLINK("https://pbs.twimg.com/profile_images/1212789533030408192/59SG2t9C.jpg","View")</f>
        <v>View</v>
      </c>
      <c r="V1916" s="14"/>
      <c r="W1916" s="14"/>
      <c r="X1916" s="14"/>
      <c r="Y1916" s="14"/>
      <c r="Z1916" s="14"/>
    </row>
    <row r="1917">
      <c r="A1917" s="11">
        <v>43844.534363425926</v>
      </c>
      <c r="B1917" s="12" t="str">
        <f>HYPERLINK("https://twitter.com/kimmietainment","@kimmietainment")</f>
        <v>@kimmietainment</v>
      </c>
      <c r="C1917" s="1" t="s">
        <v>6900</v>
      </c>
      <c r="D1917" s="1" t="s">
        <v>8850</v>
      </c>
      <c r="E1917" s="12" t="str">
        <f>HYPERLINK("https://twitter.com/kimmietainment/status/1217141700545667072","1217141700545667072")</f>
        <v>1217141700545667072</v>
      </c>
      <c r="F1917" s="13" t="s">
        <v>8851</v>
      </c>
      <c r="G1917" s="14"/>
      <c r="H1917" s="14"/>
      <c r="I1917" s="15">
        <v>0.0</v>
      </c>
      <c r="J1917" s="15">
        <v>0.0</v>
      </c>
      <c r="K1917" s="12" t="str">
        <f t="shared" si="196"/>
        <v>Twitter for iPhone</v>
      </c>
      <c r="L1917" s="16">
        <v>609.0</v>
      </c>
      <c r="M1917" s="16">
        <v>1023.0</v>
      </c>
      <c r="N1917" s="16">
        <v>59.0</v>
      </c>
      <c r="O1917" s="17"/>
      <c r="P1917" s="18">
        <v>39548.824224537035</v>
      </c>
      <c r="Q1917" s="1" t="s">
        <v>6903</v>
      </c>
      <c r="R1917" s="1" t="s">
        <v>6904</v>
      </c>
      <c r="S1917" s="13" t="s">
        <v>6905</v>
      </c>
      <c r="T1917" s="14"/>
      <c r="U1917" s="19" t="str">
        <f>HYPERLINK("https://pbs.twimg.com/profile_images/1123705631498809345/-HD42COZ.jpg","View")</f>
        <v>View</v>
      </c>
      <c r="V1917" s="14"/>
      <c r="W1917" s="14"/>
      <c r="X1917" s="14"/>
      <c r="Y1917" s="14"/>
      <c r="Z1917" s="14"/>
    </row>
    <row r="1918">
      <c r="A1918" s="11">
        <v>43844.531377314815</v>
      </c>
      <c r="B1918" s="12" t="str">
        <f>HYPERLINK("https://twitter.com/therapyinbexley","@therapyinbexley")</f>
        <v>@therapyinbexley</v>
      </c>
      <c r="C1918" s="1" t="s">
        <v>8852</v>
      </c>
      <c r="D1918" s="1" t="s">
        <v>8853</v>
      </c>
      <c r="E1918" s="12" t="str">
        <f>HYPERLINK("https://twitter.com/therapyinbexley/status/1217140620491481088","1217140620491481088")</f>
        <v>1217140620491481088</v>
      </c>
      <c r="F1918" s="13" t="s">
        <v>8854</v>
      </c>
      <c r="G1918" s="13" t="s">
        <v>8855</v>
      </c>
      <c r="H1918" s="14"/>
      <c r="I1918" s="15">
        <v>0.0</v>
      </c>
      <c r="J1918" s="15">
        <v>0.0</v>
      </c>
      <c r="K1918" s="12" t="str">
        <f>HYPERLINK("https://www.socialjukebox.com","The Social Jukebox")</f>
        <v>The Social Jukebox</v>
      </c>
      <c r="L1918" s="16">
        <v>2543.0</v>
      </c>
      <c r="M1918" s="16">
        <v>1895.0</v>
      </c>
      <c r="N1918" s="16">
        <v>47.0</v>
      </c>
      <c r="O1918" s="17"/>
      <c r="P1918" s="18">
        <v>42377.3455324074</v>
      </c>
      <c r="Q1918" s="1" t="s">
        <v>8856</v>
      </c>
      <c r="R1918" s="1" t="s">
        <v>8857</v>
      </c>
      <c r="S1918" s="13" t="s">
        <v>8858</v>
      </c>
      <c r="T1918" s="14"/>
      <c r="U1918" s="19" t="str">
        <f>HYPERLINK("https://pbs.twimg.com/profile_images/1123238436712996865/tkBxOFnr.jpg","View")</f>
        <v>View</v>
      </c>
      <c r="V1918" s="14"/>
      <c r="W1918" s="14"/>
      <c r="X1918" s="14"/>
      <c r="Y1918" s="14"/>
      <c r="Z1918" s="14"/>
    </row>
    <row r="1919">
      <c r="A1919" s="11">
        <v>43844.53130787037</v>
      </c>
      <c r="B1919" s="12" t="str">
        <f>HYPERLINK("https://twitter.com/RtoRorg","@RtoRorg")</f>
        <v>@RtoRorg</v>
      </c>
      <c r="C1919" s="1" t="s">
        <v>8859</v>
      </c>
      <c r="D1919" s="1" t="s">
        <v>8860</v>
      </c>
      <c r="E1919" s="12" t="str">
        <f>HYPERLINK("https://twitter.com/RtoRorg/status/1217140593824083968","1217140593824083968")</f>
        <v>1217140593824083968</v>
      </c>
      <c r="F1919" s="13" t="s">
        <v>8861</v>
      </c>
      <c r="G1919" s="13" t="s">
        <v>8862</v>
      </c>
      <c r="H1919" s="14"/>
      <c r="I1919" s="15">
        <v>1.0</v>
      </c>
      <c r="J1919" s="15">
        <v>1.0</v>
      </c>
      <c r="K1919" s="12" t="str">
        <f>HYPERLINK("https://buffer.com","Buffer")</f>
        <v>Buffer</v>
      </c>
      <c r="L1919" s="16">
        <v>2633.0</v>
      </c>
      <c r="M1919" s="16">
        <v>2497.0</v>
      </c>
      <c r="N1919" s="16">
        <v>132.0</v>
      </c>
      <c r="O1919" s="17"/>
      <c r="P1919" s="18">
        <v>41821.44054398148</v>
      </c>
      <c r="Q1919" s="14"/>
      <c r="R1919" s="1" t="s">
        <v>8863</v>
      </c>
      <c r="S1919" s="13" t="s">
        <v>8864</v>
      </c>
      <c r="T1919" s="14"/>
      <c r="U1919" s="19" t="str">
        <f>HYPERLINK("https://pbs.twimg.com/profile_images/484069537285804032/E8khw6-I.jpeg","View")</f>
        <v>View</v>
      </c>
      <c r="V1919" s="14"/>
      <c r="W1919" s="14"/>
      <c r="X1919" s="14"/>
      <c r="Y1919" s="14"/>
      <c r="Z1919" s="14"/>
    </row>
    <row r="1920">
      <c r="A1920" s="11">
        <v>43844.53125</v>
      </c>
      <c r="B1920" s="12" t="str">
        <f>HYPERLINK("https://twitter.com/TrainingMindful","@TrainingMindful")</f>
        <v>@TrainingMindful</v>
      </c>
      <c r="C1920" s="1" t="s">
        <v>94</v>
      </c>
      <c r="D1920" s="1" t="s">
        <v>8865</v>
      </c>
      <c r="E1920" s="12" t="str">
        <f>HYPERLINK("https://twitter.com/TrainingMindful/status/1217140572483457024","1217140572483457024")</f>
        <v>1217140572483457024</v>
      </c>
      <c r="F1920" s="13" t="s">
        <v>4045</v>
      </c>
      <c r="G1920" s="14"/>
      <c r="H1920" s="14"/>
      <c r="I1920" s="15">
        <v>0.0</v>
      </c>
      <c r="J1920" s="15">
        <v>3.0</v>
      </c>
      <c r="K1920" s="12" t="str">
        <f>HYPERLINK("https://www.socialoomph.com","SocialOomph")</f>
        <v>SocialOomph</v>
      </c>
      <c r="L1920" s="16">
        <v>185303.0</v>
      </c>
      <c r="M1920" s="16">
        <v>43980.0</v>
      </c>
      <c r="N1920" s="16">
        <v>2800.0</v>
      </c>
      <c r="O1920" s="17"/>
      <c r="P1920" s="18">
        <v>41286.039305555554</v>
      </c>
      <c r="Q1920" s="1" t="s">
        <v>97</v>
      </c>
      <c r="R1920" s="1" t="s">
        <v>98</v>
      </c>
      <c r="S1920" s="13" t="s">
        <v>99</v>
      </c>
      <c r="T1920" s="14"/>
      <c r="U1920" s="19" t="str">
        <f>HYPERLINK("https://pbs.twimg.com/profile_images/566526924059459584/gdMxDA9x.jpeg","View")</f>
        <v>View</v>
      </c>
      <c r="V1920" s="14"/>
      <c r="W1920" s="14"/>
      <c r="X1920" s="14"/>
      <c r="Y1920" s="14"/>
      <c r="Z1920" s="14"/>
    </row>
    <row r="1921">
      <c r="A1921" s="11">
        <v>43844.52766203704</v>
      </c>
      <c r="B1921" s="12" t="str">
        <f>HYPERLINK("https://twitter.com/ZenCarson","@ZenCarson")</f>
        <v>@ZenCarson</v>
      </c>
      <c r="C1921" s="1" t="s">
        <v>8866</v>
      </c>
      <c r="D1921" s="1" t="s">
        <v>8867</v>
      </c>
      <c r="E1921" s="12" t="str">
        <f>HYPERLINK("https://twitter.com/ZenCarson/status/1217139273679417344","1217139273679417344")</f>
        <v>1217139273679417344</v>
      </c>
      <c r="F1921" s="13" t="s">
        <v>8868</v>
      </c>
      <c r="G1921" s="14"/>
      <c r="H1921" s="14"/>
      <c r="I1921" s="15">
        <v>6.0</v>
      </c>
      <c r="J1921" s="15">
        <v>8.0</v>
      </c>
      <c r="K1921" s="12" t="str">
        <f>HYPERLINK("http://twitter.com/download/android","Twitter for Android")</f>
        <v>Twitter for Android</v>
      </c>
      <c r="L1921" s="16">
        <v>1793.0</v>
      </c>
      <c r="M1921" s="16">
        <v>1886.0</v>
      </c>
      <c r="N1921" s="16">
        <v>0.0</v>
      </c>
      <c r="O1921" s="17"/>
      <c r="P1921" s="18">
        <v>43364.340960648144</v>
      </c>
      <c r="Q1921" s="14"/>
      <c r="R1921" s="1" t="s">
        <v>8869</v>
      </c>
      <c r="S1921" s="13" t="s">
        <v>8870</v>
      </c>
      <c r="T1921" s="14"/>
      <c r="U1921" s="19" t="str">
        <f>HYPERLINK("https://pbs.twimg.com/profile_images/1043110468481638401/N-MknxQJ.png","View")</f>
        <v>View</v>
      </c>
      <c r="V1921" s="14"/>
      <c r="W1921" s="14"/>
      <c r="X1921" s="14"/>
      <c r="Y1921" s="14"/>
      <c r="Z1921" s="14"/>
    </row>
    <row r="1922">
      <c r="A1922" s="11">
        <v>43844.52614583333</v>
      </c>
      <c r="B1922" s="12" t="str">
        <f>HYPERLINK("https://twitter.com/ATSCALEready","@ATSCALEready")</f>
        <v>@ATSCALEready</v>
      </c>
      <c r="C1922" s="1" t="s">
        <v>8871</v>
      </c>
      <c r="D1922" s="1" t="s">
        <v>8872</v>
      </c>
      <c r="E1922" s="12" t="str">
        <f>HYPERLINK("https://twitter.com/ATSCALEready/status/1217138723764219906","1217138723764219906")</f>
        <v>1217138723764219906</v>
      </c>
      <c r="F1922" s="13" t="s">
        <v>8873</v>
      </c>
      <c r="G1922" s="13" t="s">
        <v>8874</v>
      </c>
      <c r="H1922" s="14"/>
      <c r="I1922" s="15">
        <v>0.0</v>
      </c>
      <c r="J1922" s="15">
        <v>0.0</v>
      </c>
      <c r="K1922" s="12" t="str">
        <f t="shared" ref="K1922:K1924" si="197">HYPERLINK("https://www.hootsuite.com","Hootsuite Inc.")</f>
        <v>Hootsuite Inc.</v>
      </c>
      <c r="L1922" s="16">
        <v>129.0</v>
      </c>
      <c r="M1922" s="16">
        <v>1044.0</v>
      </c>
      <c r="N1922" s="16">
        <v>15.0</v>
      </c>
      <c r="O1922" s="17"/>
      <c r="P1922" s="18">
        <v>42256.21155092593</v>
      </c>
      <c r="Q1922" s="1" t="s">
        <v>8875</v>
      </c>
      <c r="R1922" s="1" t="s">
        <v>8876</v>
      </c>
      <c r="S1922" s="13" t="s">
        <v>8877</v>
      </c>
      <c r="T1922" s="14"/>
      <c r="U1922" s="19" t="str">
        <f>HYPERLINK("https://pbs.twimg.com/profile_images/1118792499450003456/zBu_EtGh.png","View")</f>
        <v>View</v>
      </c>
      <c r="V1922" s="14"/>
      <c r="W1922" s="14"/>
      <c r="X1922" s="14"/>
      <c r="Y1922" s="14"/>
      <c r="Z1922" s="14"/>
    </row>
    <row r="1923">
      <c r="A1923" s="11">
        <v>43844.52575231482</v>
      </c>
      <c r="B1923" s="12" t="str">
        <f>HYPERLINK("https://twitter.com/benton_alice","@benton_alice")</f>
        <v>@benton_alice</v>
      </c>
      <c r="C1923" s="1" t="s">
        <v>8878</v>
      </c>
      <c r="D1923" s="1" t="s">
        <v>8872</v>
      </c>
      <c r="E1923" s="12" t="str">
        <f>HYPERLINK("https://twitter.com/benton_alice/status/1217138579387842561","1217138579387842561")</f>
        <v>1217138579387842561</v>
      </c>
      <c r="F1923" s="13" t="s">
        <v>8873</v>
      </c>
      <c r="G1923" s="13" t="s">
        <v>8879</v>
      </c>
      <c r="H1923" s="14"/>
      <c r="I1923" s="15">
        <v>2.0</v>
      </c>
      <c r="J1923" s="15">
        <v>0.0</v>
      </c>
      <c r="K1923" s="12" t="str">
        <f t="shared" si="197"/>
        <v>Hootsuite Inc.</v>
      </c>
      <c r="L1923" s="16">
        <v>189.0</v>
      </c>
      <c r="M1923" s="16">
        <v>75.0</v>
      </c>
      <c r="N1923" s="16">
        <v>0.0</v>
      </c>
      <c r="O1923" s="17"/>
      <c r="P1923" s="18">
        <v>42037.087858796294</v>
      </c>
      <c r="Q1923" s="1" t="s">
        <v>8880</v>
      </c>
      <c r="R1923" s="1" t="s">
        <v>8881</v>
      </c>
      <c r="S1923" s="13" t="s">
        <v>8877</v>
      </c>
      <c r="T1923" s="14"/>
      <c r="U1923" s="19" t="str">
        <f>HYPERLINK("https://pbs.twimg.com/profile_images/1127945970308796416/V1Lz-sdE.png","View")</f>
        <v>View</v>
      </c>
      <c r="V1923" s="14"/>
      <c r="W1923" s="14"/>
      <c r="X1923" s="14"/>
      <c r="Y1923" s="14"/>
      <c r="Z1923" s="14"/>
    </row>
    <row r="1924">
      <c r="A1924" s="11">
        <v>43844.5244212963</v>
      </c>
      <c r="B1924" s="12" t="str">
        <f>HYPERLINK("https://twitter.com/AnxietyUK","@AnxietyUK")</f>
        <v>@AnxietyUK</v>
      </c>
      <c r="C1924" s="1" t="s">
        <v>1420</v>
      </c>
      <c r="D1924" s="1" t="s">
        <v>1421</v>
      </c>
      <c r="E1924" s="12" t="str">
        <f>HYPERLINK("https://twitter.com/AnxietyUK/status/1217138099660214272","1217138099660214272")</f>
        <v>1217138099660214272</v>
      </c>
      <c r="F1924" s="13" t="s">
        <v>1422</v>
      </c>
      <c r="G1924" s="13" t="s">
        <v>8882</v>
      </c>
      <c r="H1924" s="14"/>
      <c r="I1924" s="15">
        <v>3.0</v>
      </c>
      <c r="J1924" s="15">
        <v>4.0</v>
      </c>
      <c r="K1924" s="12" t="str">
        <f t="shared" si="197"/>
        <v>Hootsuite Inc.</v>
      </c>
      <c r="L1924" s="16">
        <v>130198.0</v>
      </c>
      <c r="M1924" s="16">
        <v>2538.0</v>
      </c>
      <c r="N1924" s="16">
        <v>1114.0</v>
      </c>
      <c r="O1924" s="17"/>
      <c r="P1924" s="18">
        <v>39854.57107638889</v>
      </c>
      <c r="Q1924" s="1" t="s">
        <v>1423</v>
      </c>
      <c r="R1924" s="1" t="s">
        <v>1424</v>
      </c>
      <c r="S1924" s="13" t="s">
        <v>1425</v>
      </c>
      <c r="T1924" s="14"/>
      <c r="U1924" s="19" t="str">
        <f>HYPERLINK("https://pbs.twimg.com/profile_images/1184032569148485632/ARtaFKKO.jpg","View")</f>
        <v>View</v>
      </c>
      <c r="V1924" s="14"/>
      <c r="W1924" s="14"/>
      <c r="X1924" s="14"/>
      <c r="Y1924" s="14"/>
      <c r="Z1924" s="14"/>
    </row>
    <row r="1925">
      <c r="A1925" s="11">
        <v>43844.52243055556</v>
      </c>
      <c r="B1925" s="12" t="str">
        <f>HYPERLINK("https://twitter.com/algaecal","@algaecal")</f>
        <v>@algaecal</v>
      </c>
      <c r="C1925" s="1" t="s">
        <v>8883</v>
      </c>
      <c r="D1925" s="1" t="s">
        <v>8884</v>
      </c>
      <c r="E1925" s="12" t="str">
        <f>HYPERLINK("https://twitter.com/algaecal/status/1217137378386759682","1217137378386759682")</f>
        <v>1217137378386759682</v>
      </c>
      <c r="F1925" s="13" t="s">
        <v>8885</v>
      </c>
      <c r="G1925" s="14"/>
      <c r="H1925" s="14"/>
      <c r="I1925" s="15">
        <v>0.0</v>
      </c>
      <c r="J1925" s="15">
        <v>0.0</v>
      </c>
      <c r="K1925" s="12" t="str">
        <f>HYPERLINK("http://www.oneupapp.io","OneUp App")</f>
        <v>OneUp App</v>
      </c>
      <c r="L1925" s="16">
        <v>972.0</v>
      </c>
      <c r="M1925" s="16">
        <v>1017.0</v>
      </c>
      <c r="N1925" s="16">
        <v>33.0</v>
      </c>
      <c r="O1925" s="17"/>
      <c r="P1925" s="18">
        <v>40003.94509259259</v>
      </c>
      <c r="Q1925" s="1" t="s">
        <v>4938</v>
      </c>
      <c r="R1925" s="1" t="s">
        <v>8886</v>
      </c>
      <c r="S1925" s="13" t="s">
        <v>8887</v>
      </c>
      <c r="T1925" s="14"/>
      <c r="U1925" s="19" t="str">
        <f>HYPERLINK("https://pbs.twimg.com/profile_images/935189284151316480/2QkI0rIr.jpg","View")</f>
        <v>View</v>
      </c>
      <c r="V1925" s="14"/>
      <c r="W1925" s="14"/>
      <c r="X1925" s="14"/>
      <c r="Y1925" s="14"/>
      <c r="Z1925" s="14"/>
    </row>
    <row r="1926">
      <c r="A1926" s="11">
        <v>43844.52122685185</v>
      </c>
      <c r="B1926" s="12" t="str">
        <f>HYPERLINK("https://twitter.com/JustLiveSocal","@JustLiveSocal")</f>
        <v>@JustLiveSocal</v>
      </c>
      <c r="C1926" s="1" t="s">
        <v>8888</v>
      </c>
      <c r="D1926" s="1" t="s">
        <v>8889</v>
      </c>
      <c r="E1926" s="12" t="str">
        <f>HYPERLINK("https://twitter.com/JustLiveSocal/status/1217136938760585216","1217136938760585216")</f>
        <v>1217136938760585216</v>
      </c>
      <c r="F1926" s="13" t="s">
        <v>8890</v>
      </c>
      <c r="G1926" s="13" t="s">
        <v>8891</v>
      </c>
      <c r="H1926" s="14"/>
      <c r="I1926" s="15">
        <v>0.0</v>
      </c>
      <c r="J1926" s="15">
        <v>0.0</v>
      </c>
      <c r="K1926" s="12" t="str">
        <f>HYPERLINK("https://buffer.com","Buffer")</f>
        <v>Buffer</v>
      </c>
      <c r="L1926" s="16">
        <v>1.0</v>
      </c>
      <c r="M1926" s="16">
        <v>15.0</v>
      </c>
      <c r="N1926" s="16">
        <v>0.0</v>
      </c>
      <c r="O1926" s="17"/>
      <c r="P1926" s="18">
        <v>43836.66552083333</v>
      </c>
      <c r="Q1926" s="1" t="s">
        <v>102</v>
      </c>
      <c r="R1926" s="1" t="s">
        <v>8892</v>
      </c>
      <c r="S1926" s="14"/>
      <c r="T1926" s="14"/>
      <c r="U1926" s="19" t="str">
        <f>HYPERLINK("https://pbs.twimg.com/profile_images/1214290292787990528/dbzOGegn.jpg","View")</f>
        <v>View</v>
      </c>
      <c r="V1926" s="14"/>
      <c r="W1926" s="14"/>
      <c r="X1926" s="14"/>
      <c r="Y1926" s="14"/>
      <c r="Z1926" s="14"/>
    </row>
    <row r="1927">
      <c r="A1927" s="11">
        <v>43844.52097222222</v>
      </c>
      <c r="B1927" s="12" t="str">
        <f>HYPERLINK("https://twitter.com/EmployeeBenefit","@EmployeeBenefit")</f>
        <v>@EmployeeBenefit</v>
      </c>
      <c r="C1927" s="1" t="s">
        <v>8893</v>
      </c>
      <c r="D1927" s="1" t="s">
        <v>8894</v>
      </c>
      <c r="E1927" s="12" t="str">
        <f>HYPERLINK("https://twitter.com/EmployeeBenefit/status/1217136845961793536","1217136845961793536")</f>
        <v>1217136845961793536</v>
      </c>
      <c r="F1927" s="13" t="s">
        <v>8895</v>
      </c>
      <c r="G1927" s="13" t="s">
        <v>8896</v>
      </c>
      <c r="H1927" s="14"/>
      <c r="I1927" s="15">
        <v>1.0</v>
      </c>
      <c r="J1927" s="15">
        <v>2.0</v>
      </c>
      <c r="K1927" s="12" t="str">
        <f>HYPERLINK("https://www.hootsuite.com","Hootsuite Inc.")</f>
        <v>Hootsuite Inc.</v>
      </c>
      <c r="L1927" s="16">
        <v>11073.0</v>
      </c>
      <c r="M1927" s="16">
        <v>936.0</v>
      </c>
      <c r="N1927" s="16">
        <v>406.0</v>
      </c>
      <c r="O1927" s="17"/>
      <c r="P1927" s="18">
        <v>39870.33479166667</v>
      </c>
      <c r="Q1927" s="1" t="s">
        <v>1349</v>
      </c>
      <c r="R1927" s="1" t="s">
        <v>8897</v>
      </c>
      <c r="S1927" s="13" t="s">
        <v>8898</v>
      </c>
      <c r="T1927" s="14"/>
      <c r="U1927" s="19" t="str">
        <f>HYPERLINK("https://pbs.twimg.com/profile_images/661847314227707904/3p8kKoqr.png","View")</f>
        <v>View</v>
      </c>
      <c r="V1927" s="14"/>
      <c r="W1927" s="14"/>
      <c r="X1927" s="14"/>
      <c r="Y1927" s="14"/>
      <c r="Z1927" s="14"/>
    </row>
    <row r="1928">
      <c r="A1928" s="11">
        <v>43844.52018518519</v>
      </c>
      <c r="B1928" s="12" t="str">
        <f>HYPERLINK("https://twitter.com/southernmomlove","@southernmomlove")</f>
        <v>@southernmomlove</v>
      </c>
      <c r="C1928" s="1" t="s">
        <v>643</v>
      </c>
      <c r="D1928" s="1" t="s">
        <v>8899</v>
      </c>
      <c r="E1928" s="12" t="str">
        <f>HYPERLINK("https://twitter.com/southernmomlove/status/1217136562317725697","1217136562317725697")</f>
        <v>1217136562317725697</v>
      </c>
      <c r="F1928" s="13" t="s">
        <v>645</v>
      </c>
      <c r="G1928" s="14"/>
      <c r="H1928" s="14"/>
      <c r="I1928" s="15">
        <v>41.0</v>
      </c>
      <c r="J1928" s="15">
        <v>14.0</v>
      </c>
      <c r="K1928" s="12" t="str">
        <f>HYPERLINK("http://twitter.com","Twitter Web Client")</f>
        <v>Twitter Web Client</v>
      </c>
      <c r="L1928" s="16">
        <v>14525.0</v>
      </c>
      <c r="M1928" s="16">
        <v>1279.0</v>
      </c>
      <c r="N1928" s="16">
        <v>212.0</v>
      </c>
      <c r="O1928" s="17"/>
      <c r="P1928" s="18">
        <v>41694.59119212963</v>
      </c>
      <c r="Q1928" s="1" t="s">
        <v>647</v>
      </c>
      <c r="R1928" s="1" t="s">
        <v>648</v>
      </c>
      <c r="S1928" s="13" t="s">
        <v>649</v>
      </c>
      <c r="T1928" s="14"/>
      <c r="U1928" s="19" t="str">
        <f>HYPERLINK("https://pbs.twimg.com/profile_images/930498845733261312/3cq36Ubm.jpg","View")</f>
        <v>View</v>
      </c>
      <c r="V1928" s="14"/>
      <c r="W1928" s="14"/>
      <c r="X1928" s="14"/>
      <c r="Y1928" s="14"/>
      <c r="Z1928" s="14"/>
    </row>
    <row r="1929">
      <c r="A1929" s="11">
        <v>43844.51822916667</v>
      </c>
      <c r="B1929" s="12" t="str">
        <f>HYPERLINK("https://twitter.com/info02841585","@info02841585")</f>
        <v>@info02841585</v>
      </c>
      <c r="C1929" s="1" t="s">
        <v>4671</v>
      </c>
      <c r="D1929" s="1" t="s">
        <v>8900</v>
      </c>
      <c r="E1929" s="12" t="str">
        <f>HYPERLINK("https://twitter.com/info02841585/status/1217135852461154309","1217135852461154309")</f>
        <v>1217135852461154309</v>
      </c>
      <c r="F1929" s="14"/>
      <c r="G1929" s="13" t="s">
        <v>8901</v>
      </c>
      <c r="H1929" s="14"/>
      <c r="I1929" s="15">
        <v>0.0</v>
      </c>
      <c r="J1929" s="15">
        <v>0.0</v>
      </c>
      <c r="K1929" s="12" t="str">
        <f>HYPERLINK("https://www.ripl.com","Ripl App")</f>
        <v>Ripl App</v>
      </c>
      <c r="L1929" s="16">
        <v>171.0</v>
      </c>
      <c r="M1929" s="16">
        <v>934.0</v>
      </c>
      <c r="N1929" s="16">
        <v>0.0</v>
      </c>
      <c r="O1929" s="17"/>
      <c r="P1929" s="18">
        <v>42337.1403125</v>
      </c>
      <c r="Q1929" s="1" t="s">
        <v>4674</v>
      </c>
      <c r="R1929" s="1" t="s">
        <v>4675</v>
      </c>
      <c r="S1929" s="13" t="s">
        <v>4676</v>
      </c>
      <c r="T1929" s="14"/>
      <c r="U1929" s="19" t="str">
        <f>HYPERLINK("https://pbs.twimg.com/profile_images/1097499083130970112/iKc3OPkV.png","View")</f>
        <v>View</v>
      </c>
      <c r="V1929" s="14"/>
      <c r="W1929" s="14"/>
      <c r="X1929" s="14"/>
      <c r="Y1929" s="14"/>
      <c r="Z1929" s="14"/>
    </row>
    <row r="1930">
      <c r="A1930" s="11">
        <v>43844.5174074074</v>
      </c>
      <c r="B1930" s="12" t="str">
        <f>HYPERLINK("https://twitter.com/CSAMSanDiego","@CSAMSanDiego")</f>
        <v>@CSAMSanDiego</v>
      </c>
      <c r="C1930" s="1" t="s">
        <v>8902</v>
      </c>
      <c r="D1930" s="1" t="s">
        <v>8903</v>
      </c>
      <c r="E1930" s="12" t="str">
        <f>HYPERLINK("https://twitter.com/CSAMSanDiego/status/1217135554241990658","1217135554241990658")</f>
        <v>1217135554241990658</v>
      </c>
      <c r="F1930" s="13" t="s">
        <v>8904</v>
      </c>
      <c r="G1930" s="14"/>
      <c r="H1930" s="14"/>
      <c r="I1930" s="15">
        <v>5.0</v>
      </c>
      <c r="J1930" s="15">
        <v>2.0</v>
      </c>
      <c r="K1930" s="12" t="str">
        <f>HYPERLINK("https://www.hootsuite.com","Hootsuite Inc.")</f>
        <v>Hootsuite Inc.</v>
      </c>
      <c r="L1930" s="16">
        <v>347.0</v>
      </c>
      <c r="M1930" s="16">
        <v>438.0</v>
      </c>
      <c r="N1930" s="16">
        <v>35.0</v>
      </c>
      <c r="O1930" s="17"/>
      <c r="P1930" s="18">
        <v>41169.722337962965</v>
      </c>
      <c r="Q1930" s="1" t="s">
        <v>2583</v>
      </c>
      <c r="R1930" s="1" t="s">
        <v>8905</v>
      </c>
      <c r="S1930" s="13" t="s">
        <v>8906</v>
      </c>
      <c r="T1930" s="14"/>
      <c r="U1930" s="19" t="str">
        <f>HYPERLINK("https://pbs.twimg.com/profile_images/3288651740/6706675d8398ec1dc51c9c610ca7294e.png","View")</f>
        <v>View</v>
      </c>
      <c r="V1930" s="14"/>
      <c r="W1930" s="14"/>
      <c r="X1930" s="14"/>
      <c r="Y1930" s="14"/>
      <c r="Z1930" s="14"/>
    </row>
    <row r="1931">
      <c r="A1931" s="11">
        <v>43844.51449074074</v>
      </c>
      <c r="B1931" s="12" t="str">
        <f>HYPERLINK("https://twitter.com/Seonag88","@Seonag88")</f>
        <v>@Seonag88</v>
      </c>
      <c r="C1931" s="1" t="s">
        <v>8907</v>
      </c>
      <c r="D1931" s="1" t="s">
        <v>8908</v>
      </c>
      <c r="E1931" s="12" t="str">
        <f>HYPERLINK("https://twitter.com/Seonag88/status/1217134498070003714","1217134498070003714")</f>
        <v>1217134498070003714</v>
      </c>
      <c r="F1931" s="14"/>
      <c r="G1931" s="14"/>
      <c r="H1931" s="14"/>
      <c r="I1931" s="15">
        <v>0.0</v>
      </c>
      <c r="J1931" s="15">
        <v>14.0</v>
      </c>
      <c r="K1931" s="12" t="str">
        <f>HYPERLINK("http://twitter.com/download/iphone","Twitter for iPhone")</f>
        <v>Twitter for iPhone</v>
      </c>
      <c r="L1931" s="16">
        <v>425.0</v>
      </c>
      <c r="M1931" s="16">
        <v>714.0</v>
      </c>
      <c r="N1931" s="16">
        <v>8.0</v>
      </c>
      <c r="O1931" s="17"/>
      <c r="P1931" s="18">
        <v>39901.542708333334</v>
      </c>
      <c r="Q1931" s="14"/>
      <c r="R1931" s="1" t="s">
        <v>8909</v>
      </c>
      <c r="S1931" s="14"/>
      <c r="T1931" s="14"/>
      <c r="U1931" s="19" t="str">
        <f>HYPERLINK("https://pbs.twimg.com/profile_images/1143984878666600449/f8eeoZdY.jpg","View")</f>
        <v>View</v>
      </c>
      <c r="V1931" s="14"/>
      <c r="W1931" s="14"/>
      <c r="X1931" s="14"/>
      <c r="Y1931" s="14"/>
      <c r="Z1931" s="14"/>
    </row>
    <row r="1932">
      <c r="A1932" s="11">
        <v>43844.51212962963</v>
      </c>
      <c r="B1932" s="12" t="str">
        <f>HYPERLINK("https://twitter.com/SquishSupport","@SquishSupport")</f>
        <v>@SquishSupport</v>
      </c>
      <c r="C1932" s="1" t="s">
        <v>799</v>
      </c>
      <c r="D1932" s="1" t="s">
        <v>8910</v>
      </c>
      <c r="E1932" s="12" t="str">
        <f>HYPERLINK("https://twitter.com/SquishSupport/status/1217133642515984385","1217133642515984385")</f>
        <v>1217133642515984385</v>
      </c>
      <c r="F1932" s="14"/>
      <c r="G1932" s="13" t="s">
        <v>8911</v>
      </c>
      <c r="H1932" s="14"/>
      <c r="I1932" s="15">
        <v>4.0</v>
      </c>
      <c r="J1932" s="15">
        <v>3.0</v>
      </c>
      <c r="K1932" s="12" t="str">
        <f>HYPERLINK("http://twitter.com/download/android","Twitter for Android")</f>
        <v>Twitter for Android</v>
      </c>
      <c r="L1932" s="16">
        <v>24.0</v>
      </c>
      <c r="M1932" s="16">
        <v>109.0</v>
      </c>
      <c r="N1932" s="16">
        <v>0.0</v>
      </c>
      <c r="O1932" s="17"/>
      <c r="P1932" s="18">
        <v>43790.01303240741</v>
      </c>
      <c r="Q1932" s="1" t="s">
        <v>802</v>
      </c>
      <c r="R1932" s="1" t="s">
        <v>803</v>
      </c>
      <c r="S1932" s="13" t="s">
        <v>804</v>
      </c>
      <c r="T1932" s="14"/>
      <c r="U1932" s="19" t="str">
        <f>HYPERLINK("https://pbs.twimg.com/profile_images/1197383912084905984/1yZnevKP.png","View")</f>
        <v>View</v>
      </c>
      <c r="V1932" s="14"/>
      <c r="W1932" s="14"/>
      <c r="X1932" s="14"/>
      <c r="Y1932" s="14"/>
      <c r="Z1932" s="14"/>
    </row>
    <row r="1933">
      <c r="A1933" s="11">
        <v>43844.51148148148</v>
      </c>
      <c r="B1933" s="12" t="str">
        <f>HYPERLINK("https://twitter.com/dstanton207","@dstanton207")</f>
        <v>@dstanton207</v>
      </c>
      <c r="C1933" s="1" t="s">
        <v>8912</v>
      </c>
      <c r="D1933" s="1" t="s">
        <v>8913</v>
      </c>
      <c r="E1933" s="12" t="str">
        <f>HYPERLINK("https://twitter.com/dstanton207/status/1217133409765601280","1217133409765601280")</f>
        <v>1217133409765601280</v>
      </c>
      <c r="F1933" s="14"/>
      <c r="G1933" s="13" t="s">
        <v>8914</v>
      </c>
      <c r="H1933" s="14"/>
      <c r="I1933" s="15">
        <v>0.0</v>
      </c>
      <c r="J1933" s="15">
        <v>2.0</v>
      </c>
      <c r="K1933" s="12" t="str">
        <f>HYPERLINK("http://twitter.com/download/iphone","Twitter for iPhone")</f>
        <v>Twitter for iPhone</v>
      </c>
      <c r="L1933" s="16">
        <v>264.0</v>
      </c>
      <c r="M1933" s="16">
        <v>240.0</v>
      </c>
      <c r="N1933" s="16">
        <v>29.0</v>
      </c>
      <c r="O1933" s="17"/>
      <c r="P1933" s="18">
        <v>39820.62446759259</v>
      </c>
      <c r="Q1933" s="1" t="s">
        <v>809</v>
      </c>
      <c r="R1933" s="1" t="s">
        <v>8915</v>
      </c>
      <c r="S1933" s="13" t="s">
        <v>8916</v>
      </c>
      <c r="T1933" s="14"/>
      <c r="U1933" s="19" t="str">
        <f>HYPERLINK("https://pbs.twimg.com/profile_images/987386671057571842/yLZ9hmuj.jpg","View")</f>
        <v>View</v>
      </c>
      <c r="V1933" s="14"/>
      <c r="W1933" s="14"/>
      <c r="X1933" s="14"/>
      <c r="Y1933" s="14"/>
      <c r="Z1933" s="14"/>
    </row>
    <row r="1934">
      <c r="A1934" s="11">
        <v>43844.510624999995</v>
      </c>
      <c r="B1934" s="12" t="str">
        <f>HYPERLINK("https://twitter.com/MpoweredCircle","@MpoweredCircle")</f>
        <v>@MpoweredCircle</v>
      </c>
      <c r="C1934" s="1" t="s">
        <v>8917</v>
      </c>
      <c r="D1934" s="1" t="s">
        <v>8918</v>
      </c>
      <c r="E1934" s="12" t="str">
        <f>HYPERLINK("https://twitter.com/MpoweredCircle/status/1217133096115605504","1217133096115605504")</f>
        <v>1217133096115605504</v>
      </c>
      <c r="F1934" s="14"/>
      <c r="G1934" s="13" t="s">
        <v>8919</v>
      </c>
      <c r="H1934" s="14"/>
      <c r="I1934" s="15">
        <v>0.0</v>
      </c>
      <c r="J1934" s="15">
        <v>0.0</v>
      </c>
      <c r="K1934" s="12" t="str">
        <f>HYPERLINK("https://buffer.com","Buffer")</f>
        <v>Buffer</v>
      </c>
      <c r="L1934" s="16">
        <v>42.0</v>
      </c>
      <c r="M1934" s="16">
        <v>60.0</v>
      </c>
      <c r="N1934" s="16">
        <v>0.0</v>
      </c>
      <c r="O1934" s="17"/>
      <c r="P1934" s="18">
        <v>43405.81209490741</v>
      </c>
      <c r="Q1934" s="14"/>
      <c r="R1934" s="1" t="s">
        <v>8920</v>
      </c>
      <c r="S1934" s="13" t="s">
        <v>8921</v>
      </c>
      <c r="T1934" s="14"/>
      <c r="U1934" s="19" t="str">
        <f>HYPERLINK("https://pbs.twimg.com/profile_images/1073078801247100928/MWjDHSUg.jpg","View")</f>
        <v>View</v>
      </c>
      <c r="V1934" s="14"/>
      <c r="W1934" s="14"/>
      <c r="X1934" s="14"/>
      <c r="Y1934" s="14"/>
      <c r="Z1934" s="14"/>
    </row>
    <row r="1935">
      <c r="A1935" s="11">
        <v>43844.51054398148</v>
      </c>
      <c r="B1935" s="12" t="str">
        <f>HYPERLINK("https://twitter.com/Peace_Fires","@Peace_Fires")</f>
        <v>@Peace_Fires</v>
      </c>
      <c r="C1935" s="1" t="s">
        <v>8922</v>
      </c>
      <c r="D1935" s="1" t="s">
        <v>8923</v>
      </c>
      <c r="E1935" s="12" t="str">
        <f>HYPERLINK("https://twitter.com/Peace_Fires/status/1217133068710039552","1217133068710039552")</f>
        <v>1217133068710039552</v>
      </c>
      <c r="F1935" s="13" t="s">
        <v>8924</v>
      </c>
      <c r="G1935" s="13" t="s">
        <v>8925</v>
      </c>
      <c r="H1935" s="14"/>
      <c r="I1935" s="15">
        <v>3.0</v>
      </c>
      <c r="J1935" s="15">
        <v>2.0</v>
      </c>
      <c r="K1935" s="12" t="str">
        <f>HYPERLINK("https://www.hootsuite.com","Hootsuite Inc.")</f>
        <v>Hootsuite Inc.</v>
      </c>
      <c r="L1935" s="16">
        <v>274.0</v>
      </c>
      <c r="M1935" s="16">
        <v>354.0</v>
      </c>
      <c r="N1935" s="16">
        <v>20.0</v>
      </c>
      <c r="O1935" s="17"/>
      <c r="P1935" s="18">
        <v>42686.64423611111</v>
      </c>
      <c r="Q1935" s="1" t="s">
        <v>8926</v>
      </c>
      <c r="R1935" s="1" t="s">
        <v>8927</v>
      </c>
      <c r="S1935" s="13" t="s">
        <v>8928</v>
      </c>
      <c r="T1935" s="14"/>
      <c r="U1935" s="19" t="str">
        <f>HYPERLINK("https://pbs.twimg.com/profile_images/953799029229436928/Y0-uT9-W.jpg","View")</f>
        <v>View</v>
      </c>
      <c r="V1935" s="14"/>
      <c r="W1935" s="14"/>
      <c r="X1935" s="14"/>
      <c r="Y1935" s="14"/>
      <c r="Z1935" s="14"/>
    </row>
    <row r="1936">
      <c r="A1936" s="11">
        <v>43844.50697916667</v>
      </c>
      <c r="B1936" s="12" t="str">
        <f>HYPERLINK("https://twitter.com/jardine_info","@jardine_info")</f>
        <v>@jardine_info</v>
      </c>
      <c r="C1936" s="1" t="s">
        <v>8929</v>
      </c>
      <c r="D1936" s="1" t="s">
        <v>8930</v>
      </c>
      <c r="E1936" s="12" t="str">
        <f>HYPERLINK("https://twitter.com/jardine_info/status/1217131778651164673","1217131778651164673")</f>
        <v>1217131778651164673</v>
      </c>
      <c r="F1936" s="14"/>
      <c r="G1936" s="13" t="s">
        <v>8931</v>
      </c>
      <c r="H1936" s="14"/>
      <c r="I1936" s="15">
        <v>0.0</v>
      </c>
      <c r="J1936" s="15">
        <v>0.0</v>
      </c>
      <c r="K1936" s="12" t="str">
        <f>HYPERLINK("https://sproutsocial.com","Sprout Social")</f>
        <v>Sprout Social</v>
      </c>
      <c r="L1936" s="16">
        <v>1678.0</v>
      </c>
      <c r="M1936" s="16">
        <v>2264.0</v>
      </c>
      <c r="N1936" s="16">
        <v>100.0</v>
      </c>
      <c r="O1936" s="17"/>
      <c r="P1936" s="18">
        <v>41381.46494212963</v>
      </c>
      <c r="Q1936" s="1" t="s">
        <v>864</v>
      </c>
      <c r="R1936" s="1" t="s">
        <v>8932</v>
      </c>
      <c r="S1936" s="14"/>
      <c r="T1936" s="14"/>
      <c r="U1936" s="19" t="str">
        <f>HYPERLINK("https://pbs.twimg.com/profile_images/378800000816117713/6eda8081b9ed0d44f4a6db62776c0946.jpeg","View")</f>
        <v>View</v>
      </c>
      <c r="V1936" s="14"/>
      <c r="W1936" s="14"/>
      <c r="X1936" s="14"/>
      <c r="Y1936" s="14"/>
      <c r="Z1936" s="14"/>
    </row>
    <row r="1937">
      <c r="A1937" s="11">
        <v>43844.50640046297</v>
      </c>
      <c r="B1937" s="12" t="str">
        <f>HYPERLINK("https://twitter.com/atexansfitness","@atexansfitness")</f>
        <v>@atexansfitness</v>
      </c>
      <c r="C1937" s="1" t="s">
        <v>8933</v>
      </c>
      <c r="D1937" s="1" t="s">
        <v>8934</v>
      </c>
      <c r="E1937" s="12" t="str">
        <f>HYPERLINK("https://twitter.com/atexansfitness/status/1217131565635031040","1217131565635031040")</f>
        <v>1217131565635031040</v>
      </c>
      <c r="F1937" s="13" t="s">
        <v>8935</v>
      </c>
      <c r="G1937" s="13" t="s">
        <v>8936</v>
      </c>
      <c r="H1937" s="14"/>
      <c r="I1937" s="15">
        <v>0.0</v>
      </c>
      <c r="J1937" s="15">
        <v>0.0</v>
      </c>
      <c r="K1937" s="12" t="str">
        <f t="shared" ref="K1937:K1938" si="198">HYPERLINK("http://twitter.com/download/iphone","Twitter for iPhone")</f>
        <v>Twitter for iPhone</v>
      </c>
      <c r="L1937" s="16">
        <v>45.0</v>
      </c>
      <c r="M1937" s="16">
        <v>102.0</v>
      </c>
      <c r="N1937" s="16">
        <v>0.0</v>
      </c>
      <c r="O1937" s="17"/>
      <c r="P1937" s="18">
        <v>43137.98659722222</v>
      </c>
      <c r="Q1937" s="1" t="s">
        <v>2576</v>
      </c>
      <c r="R1937" s="1" t="s">
        <v>8937</v>
      </c>
      <c r="S1937" s="13" t="s">
        <v>8938</v>
      </c>
      <c r="T1937" s="14"/>
      <c r="U1937" s="19" t="str">
        <f>HYPERLINK("https://pbs.twimg.com/profile_images/1091719486292586499/BZgiy4Ty.jpg","View")</f>
        <v>View</v>
      </c>
      <c r="V1937" s="14"/>
      <c r="W1937" s="14"/>
      <c r="X1937" s="14"/>
      <c r="Y1937" s="14"/>
      <c r="Z1937" s="14"/>
    </row>
    <row r="1938">
      <c r="A1938" s="11">
        <v>43844.506377314814</v>
      </c>
      <c r="B1938" s="12" t="str">
        <f>HYPERLINK("https://twitter.com/kaytie__","@kaytie__")</f>
        <v>@kaytie__</v>
      </c>
      <c r="C1938" s="1" t="s">
        <v>8939</v>
      </c>
      <c r="D1938" s="1" t="s">
        <v>8940</v>
      </c>
      <c r="E1938" s="12" t="str">
        <f>HYPERLINK("https://twitter.com/kaytie__/status/1217131558475370497","1217131558475370497")</f>
        <v>1217131558475370497</v>
      </c>
      <c r="F1938" s="14"/>
      <c r="G1938" s="13" t="s">
        <v>8941</v>
      </c>
      <c r="H1938" s="14"/>
      <c r="I1938" s="15">
        <v>0.0</v>
      </c>
      <c r="J1938" s="15">
        <v>1.0</v>
      </c>
      <c r="K1938" s="12" t="str">
        <f t="shared" si="198"/>
        <v>Twitter for iPhone</v>
      </c>
      <c r="L1938" s="16">
        <v>114.0</v>
      </c>
      <c r="M1938" s="16">
        <v>134.0</v>
      </c>
      <c r="N1938" s="16">
        <v>2.0</v>
      </c>
      <c r="O1938" s="17"/>
      <c r="P1938" s="18">
        <v>41268.78681712963</v>
      </c>
      <c r="Q1938" s="14"/>
      <c r="R1938" s="1" t="s">
        <v>8942</v>
      </c>
      <c r="S1938" s="14"/>
      <c r="T1938" s="14"/>
      <c r="U1938" s="19" t="str">
        <f>HYPERLINK("https://pbs.twimg.com/profile_images/1216571863457026049/28WIoH7m.jpg","View")</f>
        <v>View</v>
      </c>
      <c r="V1938" s="14"/>
      <c r="W1938" s="14"/>
      <c r="X1938" s="14"/>
      <c r="Y1938" s="14"/>
      <c r="Z1938" s="14"/>
    </row>
    <row r="1939">
      <c r="A1939" s="11">
        <v>43844.505000000005</v>
      </c>
      <c r="B1939" s="12" t="str">
        <f>HYPERLINK("https://twitter.com/MahiraK12128172","@MahiraK12128172")</f>
        <v>@MahiraK12128172</v>
      </c>
      <c r="C1939" s="1" t="s">
        <v>1961</v>
      </c>
      <c r="D1939" s="1" t="s">
        <v>8943</v>
      </c>
      <c r="E1939" s="12" t="str">
        <f>HYPERLINK("https://twitter.com/MahiraK12128172/status/1217131060217229312","1217131060217229312")</f>
        <v>1217131060217229312</v>
      </c>
      <c r="F1939" s="14"/>
      <c r="G1939" s="13" t="s">
        <v>8944</v>
      </c>
      <c r="H1939" s="14"/>
      <c r="I1939" s="15">
        <v>0.0</v>
      </c>
      <c r="J1939" s="15">
        <v>1.0</v>
      </c>
      <c r="K1939" s="12" t="str">
        <f>HYPERLINK("http://twitter.com/download/android","Twitter for Android")</f>
        <v>Twitter for Android</v>
      </c>
      <c r="L1939" s="16">
        <v>7.0</v>
      </c>
      <c r="M1939" s="16">
        <v>6.0</v>
      </c>
      <c r="N1939" s="16">
        <v>0.0</v>
      </c>
      <c r="O1939" s="17"/>
      <c r="P1939" s="18">
        <v>43828.45667824074</v>
      </c>
      <c r="Q1939" s="14"/>
      <c r="R1939" s="1" t="s">
        <v>1963</v>
      </c>
      <c r="S1939" s="14"/>
      <c r="T1939" s="14"/>
      <c r="U1939" s="19" t="str">
        <f>HYPERLINK("https://pbs.twimg.com/profile_images/1215238874550632448/rjhz6sRR.jpg","View")</f>
        <v>View</v>
      </c>
      <c r="V1939" s="14"/>
      <c r="W1939" s="14"/>
      <c r="X1939" s="14"/>
      <c r="Y1939" s="14"/>
      <c r="Z1939" s="14"/>
    </row>
    <row r="1940">
      <c r="A1940" s="11">
        <v>43844.50420138889</v>
      </c>
      <c r="B1940" s="12" t="str">
        <f>HYPERLINK("https://twitter.com/GleeYoga","@GleeYoga")</f>
        <v>@GleeYoga</v>
      </c>
      <c r="C1940" s="1" t="s">
        <v>4351</v>
      </c>
      <c r="D1940" s="1" t="s">
        <v>8945</v>
      </c>
      <c r="E1940" s="12" t="str">
        <f>HYPERLINK("https://twitter.com/GleeYoga/status/1217130770982039552","1217130770982039552")</f>
        <v>1217130770982039552</v>
      </c>
      <c r="F1940" s="13" t="s">
        <v>4353</v>
      </c>
      <c r="G1940" s="13" t="s">
        <v>8946</v>
      </c>
      <c r="H1940" s="14"/>
      <c r="I1940" s="15">
        <v>0.0</v>
      </c>
      <c r="J1940" s="15">
        <v>0.0</v>
      </c>
      <c r="K1940" s="12" t="str">
        <f>HYPERLINK("https://dlvrit.com/","dlvr.it")</f>
        <v>dlvr.it</v>
      </c>
      <c r="L1940" s="16">
        <v>1551.0</v>
      </c>
      <c r="M1940" s="16">
        <v>24.0</v>
      </c>
      <c r="N1940" s="16">
        <v>126.0</v>
      </c>
      <c r="O1940" s="17"/>
      <c r="P1940" s="18">
        <v>42505.1422337963</v>
      </c>
      <c r="Q1940" s="1" t="s">
        <v>928</v>
      </c>
      <c r="R1940" s="1" t="s">
        <v>4355</v>
      </c>
      <c r="S1940" s="13" t="s">
        <v>4356</v>
      </c>
      <c r="T1940" s="14"/>
      <c r="U1940" s="19" t="str">
        <f>HYPERLINK("https://pbs.twimg.com/profile_images/731750901778513921/mHNyQ2EL.jpg","View")</f>
        <v>View</v>
      </c>
      <c r="V1940" s="14"/>
      <c r="W1940" s="14"/>
      <c r="X1940" s="14"/>
      <c r="Y1940" s="14"/>
      <c r="Z1940" s="14"/>
    </row>
    <row r="1941">
      <c r="A1941" s="11">
        <v>43844.503541666665</v>
      </c>
      <c r="B1941" s="12" t="str">
        <f>HYPERLINK("https://twitter.com/CohenVeterans","@CohenVeterans")</f>
        <v>@CohenVeterans</v>
      </c>
      <c r="C1941" s="1" t="s">
        <v>8947</v>
      </c>
      <c r="D1941" s="1" t="s">
        <v>8948</v>
      </c>
      <c r="E1941" s="12" t="str">
        <f>HYPERLINK("https://twitter.com/CohenVeterans/status/1217130533269966848","1217130533269966848")</f>
        <v>1217130533269966848</v>
      </c>
      <c r="F1941" s="14"/>
      <c r="G1941" s="13" t="s">
        <v>8949</v>
      </c>
      <c r="H1941" s="14"/>
      <c r="I1941" s="15">
        <v>0.0</v>
      </c>
      <c r="J1941" s="15">
        <v>2.0</v>
      </c>
      <c r="K1941" s="12" t="str">
        <f t="shared" ref="K1941:K1945" si="199">HYPERLINK("https://www.hootsuite.com","Hootsuite Inc.")</f>
        <v>Hootsuite Inc.</v>
      </c>
      <c r="L1941" s="16">
        <v>2685.0</v>
      </c>
      <c r="M1941" s="16">
        <v>1022.0</v>
      </c>
      <c r="N1941" s="16">
        <v>53.0</v>
      </c>
      <c r="O1941" s="17"/>
      <c r="P1941" s="18">
        <v>42376.70045138889</v>
      </c>
      <c r="Q1941" s="14"/>
      <c r="R1941" s="1" t="s">
        <v>8950</v>
      </c>
      <c r="S1941" s="13" t="s">
        <v>8951</v>
      </c>
      <c r="T1941" s="14"/>
      <c r="U1941" s="19" t="str">
        <f>HYPERLINK("https://pbs.twimg.com/profile_images/710208400152375296/LxZvYCpA.jpg","View")</f>
        <v>View</v>
      </c>
      <c r="V1941" s="14"/>
      <c r="W1941" s="14"/>
      <c r="X1941" s="14"/>
      <c r="Y1941" s="14"/>
      <c r="Z1941" s="14"/>
    </row>
    <row r="1942">
      <c r="A1942" s="11">
        <v>43844.50157407408</v>
      </c>
      <c r="B1942" s="12" t="str">
        <f>HYPERLINK("https://twitter.com/RedCrowCrowd","@RedCrowCrowd")</f>
        <v>@RedCrowCrowd</v>
      </c>
      <c r="C1942" s="1" t="s">
        <v>8952</v>
      </c>
      <c r="D1942" s="1" t="s">
        <v>8953</v>
      </c>
      <c r="E1942" s="12" t="str">
        <f>HYPERLINK("https://twitter.com/RedCrowCrowd/status/1217129819378417664","1217129819378417664")</f>
        <v>1217129819378417664</v>
      </c>
      <c r="F1942" s="13" t="s">
        <v>8954</v>
      </c>
      <c r="G1942" s="13" t="s">
        <v>8955</v>
      </c>
      <c r="H1942" s="14"/>
      <c r="I1942" s="15">
        <v>0.0</v>
      </c>
      <c r="J1942" s="15">
        <v>0.0</v>
      </c>
      <c r="K1942" s="12" t="str">
        <f t="shared" si="199"/>
        <v>Hootsuite Inc.</v>
      </c>
      <c r="L1942" s="16">
        <v>821.0</v>
      </c>
      <c r="M1942" s="16">
        <v>570.0</v>
      </c>
      <c r="N1942" s="16">
        <v>41.0</v>
      </c>
      <c r="O1942" s="17"/>
      <c r="P1942" s="18">
        <v>42452.476111111115</v>
      </c>
      <c r="Q1942" s="1" t="s">
        <v>1782</v>
      </c>
      <c r="R1942" s="1" t="s">
        <v>8956</v>
      </c>
      <c r="S1942" s="13" t="s">
        <v>8957</v>
      </c>
      <c r="T1942" s="14"/>
      <c r="U1942" s="19" t="str">
        <f>HYPERLINK("https://pbs.twimg.com/profile_images/884847149644529664/sld8RIEJ.jpg","View")</f>
        <v>View</v>
      </c>
      <c r="V1942" s="14"/>
      <c r="W1942" s="14"/>
      <c r="X1942" s="14"/>
      <c r="Y1942" s="14"/>
      <c r="Z1942" s="14"/>
    </row>
    <row r="1943">
      <c r="A1943" s="11">
        <v>43844.50105324074</v>
      </c>
      <c r="B1943" s="12" t="str">
        <f>HYPERLINK("https://twitter.com/BethFratesMD","@BethFratesMD")</f>
        <v>@BethFratesMD</v>
      </c>
      <c r="C1943" s="1" t="s">
        <v>8958</v>
      </c>
      <c r="D1943" s="1" t="s">
        <v>8959</v>
      </c>
      <c r="E1943" s="12" t="str">
        <f>HYPERLINK("https://twitter.com/BethFratesMD/status/1217129630714429440","1217129630714429440")</f>
        <v>1217129630714429440</v>
      </c>
      <c r="F1943" s="14"/>
      <c r="G1943" s="13" t="s">
        <v>8960</v>
      </c>
      <c r="H1943" s="14"/>
      <c r="I1943" s="15">
        <v>109.0</v>
      </c>
      <c r="J1943" s="15">
        <v>273.0</v>
      </c>
      <c r="K1943" s="12" t="str">
        <f t="shared" si="199"/>
        <v>Hootsuite Inc.</v>
      </c>
      <c r="L1943" s="16">
        <v>95974.0</v>
      </c>
      <c r="M1943" s="16">
        <v>44890.0</v>
      </c>
      <c r="N1943" s="16">
        <v>730.0</v>
      </c>
      <c r="O1943" s="17"/>
      <c r="P1943" s="18">
        <v>41122.047789351855</v>
      </c>
      <c r="Q1943" s="1" t="s">
        <v>6851</v>
      </c>
      <c r="R1943" s="1" t="s">
        <v>8961</v>
      </c>
      <c r="S1943" s="13" t="s">
        <v>8962</v>
      </c>
      <c r="T1943" s="14"/>
      <c r="U1943" s="19" t="str">
        <f>HYPERLINK("https://pbs.twimg.com/profile_images/1218657786764169217/EAwze5l6.jpg","View")</f>
        <v>View</v>
      </c>
      <c r="V1943" s="14"/>
      <c r="W1943" s="14"/>
      <c r="X1943" s="14"/>
      <c r="Y1943" s="14"/>
      <c r="Z1943" s="14"/>
    </row>
    <row r="1944">
      <c r="A1944" s="11">
        <v>43844.50100694444</v>
      </c>
      <c r="B1944" s="12" t="str">
        <f>HYPERLINK("https://twitter.com/LifeSaversERTX","@LifeSaversERTX")</f>
        <v>@LifeSaversERTX</v>
      </c>
      <c r="C1944" s="1" t="s">
        <v>8963</v>
      </c>
      <c r="D1944" s="1" t="s">
        <v>8964</v>
      </c>
      <c r="E1944" s="12" t="str">
        <f>HYPERLINK("https://twitter.com/LifeSaversERTX/status/1217129612494409731","1217129612494409731")</f>
        <v>1217129612494409731</v>
      </c>
      <c r="F1944" s="14"/>
      <c r="G1944" s="13" t="s">
        <v>8965</v>
      </c>
      <c r="H1944" s="14"/>
      <c r="I1944" s="15">
        <v>0.0</v>
      </c>
      <c r="J1944" s="15">
        <v>0.0</v>
      </c>
      <c r="K1944" s="12" t="str">
        <f t="shared" si="199"/>
        <v>Hootsuite Inc.</v>
      </c>
      <c r="L1944" s="16">
        <v>96.0</v>
      </c>
      <c r="M1944" s="16">
        <v>194.0</v>
      </c>
      <c r="N1944" s="16">
        <v>2.0</v>
      </c>
      <c r="O1944" s="17"/>
      <c r="P1944" s="18">
        <v>42365.950682870374</v>
      </c>
      <c r="Q1944" s="1" t="s">
        <v>8966</v>
      </c>
      <c r="R1944" s="1" t="s">
        <v>8967</v>
      </c>
      <c r="S1944" s="13" t="s">
        <v>8968</v>
      </c>
      <c r="T1944" s="14"/>
      <c r="U1944" s="19" t="str">
        <f>HYPERLINK("https://pbs.twimg.com/profile_images/682019999481921538/l9z1aI0w.jpg","View")</f>
        <v>View</v>
      </c>
      <c r="V1944" s="14"/>
      <c r="W1944" s="14"/>
      <c r="X1944" s="14"/>
      <c r="Y1944" s="14"/>
      <c r="Z1944" s="14"/>
    </row>
    <row r="1945">
      <c r="A1945" s="11">
        <v>43844.50074074074</v>
      </c>
      <c r="B1945" s="12" t="str">
        <f>HYPERLINK("https://twitter.com/CFGH_BFOHP","@CFGH_BFOHP")</f>
        <v>@CFGH_BFOHP</v>
      </c>
      <c r="C1945" s="1" t="s">
        <v>8969</v>
      </c>
      <c r="D1945" s="1" t="s">
        <v>8970</v>
      </c>
      <c r="E1945" s="12" t="str">
        <f>HYPERLINK("https://twitter.com/CFGH_BFOHP/status/1217129515694067712","1217129515694067712")</f>
        <v>1217129515694067712</v>
      </c>
      <c r="F1945" s="14"/>
      <c r="G1945" s="13" t="s">
        <v>8971</v>
      </c>
      <c r="H1945" s="14"/>
      <c r="I1945" s="15">
        <v>3.0</v>
      </c>
      <c r="J1945" s="15">
        <v>4.0</v>
      </c>
      <c r="K1945" s="12" t="str">
        <f t="shared" si="199"/>
        <v>Hootsuite Inc.</v>
      </c>
      <c r="L1945" s="16">
        <v>232.0</v>
      </c>
      <c r="M1945" s="16">
        <v>267.0</v>
      </c>
      <c r="N1945" s="16">
        <v>8.0</v>
      </c>
      <c r="O1945" s="17"/>
      <c r="P1945" s="18">
        <v>42314.38203703704</v>
      </c>
      <c r="Q1945" s="1" t="s">
        <v>8972</v>
      </c>
      <c r="R1945" s="1" t="s">
        <v>8973</v>
      </c>
      <c r="S1945" s="13" t="s">
        <v>8974</v>
      </c>
      <c r="T1945" s="14"/>
      <c r="U1945" s="19" t="str">
        <f>HYPERLINK("https://pbs.twimg.com/profile_images/1163863174980022272/l5aZ817K.jpg","View")</f>
        <v>View</v>
      </c>
      <c r="V1945" s="14"/>
      <c r="W1945" s="14"/>
      <c r="X1945" s="14"/>
      <c r="Y1945" s="14"/>
      <c r="Z1945" s="14"/>
    </row>
    <row r="1946">
      <c r="A1946" s="11">
        <v>43844.50069444445</v>
      </c>
      <c r="B1946" s="12" t="str">
        <f>HYPERLINK("https://twitter.com/OSchmouker","@OSchmouker")</f>
        <v>@OSchmouker</v>
      </c>
      <c r="C1946" s="1" t="s">
        <v>8975</v>
      </c>
      <c r="D1946" s="1" t="s">
        <v>8976</v>
      </c>
      <c r="E1946" s="12" t="str">
        <f>HYPERLINK("https://twitter.com/OSchmouker/status/1217129498728108035","1217129498728108035")</f>
        <v>1217129498728108035</v>
      </c>
      <c r="F1946" s="13" t="s">
        <v>8977</v>
      </c>
      <c r="G1946" s="14"/>
      <c r="H1946" s="14"/>
      <c r="I1946" s="15">
        <v>0.0</v>
      </c>
      <c r="J1946" s="15">
        <v>0.0</v>
      </c>
      <c r="K1946" s="12" t="str">
        <f>HYPERLINK("https://about.twitter.com/products/tweetdeck","TweetDeck")</f>
        <v>TweetDeck</v>
      </c>
      <c r="L1946" s="16">
        <v>4697.0</v>
      </c>
      <c r="M1946" s="16">
        <v>2786.0</v>
      </c>
      <c r="N1946" s="16">
        <v>383.0</v>
      </c>
      <c r="O1946" s="17"/>
      <c r="P1946" s="18">
        <v>40749.66905092593</v>
      </c>
      <c r="Q1946" s="1" t="s">
        <v>8978</v>
      </c>
      <c r="R1946" s="1" t="s">
        <v>8979</v>
      </c>
      <c r="S1946" s="13" t="s">
        <v>8980</v>
      </c>
      <c r="T1946" s="14"/>
      <c r="U1946" s="19" t="str">
        <f>HYPERLINK("https://pbs.twimg.com/profile_images/1133394784658382848/bULDlWfF.png","View")</f>
        <v>View</v>
      </c>
      <c r="V1946" s="14"/>
      <c r="W1946" s="14"/>
      <c r="X1946" s="14"/>
      <c r="Y1946" s="14"/>
      <c r="Z1946" s="14"/>
    </row>
    <row r="1947">
      <c r="A1947" s="11">
        <v>43844.50013888889</v>
      </c>
      <c r="B1947" s="12" t="str">
        <f>HYPERLINK("https://twitter.com/EastWingRufford","@EastWingRufford")</f>
        <v>@EastWingRufford</v>
      </c>
      <c r="C1947" s="1" t="s">
        <v>1002</v>
      </c>
      <c r="D1947" s="1" t="s">
        <v>1003</v>
      </c>
      <c r="E1947" s="12" t="str">
        <f>HYPERLINK("https://twitter.com/EastWingRufford/status/1217129299003703298","1217129299003703298")</f>
        <v>1217129299003703298</v>
      </c>
      <c r="F1947" s="13" t="s">
        <v>1004</v>
      </c>
      <c r="G1947" s="13" t="s">
        <v>8981</v>
      </c>
      <c r="H1947" s="14"/>
      <c r="I1947" s="15">
        <v>0.0</v>
      </c>
      <c r="J1947" s="15">
        <v>0.0</v>
      </c>
      <c r="K1947" s="12" t="str">
        <f>HYPERLINK("https://socialposterfire.com","Social Poster Fire")</f>
        <v>Social Poster Fire</v>
      </c>
      <c r="L1947" s="16">
        <v>342.0</v>
      </c>
      <c r="M1947" s="16">
        <v>524.0</v>
      </c>
      <c r="N1947" s="16">
        <v>4.0</v>
      </c>
      <c r="O1947" s="17"/>
      <c r="P1947" s="18">
        <v>43141.54956018519</v>
      </c>
      <c r="Q1947" s="1" t="s">
        <v>1006</v>
      </c>
      <c r="R1947" s="1" t="s">
        <v>1007</v>
      </c>
      <c r="S1947" s="13" t="s">
        <v>1008</v>
      </c>
      <c r="T1947" s="14"/>
      <c r="U1947" s="19" t="str">
        <f>HYPERLINK("https://pbs.twimg.com/profile_images/962404982984241158/u2bomX09.jpg","View")</f>
        <v>View</v>
      </c>
      <c r="V1947" s="14"/>
      <c r="W1947" s="14"/>
      <c r="X1947" s="14"/>
      <c r="Y1947" s="14"/>
      <c r="Z1947" s="14"/>
    </row>
    <row r="1948">
      <c r="A1948" s="11">
        <v>43844.50011574074</v>
      </c>
      <c r="B1948" s="12" t="str">
        <f>HYPERLINK("https://twitter.com/AnnaJaworski","@AnnaJaworski")</f>
        <v>@AnnaJaworski</v>
      </c>
      <c r="C1948" s="1" t="s">
        <v>8982</v>
      </c>
      <c r="D1948" s="1" t="s">
        <v>8983</v>
      </c>
      <c r="E1948" s="12" t="str">
        <f>HYPERLINK("https://twitter.com/AnnaJaworski/status/1217129290761932809","1217129290761932809")</f>
        <v>1217129290761932809</v>
      </c>
      <c r="F1948" s="13" t="s">
        <v>8984</v>
      </c>
      <c r="G1948" s="14"/>
      <c r="H1948" s="14"/>
      <c r="I1948" s="15">
        <v>0.0</v>
      </c>
      <c r="J1948" s="15">
        <v>0.0</v>
      </c>
      <c r="K1948" s="12" t="str">
        <f>HYPERLINK("https://www.spreaker.com","Spreaker")</f>
        <v>Spreaker</v>
      </c>
      <c r="L1948" s="16">
        <v>726.0</v>
      </c>
      <c r="M1948" s="16">
        <v>581.0</v>
      </c>
      <c r="N1948" s="16">
        <v>13.0</v>
      </c>
      <c r="O1948" s="17"/>
      <c r="P1948" s="18">
        <v>39887.602222222224</v>
      </c>
      <c r="Q1948" s="1" t="s">
        <v>8985</v>
      </c>
      <c r="R1948" s="1" t="s">
        <v>8986</v>
      </c>
      <c r="S1948" s="13" t="s">
        <v>8987</v>
      </c>
      <c r="T1948" s="14"/>
      <c r="U1948" s="19" t="str">
        <f>HYPERLINK("https://pbs.twimg.com/profile_images/378800000440010618/7a93ad273e3e4ead44f5f494bfa00b9e.jpeg","View")</f>
        <v>View</v>
      </c>
      <c r="V1948" s="14"/>
      <c r="W1948" s="14"/>
      <c r="X1948" s="14"/>
      <c r="Y1948" s="14"/>
      <c r="Z1948" s="14"/>
    </row>
    <row r="1949">
      <c r="A1949" s="11">
        <v>43844.49966435185</v>
      </c>
      <c r="B1949" s="12" t="str">
        <f>HYPERLINK("https://twitter.com/drbloodcupping","@drbloodcupping")</f>
        <v>@drbloodcupping</v>
      </c>
      <c r="C1949" s="1" t="s">
        <v>8988</v>
      </c>
      <c r="D1949" s="1" t="s">
        <v>8989</v>
      </c>
      <c r="E1949" s="12" t="str">
        <f>HYPERLINK("https://twitter.com/drbloodcupping/status/1217129126403944449","1217129126403944449")</f>
        <v>1217129126403944449</v>
      </c>
      <c r="F1949" s="14"/>
      <c r="G1949" s="14"/>
      <c r="H1949" s="14"/>
      <c r="I1949" s="15">
        <v>0.0</v>
      </c>
      <c r="J1949" s="15">
        <v>0.0</v>
      </c>
      <c r="K1949" s="12" t="str">
        <f>HYPERLINK("https://mobile.twitter.com","Twitter Web App")</f>
        <v>Twitter Web App</v>
      </c>
      <c r="L1949" s="16">
        <v>26.0</v>
      </c>
      <c r="M1949" s="16">
        <v>216.0</v>
      </c>
      <c r="N1949" s="16">
        <v>0.0</v>
      </c>
      <c r="O1949" s="17"/>
      <c r="P1949" s="18">
        <v>43844.47479166667</v>
      </c>
      <c r="Q1949" s="1" t="s">
        <v>8990</v>
      </c>
      <c r="R1949" s="1" t="s">
        <v>8991</v>
      </c>
      <c r="S1949" s="13" t="s">
        <v>8992</v>
      </c>
      <c r="T1949" s="14"/>
      <c r="U1949" s="19" t="str">
        <f>HYPERLINK("https://pbs.twimg.com/profile_images/1217120155932745729/pkXG0omQ.jpg","View")</f>
        <v>View</v>
      </c>
      <c r="V1949" s="14"/>
      <c r="W1949" s="14"/>
      <c r="X1949" s="14"/>
      <c r="Y1949" s="14"/>
      <c r="Z1949" s="14"/>
    </row>
    <row r="1950">
      <c r="A1950" s="11">
        <v>43844.49939814815</v>
      </c>
      <c r="B1950" s="12" t="str">
        <f>HYPERLINK("https://twitter.com/somceo","@somceo")</f>
        <v>@somceo</v>
      </c>
      <c r="C1950" s="1" t="s">
        <v>8993</v>
      </c>
      <c r="D1950" s="1" t="s">
        <v>8994</v>
      </c>
      <c r="E1950" s="12" t="str">
        <f>HYPERLINK("https://twitter.com/somceo/status/1217129030945775617","1217129030945775617")</f>
        <v>1217129030945775617</v>
      </c>
      <c r="F1950" s="13" t="s">
        <v>8995</v>
      </c>
      <c r="G1950" s="14"/>
      <c r="H1950" s="14"/>
      <c r="I1950" s="15">
        <v>2.0</v>
      </c>
      <c r="J1950" s="15">
        <v>6.0</v>
      </c>
      <c r="K1950" s="12" t="str">
        <f t="shared" ref="K1950:K1951" si="200">HYPERLINK("http://twitter.com/download/iphone","Twitter for iPhone")</f>
        <v>Twitter for iPhone</v>
      </c>
      <c r="L1950" s="16">
        <v>2069.0</v>
      </c>
      <c r="M1950" s="16">
        <v>3011.0</v>
      </c>
      <c r="N1950" s="16">
        <v>34.0</v>
      </c>
      <c r="O1950" s="17"/>
      <c r="P1950" s="18">
        <v>42494.26829861111</v>
      </c>
      <c r="Q1950" s="1" t="s">
        <v>263</v>
      </c>
      <c r="R1950" s="1" t="s">
        <v>8996</v>
      </c>
      <c r="S1950" s="13" t="s">
        <v>8997</v>
      </c>
      <c r="T1950" s="14"/>
      <c r="U1950" s="19" t="str">
        <f>HYPERLINK("https://pbs.twimg.com/profile_images/1191758451032104963/EsHe-fwz.jpg","View")</f>
        <v>View</v>
      </c>
      <c r="V1950" s="14"/>
      <c r="W1950" s="14"/>
      <c r="X1950" s="14"/>
      <c r="Y1950" s="14"/>
      <c r="Z1950" s="14"/>
    </row>
    <row r="1951">
      <c r="A1951" s="11">
        <v>43844.499085648145</v>
      </c>
      <c r="B1951" s="12" t="str">
        <f>HYPERLINK("https://twitter.com/cherylfee9","@cherylfee9")</f>
        <v>@cherylfee9</v>
      </c>
      <c r="C1951" s="1" t="s">
        <v>8998</v>
      </c>
      <c r="D1951" s="1" t="s">
        <v>8999</v>
      </c>
      <c r="E1951" s="12" t="str">
        <f>HYPERLINK("https://twitter.com/cherylfee9/status/1217128916420263936","1217128916420263936")</f>
        <v>1217128916420263936</v>
      </c>
      <c r="F1951" s="14"/>
      <c r="G1951" s="14"/>
      <c r="H1951" s="14"/>
      <c r="I1951" s="15">
        <v>0.0</v>
      </c>
      <c r="J1951" s="15">
        <v>1.0</v>
      </c>
      <c r="K1951" s="12" t="str">
        <f t="shared" si="200"/>
        <v>Twitter for iPhone</v>
      </c>
      <c r="L1951" s="16">
        <v>206.0</v>
      </c>
      <c r="M1951" s="16">
        <v>638.0</v>
      </c>
      <c r="N1951" s="16">
        <v>4.0</v>
      </c>
      <c r="O1951" s="17"/>
      <c r="P1951" s="18">
        <v>41328.59746527778</v>
      </c>
      <c r="Q1951" s="1" t="s">
        <v>9000</v>
      </c>
      <c r="R1951" s="1" t="s">
        <v>9001</v>
      </c>
      <c r="S1951" s="14"/>
      <c r="T1951" s="14"/>
      <c r="U1951" s="19" t="str">
        <f>HYPERLINK("https://pbs.twimg.com/profile_images/1166031163640729600/bOy1TXQn.jpg","View")</f>
        <v>View</v>
      </c>
      <c r="V1951" s="14"/>
      <c r="W1951" s="14"/>
      <c r="X1951" s="14"/>
      <c r="Y1951" s="14"/>
      <c r="Z1951" s="14"/>
    </row>
    <row r="1952">
      <c r="A1952" s="11">
        <v>43844.49665509259</v>
      </c>
      <c r="B1952" s="12" t="str">
        <f>HYPERLINK("https://twitter.com/bfastleadership","@bfastleadership")</f>
        <v>@bfastleadership</v>
      </c>
      <c r="C1952" s="1" t="s">
        <v>2217</v>
      </c>
      <c r="D1952" s="1" t="s">
        <v>9002</v>
      </c>
      <c r="E1952" s="12" t="str">
        <f>HYPERLINK("https://twitter.com/bfastleadership/status/1217128035654295552","1217128035654295552")</f>
        <v>1217128035654295552</v>
      </c>
      <c r="F1952" s="13" t="s">
        <v>9003</v>
      </c>
      <c r="G1952" s="14"/>
      <c r="H1952" s="14"/>
      <c r="I1952" s="15">
        <v>1.0</v>
      </c>
      <c r="J1952" s="15">
        <v>1.0</v>
      </c>
      <c r="K1952" s="12" t="str">
        <f t="shared" ref="K1952:K1954" si="201">HYPERLINK("https://www.hootsuite.com","Hootsuite Inc.")</f>
        <v>Hootsuite Inc.</v>
      </c>
      <c r="L1952" s="16">
        <v>2304.0</v>
      </c>
      <c r="M1952" s="16">
        <v>4204.0</v>
      </c>
      <c r="N1952" s="16">
        <v>47.0</v>
      </c>
      <c r="O1952" s="17"/>
      <c r="P1952" s="18">
        <v>42517.9312037037</v>
      </c>
      <c r="Q1952" s="1" t="s">
        <v>2220</v>
      </c>
      <c r="R1952" s="1" t="s">
        <v>2221</v>
      </c>
      <c r="S1952" s="13" t="s">
        <v>2222</v>
      </c>
      <c r="T1952" s="14"/>
      <c r="U1952" s="19" t="str">
        <f>HYPERLINK("https://pbs.twimg.com/profile_images/1133436167871967232/L-N3QZN5.png","View")</f>
        <v>View</v>
      </c>
      <c r="V1952" s="14"/>
      <c r="W1952" s="14"/>
      <c r="X1952" s="14"/>
      <c r="Y1952" s="14"/>
      <c r="Z1952" s="14"/>
    </row>
    <row r="1953">
      <c r="A1953" s="11">
        <v>43844.4945949074</v>
      </c>
      <c r="B1953" s="12" t="str">
        <f>HYPERLINK("https://twitter.com/CRNewHopeChurch","@CRNewHopeChurch")</f>
        <v>@CRNewHopeChurch</v>
      </c>
      <c r="C1953" s="1" t="s">
        <v>9004</v>
      </c>
      <c r="D1953" s="1" t="s">
        <v>9005</v>
      </c>
      <c r="E1953" s="12" t="str">
        <f>HYPERLINK("https://twitter.com/CRNewHopeChurch/status/1217127287147171841","1217127287147171841")</f>
        <v>1217127287147171841</v>
      </c>
      <c r="F1953" s="14"/>
      <c r="G1953" s="13" t="s">
        <v>9006</v>
      </c>
      <c r="H1953" s="14"/>
      <c r="I1953" s="15">
        <v>0.0</v>
      </c>
      <c r="J1953" s="15">
        <v>0.0</v>
      </c>
      <c r="K1953" s="12" t="str">
        <f t="shared" si="201"/>
        <v>Hootsuite Inc.</v>
      </c>
      <c r="L1953" s="16">
        <v>60.0</v>
      </c>
      <c r="M1953" s="16">
        <v>70.0</v>
      </c>
      <c r="N1953" s="16">
        <v>1.0</v>
      </c>
      <c r="O1953" s="17"/>
      <c r="P1953" s="18">
        <v>41952.43690972222</v>
      </c>
      <c r="Q1953" s="1" t="s">
        <v>9007</v>
      </c>
      <c r="R1953" s="1" t="s">
        <v>9008</v>
      </c>
      <c r="S1953" s="13" t="s">
        <v>9009</v>
      </c>
      <c r="T1953" s="14"/>
      <c r="U1953" s="19" t="str">
        <f>HYPERLINK("https://pbs.twimg.com/profile_images/888045917089271809/g4x2CAef.jpg","View")</f>
        <v>View</v>
      </c>
      <c r="V1953" s="14"/>
      <c r="W1953" s="14"/>
      <c r="X1953" s="14"/>
      <c r="Y1953" s="14"/>
      <c r="Z1953" s="14"/>
    </row>
    <row r="1954">
      <c r="A1954" s="11">
        <v>43844.49458333333</v>
      </c>
      <c r="B1954" s="12" t="str">
        <f>HYPERLINK("https://twitter.com/OakvilleFamily","@OakvilleFamily")</f>
        <v>@OakvilleFamily</v>
      </c>
      <c r="C1954" s="1" t="s">
        <v>9010</v>
      </c>
      <c r="D1954" s="1" t="s">
        <v>9011</v>
      </c>
      <c r="E1954" s="12" t="str">
        <f>HYPERLINK("https://twitter.com/OakvilleFamily/status/1217127286199267332","1217127286199267332")</f>
        <v>1217127286199267332</v>
      </c>
      <c r="F1954" s="13" t="s">
        <v>9012</v>
      </c>
      <c r="G1954" s="14"/>
      <c r="H1954" s="14"/>
      <c r="I1954" s="15">
        <v>0.0</v>
      </c>
      <c r="J1954" s="15">
        <v>0.0</v>
      </c>
      <c r="K1954" s="12" t="str">
        <f t="shared" si="201"/>
        <v>Hootsuite Inc.</v>
      </c>
      <c r="L1954" s="16">
        <v>715.0</v>
      </c>
      <c r="M1954" s="16">
        <v>532.0</v>
      </c>
      <c r="N1954" s="16">
        <v>52.0</v>
      </c>
      <c r="O1954" s="17"/>
      <c r="P1954" s="18">
        <v>40937.96114583333</v>
      </c>
      <c r="Q1954" s="1" t="s">
        <v>9013</v>
      </c>
      <c r="R1954" s="1" t="s">
        <v>9014</v>
      </c>
      <c r="S1954" s="13" t="s">
        <v>9015</v>
      </c>
      <c r="T1954" s="14"/>
      <c r="U1954" s="19" t="str">
        <f>HYPERLINK("https://pbs.twimg.com/profile_images/1794765073/OFI_logo_tree.jpg","View")</f>
        <v>View</v>
      </c>
      <c r="V1954" s="14"/>
      <c r="W1954" s="14"/>
      <c r="X1954" s="14"/>
      <c r="Y1954" s="14"/>
      <c r="Z1954" s="14"/>
    </row>
    <row r="1955">
      <c r="A1955" s="11">
        <v>43844.491377314815</v>
      </c>
      <c r="B1955" s="12" t="str">
        <f>HYPERLINK("https://twitter.com/coachingisland","@coachingisland")</f>
        <v>@coachingisland</v>
      </c>
      <c r="C1955" s="1" t="s">
        <v>9016</v>
      </c>
      <c r="D1955" s="1" t="s">
        <v>9017</v>
      </c>
      <c r="E1955" s="12" t="str">
        <f>HYPERLINK("https://twitter.com/coachingisland/status/1217126124477714432","1217126124477714432")</f>
        <v>1217126124477714432</v>
      </c>
      <c r="F1955" s="1" t="s">
        <v>9018</v>
      </c>
      <c r="G1955" s="13" t="s">
        <v>9019</v>
      </c>
      <c r="H1955" s="14"/>
      <c r="I1955" s="15">
        <v>0.0</v>
      </c>
      <c r="J1955" s="15">
        <v>0.0</v>
      </c>
      <c r="K1955" s="12" t="str">
        <f>HYPERLINK("http://twitter.com/download/android","Twitter for Android")</f>
        <v>Twitter for Android</v>
      </c>
      <c r="L1955" s="16">
        <v>227.0</v>
      </c>
      <c r="M1955" s="16">
        <v>535.0</v>
      </c>
      <c r="N1955" s="16">
        <v>10.0</v>
      </c>
      <c r="O1955" s="17"/>
      <c r="P1955" s="18">
        <v>42022.58991898148</v>
      </c>
      <c r="Q1955" s="1" t="s">
        <v>9020</v>
      </c>
      <c r="R1955" s="1" t="s">
        <v>9021</v>
      </c>
      <c r="S1955" s="13" t="s">
        <v>9022</v>
      </c>
      <c r="T1955" s="14"/>
      <c r="U1955" s="19" t="str">
        <f>HYPERLINK("https://pbs.twimg.com/profile_images/785459172322181121/LJu4SmqF.jpg","View")</f>
        <v>View</v>
      </c>
      <c r="V1955" s="14"/>
      <c r="W1955" s="14"/>
      <c r="X1955" s="14"/>
      <c r="Y1955" s="14"/>
      <c r="Z1955" s="14"/>
    </row>
    <row r="1956">
      <c r="A1956" s="11">
        <v>43844.48579861112</v>
      </c>
      <c r="B1956" s="12" t="str">
        <f>HYPERLINK("https://twitter.com/iKevaMack","@iKevaMack")</f>
        <v>@iKevaMack</v>
      </c>
      <c r="C1956" s="1" t="s">
        <v>7011</v>
      </c>
      <c r="D1956" s="1" t="s">
        <v>9023</v>
      </c>
      <c r="E1956" s="12" t="str">
        <f>HYPERLINK("https://twitter.com/iKevaMack/status/1217124100197568513","1217124100197568513")</f>
        <v>1217124100197568513</v>
      </c>
      <c r="F1956" s="1" t="s">
        <v>9024</v>
      </c>
      <c r="G1956" s="14"/>
      <c r="H1956" s="14"/>
      <c r="I1956" s="15">
        <v>0.0</v>
      </c>
      <c r="J1956" s="15">
        <v>1.0</v>
      </c>
      <c r="K1956" s="12" t="str">
        <f>HYPERLINK("https://www.hootsuite.com","Hootsuite Inc.")</f>
        <v>Hootsuite Inc.</v>
      </c>
      <c r="L1956" s="16">
        <v>831.0</v>
      </c>
      <c r="M1956" s="16">
        <v>823.0</v>
      </c>
      <c r="N1956" s="16">
        <v>26.0</v>
      </c>
      <c r="O1956" s="17"/>
      <c r="P1956" s="18">
        <v>39737.42107638889</v>
      </c>
      <c r="Q1956" s="1" t="s">
        <v>7014</v>
      </c>
      <c r="R1956" s="1" t="s">
        <v>7015</v>
      </c>
      <c r="S1956" s="13" t="s">
        <v>7016</v>
      </c>
      <c r="T1956" s="14"/>
      <c r="U1956" s="19" t="str">
        <f>HYPERLINK("https://pbs.twimg.com/profile_images/1047581000962736128/8w2e73yD.jpg","View")</f>
        <v>View</v>
      </c>
      <c r="V1956" s="14"/>
      <c r="W1956" s="14"/>
      <c r="X1956" s="14"/>
      <c r="Y1956" s="14"/>
      <c r="Z1956" s="14"/>
    </row>
    <row r="1957">
      <c r="A1957" s="11">
        <v>43844.484305555554</v>
      </c>
      <c r="B1957" s="12" t="str">
        <f>HYPERLINK("https://twitter.com/Hypnoian","@Hypnoian")</f>
        <v>@Hypnoian</v>
      </c>
      <c r="C1957" s="1" t="s">
        <v>9025</v>
      </c>
      <c r="D1957" s="1" t="s">
        <v>9026</v>
      </c>
      <c r="E1957" s="12" t="str">
        <f>HYPERLINK("https://twitter.com/Hypnoian/status/1217123562215104513","1217123562215104513")</f>
        <v>1217123562215104513</v>
      </c>
      <c r="F1957" s="13" t="s">
        <v>9027</v>
      </c>
      <c r="G1957" s="13" t="s">
        <v>9028</v>
      </c>
      <c r="H1957" s="14"/>
      <c r="I1957" s="15">
        <v>0.0</v>
      </c>
      <c r="J1957" s="15">
        <v>0.0</v>
      </c>
      <c r="K1957" s="12" t="str">
        <f>HYPERLINK("https://mobile.twitter.com","Twitter Web App")</f>
        <v>Twitter Web App</v>
      </c>
      <c r="L1957" s="16">
        <v>2299.0</v>
      </c>
      <c r="M1957" s="16">
        <v>2749.0</v>
      </c>
      <c r="N1957" s="16">
        <v>40.0</v>
      </c>
      <c r="O1957" s="17"/>
      <c r="P1957" s="18">
        <v>40006.07349537037</v>
      </c>
      <c r="Q1957" s="1" t="s">
        <v>9029</v>
      </c>
      <c r="R1957" s="1" t="s">
        <v>9030</v>
      </c>
      <c r="S1957" s="13" t="s">
        <v>9031</v>
      </c>
      <c r="T1957" s="14"/>
      <c r="U1957" s="19" t="str">
        <f>HYPERLINK("https://pbs.twimg.com/profile_images/741008843258363904/9nGkNN_6.jpg","View")</f>
        <v>View</v>
      </c>
      <c r="V1957" s="14"/>
      <c r="W1957" s="14"/>
      <c r="X1957" s="14"/>
      <c r="Y1957" s="14"/>
      <c r="Z1957" s="14"/>
    </row>
    <row r="1958">
      <c r="A1958" s="11">
        <v>43844.483449074076</v>
      </c>
      <c r="B1958" s="12" t="str">
        <f>HYPERLINK("https://twitter.com/ThingsAboutGod","@ThingsAboutGod")</f>
        <v>@ThingsAboutGod</v>
      </c>
      <c r="C1958" s="1" t="s">
        <v>5694</v>
      </c>
      <c r="D1958" s="1" t="s">
        <v>9032</v>
      </c>
      <c r="E1958" s="12" t="str">
        <f>HYPERLINK("https://twitter.com/ThingsAboutGod/status/1217123248074317824","1217123248074317824")</f>
        <v>1217123248074317824</v>
      </c>
      <c r="F1958" s="13" t="s">
        <v>9033</v>
      </c>
      <c r="G1958" s="14"/>
      <c r="H1958" s="14"/>
      <c r="I1958" s="15">
        <v>0.0</v>
      </c>
      <c r="J1958" s="15">
        <v>0.0</v>
      </c>
      <c r="K1958" s="12" t="str">
        <f>HYPERLINK("https://www.socialoomph.com","SocialOomph")</f>
        <v>SocialOomph</v>
      </c>
      <c r="L1958" s="16">
        <v>57132.0</v>
      </c>
      <c r="M1958" s="16">
        <v>6241.0</v>
      </c>
      <c r="N1958" s="16">
        <v>646.0</v>
      </c>
      <c r="O1958" s="17"/>
      <c r="P1958" s="18">
        <v>40265.622395833336</v>
      </c>
      <c r="Q1958" s="1" t="s">
        <v>5697</v>
      </c>
      <c r="R1958" s="1" t="s">
        <v>5698</v>
      </c>
      <c r="S1958" s="14"/>
      <c r="T1958" s="14"/>
      <c r="U1958" s="19" t="str">
        <f>HYPERLINK("https://pbs.twimg.com/profile_images/616632092139499521/G5Lmg9Ih.jpg","View")</f>
        <v>View</v>
      </c>
      <c r="V1958" s="14"/>
      <c r="W1958" s="14"/>
      <c r="X1958" s="14"/>
      <c r="Y1958" s="14"/>
      <c r="Z1958" s="14"/>
    </row>
    <row r="1959">
      <c r="A1959" s="11">
        <v>43844.479895833334</v>
      </c>
      <c r="B1959" s="12" t="str">
        <f>HYPERLINK("https://twitter.com/LearnedHealth_","@LearnedHealth_")</f>
        <v>@LearnedHealth_</v>
      </c>
      <c r="C1959" s="13" t="s">
        <v>9034</v>
      </c>
      <c r="D1959" s="1" t="s">
        <v>9035</v>
      </c>
      <c r="E1959" s="12" t="str">
        <f>HYPERLINK("https://twitter.com/LearnedHealth_/status/1217121962448674816","1217121962448674816")</f>
        <v>1217121962448674816</v>
      </c>
      <c r="F1959" s="13" t="s">
        <v>9036</v>
      </c>
      <c r="G1959" s="13" t="s">
        <v>9037</v>
      </c>
      <c r="H1959" s="14"/>
      <c r="I1959" s="15">
        <v>0.0</v>
      </c>
      <c r="J1959" s="15">
        <v>0.0</v>
      </c>
      <c r="K1959" s="12" t="str">
        <f>HYPERLINK("https://dlvrit.com/","dlvr.it")</f>
        <v>dlvr.it</v>
      </c>
      <c r="L1959" s="16">
        <v>28.0</v>
      </c>
      <c r="M1959" s="16">
        <v>77.0</v>
      </c>
      <c r="N1959" s="16">
        <v>2.0</v>
      </c>
      <c r="O1959" s="17"/>
      <c r="P1959" s="18">
        <v>41206.799525462964</v>
      </c>
      <c r="Q1959" s="1" t="s">
        <v>115</v>
      </c>
      <c r="R1959" s="1" t="s">
        <v>9038</v>
      </c>
      <c r="S1959" s="13" t="s">
        <v>9039</v>
      </c>
      <c r="T1959" s="14"/>
      <c r="U1959" s="19" t="str">
        <f>HYPERLINK("https://pbs.twimg.com/profile_images/1168747220125904897/gJtwDRLp.jpg","View")</f>
        <v>View</v>
      </c>
      <c r="V1959" s="14"/>
      <c r="W1959" s="14"/>
      <c r="X1959" s="14"/>
      <c r="Y1959" s="14"/>
      <c r="Z1959" s="14"/>
    </row>
    <row r="1960">
      <c r="A1960" s="11">
        <v>43844.479745370365</v>
      </c>
      <c r="B1960" s="12" t="str">
        <f>HYPERLINK("https://twitter.com/CIPHRHRSoftware","@CIPHRHRSoftware")</f>
        <v>@CIPHRHRSoftware</v>
      </c>
      <c r="C1960" s="1" t="s">
        <v>9040</v>
      </c>
      <c r="D1960" s="1" t="s">
        <v>9041</v>
      </c>
      <c r="E1960" s="12" t="str">
        <f>HYPERLINK("https://twitter.com/CIPHRHRSoftware/status/1217121907042144258","1217121907042144258")</f>
        <v>1217121907042144258</v>
      </c>
      <c r="F1960" s="13" t="s">
        <v>9042</v>
      </c>
      <c r="G1960" s="13" t="s">
        <v>9043</v>
      </c>
      <c r="H1960" s="14"/>
      <c r="I1960" s="15">
        <v>0.0</v>
      </c>
      <c r="J1960" s="15">
        <v>1.0</v>
      </c>
      <c r="K1960" s="12" t="str">
        <f>HYPERLINK("https://www.hootsuite.com","Hootsuite Inc.")</f>
        <v>Hootsuite Inc.</v>
      </c>
      <c r="L1960" s="16">
        <v>11935.0</v>
      </c>
      <c r="M1960" s="16">
        <v>1592.0</v>
      </c>
      <c r="N1960" s="16">
        <v>467.0</v>
      </c>
      <c r="O1960" s="17"/>
      <c r="P1960" s="18">
        <v>39885.53690972222</v>
      </c>
      <c r="Q1960" s="1" t="s">
        <v>9044</v>
      </c>
      <c r="R1960" s="1" t="s">
        <v>9045</v>
      </c>
      <c r="S1960" s="13" t="s">
        <v>9046</v>
      </c>
      <c r="T1960" s="14"/>
      <c r="U1960" s="19" t="str">
        <f>HYPERLINK("https://pbs.twimg.com/profile_images/1141267491341164545/UjAt84VZ.png","View")</f>
        <v>View</v>
      </c>
      <c r="V1960" s="14"/>
      <c r="W1960" s="14"/>
      <c r="X1960" s="14"/>
      <c r="Y1960" s="14"/>
      <c r="Z1960" s="14"/>
    </row>
    <row r="1961">
      <c r="A1961" s="11">
        <v>43844.479351851856</v>
      </c>
      <c r="B1961" s="12" t="str">
        <f>HYPERLINK("https://twitter.com/michaelAgreer_","@michaelAgreer_")</f>
        <v>@michaelAgreer_</v>
      </c>
      <c r="C1961" s="1" t="s">
        <v>4007</v>
      </c>
      <c r="D1961" s="1" t="s">
        <v>9047</v>
      </c>
      <c r="E1961" s="12" t="str">
        <f>HYPERLINK("https://twitter.com/michaelAgreer_/status/1217121765727469568","1217121765727469568")</f>
        <v>1217121765727469568</v>
      </c>
      <c r="F1961" s="14"/>
      <c r="G1961" s="13" t="s">
        <v>9048</v>
      </c>
      <c r="H1961" s="14"/>
      <c r="I1961" s="15">
        <v>0.0</v>
      </c>
      <c r="J1961" s="15">
        <v>1.0</v>
      </c>
      <c r="K1961" s="12" t="str">
        <f t="shared" ref="K1961:K1962" si="202">HYPERLINK("http://postplanner.com","Post Planner Inc.")</f>
        <v>Post Planner Inc.</v>
      </c>
      <c r="L1961" s="16">
        <v>895.0</v>
      </c>
      <c r="M1961" s="16">
        <v>779.0</v>
      </c>
      <c r="N1961" s="16">
        <v>2.0</v>
      </c>
      <c r="O1961" s="17"/>
      <c r="P1961" s="18">
        <v>42823.30429398148</v>
      </c>
      <c r="Q1961" s="1" t="s">
        <v>4011</v>
      </c>
      <c r="R1961" s="1" t="s">
        <v>4012</v>
      </c>
      <c r="S1961" s="13" t="s">
        <v>4013</v>
      </c>
      <c r="T1961" s="14"/>
      <c r="U1961" s="19" t="str">
        <f>HYPERLINK("https://pbs.twimg.com/profile_images/1086441447182794752/ebhec26G.jpg","View")</f>
        <v>View</v>
      </c>
      <c r="V1961" s="14"/>
      <c r="W1961" s="14"/>
      <c r="X1961" s="14"/>
      <c r="Y1961" s="14"/>
      <c r="Z1961" s="14"/>
    </row>
    <row r="1962">
      <c r="A1962" s="11">
        <v>43844.47930555556</v>
      </c>
      <c r="B1962" s="12" t="str">
        <f>HYPERLINK("https://twitter.com/LisaKaplin","@LisaKaplin")</f>
        <v>@LisaKaplin</v>
      </c>
      <c r="C1962" s="1" t="s">
        <v>6529</v>
      </c>
      <c r="D1962" s="1" t="s">
        <v>9049</v>
      </c>
      <c r="E1962" s="12" t="str">
        <f>HYPERLINK("https://twitter.com/LisaKaplin/status/1217121749680025600","1217121749680025600")</f>
        <v>1217121749680025600</v>
      </c>
      <c r="F1962" s="13" t="s">
        <v>9050</v>
      </c>
      <c r="G1962" s="13" t="s">
        <v>9051</v>
      </c>
      <c r="H1962" s="14"/>
      <c r="I1962" s="15">
        <v>0.0</v>
      </c>
      <c r="J1962" s="15">
        <v>0.0</v>
      </c>
      <c r="K1962" s="12" t="str">
        <f t="shared" si="202"/>
        <v>Post Planner Inc.</v>
      </c>
      <c r="L1962" s="16">
        <v>4186.0</v>
      </c>
      <c r="M1962" s="16">
        <v>4311.0</v>
      </c>
      <c r="N1962" s="16">
        <v>126.0</v>
      </c>
      <c r="O1962" s="17"/>
      <c r="P1962" s="18">
        <v>40856.68561342593</v>
      </c>
      <c r="Q1962" s="1" t="s">
        <v>56</v>
      </c>
      <c r="R1962" s="1" t="s">
        <v>6533</v>
      </c>
      <c r="S1962" s="13" t="s">
        <v>6534</v>
      </c>
      <c r="T1962" s="14"/>
      <c r="U1962" s="19" t="str">
        <f>HYPERLINK("https://pbs.twimg.com/profile_images/812025630183149568/sM1KK1Y8.jpg","View")</f>
        <v>View</v>
      </c>
      <c r="V1962" s="14"/>
      <c r="W1962" s="14"/>
      <c r="X1962" s="14"/>
      <c r="Y1962" s="14"/>
      <c r="Z1962" s="14"/>
    </row>
    <row r="1963">
      <c r="A1963" s="11">
        <v>43844.47916666667</v>
      </c>
      <c r="B1963" s="12" t="str">
        <f>HYPERLINK("https://twitter.com/ETPanache","@ETPanache")</f>
        <v>@ETPanache</v>
      </c>
      <c r="C1963" s="1" t="s">
        <v>9052</v>
      </c>
      <c r="D1963" s="1" t="s">
        <v>9053</v>
      </c>
      <c r="E1963" s="12" t="str">
        <f>HYPERLINK("https://twitter.com/ETPanache/status/1217121699470032897","1217121699470032897")</f>
        <v>1217121699470032897</v>
      </c>
      <c r="F1963" s="13" t="s">
        <v>9054</v>
      </c>
      <c r="G1963" s="14"/>
      <c r="H1963" s="14"/>
      <c r="I1963" s="15">
        <v>1.0</v>
      </c>
      <c r="J1963" s="15">
        <v>1.0</v>
      </c>
      <c r="K1963" s="12" t="str">
        <f>HYPERLINK("https://about.twitter.com/products/tweetdeck","TweetDeck")</f>
        <v>TweetDeck</v>
      </c>
      <c r="L1963" s="16">
        <v>31912.0</v>
      </c>
      <c r="M1963" s="16">
        <v>90.0</v>
      </c>
      <c r="N1963" s="16">
        <v>382.0</v>
      </c>
      <c r="O1963" s="20" t="s">
        <v>38</v>
      </c>
      <c r="P1963" s="18">
        <v>39932.230520833335</v>
      </c>
      <c r="Q1963" s="1" t="s">
        <v>7020</v>
      </c>
      <c r="R1963" s="1" t="s">
        <v>9055</v>
      </c>
      <c r="S1963" s="13" t="s">
        <v>9056</v>
      </c>
      <c r="T1963" s="14"/>
      <c r="U1963" s="19" t="str">
        <f>HYPERLINK("https://pbs.twimg.com/profile_images/747373759586148353/M-B-T645.jpg","View")</f>
        <v>View</v>
      </c>
      <c r="V1963" s="14"/>
      <c r="W1963" s="14"/>
      <c r="X1963" s="14"/>
      <c r="Y1963" s="14"/>
      <c r="Z1963" s="14"/>
    </row>
    <row r="1964">
      <c r="A1964" s="11">
        <v>43844.47591435185</v>
      </c>
      <c r="B1964" s="12" t="str">
        <f>HYPERLINK("https://twitter.com/Zestychange","@Zestychange")</f>
        <v>@Zestychange</v>
      </c>
      <c r="C1964" s="1" t="s">
        <v>9057</v>
      </c>
      <c r="D1964" s="1" t="s">
        <v>4836</v>
      </c>
      <c r="E1964" s="12" t="str">
        <f>HYPERLINK("https://twitter.com/Zestychange/status/1217120518819721216","1217120518819721216")</f>
        <v>1217120518819721216</v>
      </c>
      <c r="F1964" s="13" t="s">
        <v>4837</v>
      </c>
      <c r="G1964" s="13" t="s">
        <v>9058</v>
      </c>
      <c r="H1964" s="14"/>
      <c r="I1964" s="15">
        <v>0.0</v>
      </c>
      <c r="J1964" s="15">
        <v>0.0</v>
      </c>
      <c r="K1964" s="12" t="str">
        <f>HYPERLINK("https://socialportalpro.com","Social Tweeting")</f>
        <v>Social Tweeting</v>
      </c>
      <c r="L1964" s="16">
        <v>4.0</v>
      </c>
      <c r="M1964" s="16">
        <v>15.0</v>
      </c>
      <c r="N1964" s="16">
        <v>0.0</v>
      </c>
      <c r="O1964" s="17"/>
      <c r="P1964" s="18">
        <v>43514.81680555556</v>
      </c>
      <c r="Q1964" s="14"/>
      <c r="R1964" s="1" t="s">
        <v>9059</v>
      </c>
      <c r="S1964" s="14"/>
      <c r="T1964" s="14"/>
      <c r="U1964" s="19" t="str">
        <f>HYPERLINK("https://pbs.twimg.com/profile_images/1188253624712847360/UGEuOQRQ.jpg","View")</f>
        <v>View</v>
      </c>
      <c r="V1964" s="14"/>
      <c r="W1964" s="14"/>
      <c r="X1964" s="14"/>
      <c r="Y1964" s="14"/>
      <c r="Z1964" s="14"/>
    </row>
    <row r="1965">
      <c r="A1965" s="11">
        <v>43844.47293981482</v>
      </c>
      <c r="B1965" s="12" t="str">
        <f>HYPERLINK("https://twitter.com/DebtReliefNY","@DebtReliefNY")</f>
        <v>@DebtReliefNY</v>
      </c>
      <c r="C1965" s="1" t="s">
        <v>9060</v>
      </c>
      <c r="D1965" s="1" t="s">
        <v>9061</v>
      </c>
      <c r="E1965" s="12" t="str">
        <f>HYPERLINK("https://twitter.com/DebtReliefNY/status/1217119441239957504","1217119441239957504")</f>
        <v>1217119441239957504</v>
      </c>
      <c r="F1965" s="13" t="s">
        <v>9062</v>
      </c>
      <c r="G1965" s="13" t="s">
        <v>9063</v>
      </c>
      <c r="H1965" s="14"/>
      <c r="I1965" s="15">
        <v>0.0</v>
      </c>
      <c r="J1965" s="15">
        <v>0.0</v>
      </c>
      <c r="K1965" s="12" t="str">
        <f>HYPERLINK("https://dlvrit.com/","dlvr.it")</f>
        <v>dlvr.it</v>
      </c>
      <c r="L1965" s="16">
        <v>1335.0</v>
      </c>
      <c r="M1965" s="16">
        <v>103.0</v>
      </c>
      <c r="N1965" s="16">
        <v>334.0</v>
      </c>
      <c r="O1965" s="17"/>
      <c r="P1965" s="18">
        <v>42072.87797453704</v>
      </c>
      <c r="Q1965" s="1" t="s">
        <v>809</v>
      </c>
      <c r="R1965" s="1" t="s">
        <v>9064</v>
      </c>
      <c r="S1965" s="13" t="s">
        <v>9065</v>
      </c>
      <c r="T1965" s="14"/>
      <c r="U1965" s="19" t="str">
        <f>HYPERLINK("https://pbs.twimg.com/profile_images/1169702039523213312/nYr7WILc.jpg","View")</f>
        <v>View</v>
      </c>
      <c r="V1965" s="14"/>
      <c r="W1965" s="14"/>
      <c r="X1965" s="14"/>
      <c r="Y1965" s="14"/>
      <c r="Z1965" s="14"/>
    </row>
    <row r="1966">
      <c r="A1966" s="11">
        <v>43844.47288194444</v>
      </c>
      <c r="B1966" s="12" t="str">
        <f>HYPERLINK("https://twitter.com/jennyrappbefree","@jennyrappbefree")</f>
        <v>@jennyrappbefree</v>
      </c>
      <c r="C1966" s="1" t="s">
        <v>9066</v>
      </c>
      <c r="D1966" s="1" t="s">
        <v>9067</v>
      </c>
      <c r="E1966" s="12" t="str">
        <f>HYPERLINK("https://twitter.com/jennyrappbefree/status/1217119419798892549","1217119419798892549")</f>
        <v>1217119419798892549</v>
      </c>
      <c r="F1966" s="1" t="s">
        <v>9068</v>
      </c>
      <c r="G1966" s="13" t="s">
        <v>9069</v>
      </c>
      <c r="H1966" s="14"/>
      <c r="I1966" s="15">
        <v>0.0</v>
      </c>
      <c r="J1966" s="15">
        <v>0.0</v>
      </c>
      <c r="K1966" s="12" t="str">
        <f>HYPERLINK("https://mobile.twitter.com","Twitter Web App")</f>
        <v>Twitter Web App</v>
      </c>
      <c r="L1966" s="16">
        <v>22.0</v>
      </c>
      <c r="M1966" s="16">
        <v>0.0</v>
      </c>
      <c r="N1966" s="16">
        <v>0.0</v>
      </c>
      <c r="O1966" s="17"/>
      <c r="P1966" s="18">
        <v>43300.684687500005</v>
      </c>
      <c r="Q1966" s="1" t="s">
        <v>9070</v>
      </c>
      <c r="R1966" s="1" t="s">
        <v>9071</v>
      </c>
      <c r="S1966" s="13" t="s">
        <v>9072</v>
      </c>
      <c r="T1966" s="14"/>
      <c r="U1966" s="19" t="str">
        <f>HYPERLINK("https://pbs.twimg.com/profile_images/1025668755005812736/AVzOLBsl.jpg","View")</f>
        <v>View</v>
      </c>
      <c r="V1966" s="14"/>
      <c r="W1966" s="14"/>
      <c r="X1966" s="14"/>
      <c r="Y1966" s="14"/>
      <c r="Z1966" s="14"/>
    </row>
    <row r="1967">
      <c r="A1967" s="11">
        <v>43844.47263888889</v>
      </c>
      <c r="B1967" s="12" t="str">
        <f>HYPERLINK("https://twitter.com/defying_d","@defying_d")</f>
        <v>@defying_d</v>
      </c>
      <c r="C1967" s="1" t="s">
        <v>9073</v>
      </c>
      <c r="D1967" s="1" t="s">
        <v>9074</v>
      </c>
      <c r="E1967" s="12" t="str">
        <f>HYPERLINK("https://twitter.com/defying_d/status/1217119332183965698","1217119332183965698")</f>
        <v>1217119332183965698</v>
      </c>
      <c r="F1967" s="13" t="s">
        <v>9075</v>
      </c>
      <c r="G1967" s="14"/>
      <c r="H1967" s="14"/>
      <c r="I1967" s="15">
        <v>0.0</v>
      </c>
      <c r="J1967" s="15">
        <v>0.0</v>
      </c>
      <c r="K1967" s="12" t="str">
        <f>HYPERLINK("https://paper.li","Paper.li")</f>
        <v>Paper.li</v>
      </c>
      <c r="L1967" s="16">
        <v>80.0</v>
      </c>
      <c r="M1967" s="16">
        <v>147.0</v>
      </c>
      <c r="N1967" s="16">
        <v>0.0</v>
      </c>
      <c r="O1967" s="17"/>
      <c r="P1967" s="18">
        <v>42280.339953703704</v>
      </c>
      <c r="Q1967" s="14"/>
      <c r="R1967" s="1" t="s">
        <v>9076</v>
      </c>
      <c r="S1967" s="13" t="s">
        <v>9077</v>
      </c>
      <c r="T1967" s="14"/>
      <c r="U1967" s="19" t="str">
        <f>HYPERLINK("https://pbs.twimg.com/profile_images/650282231097917440/cvN3D9-9.png","View")</f>
        <v>View</v>
      </c>
      <c r="V1967" s="14"/>
      <c r="W1967" s="14"/>
      <c r="X1967" s="14"/>
      <c r="Y1967" s="14"/>
      <c r="Z1967" s="14"/>
    </row>
    <row r="1968">
      <c r="A1968" s="11">
        <v>43844.47262731481</v>
      </c>
      <c r="B1968" s="12" t="str">
        <f>HYPERLINK("https://twitter.com/SCC_net","@SCC_net")</f>
        <v>@SCC_net</v>
      </c>
      <c r="C1968" s="1" t="s">
        <v>9078</v>
      </c>
      <c r="D1968" s="1" t="s">
        <v>9079</v>
      </c>
      <c r="E1968" s="12" t="str">
        <f>HYPERLINK("https://twitter.com/SCC_net/status/1217119327767474177","1217119327767474177")</f>
        <v>1217119327767474177</v>
      </c>
      <c r="F1968" s="13" t="s">
        <v>9080</v>
      </c>
      <c r="G1968" s="14"/>
      <c r="H1968" s="14"/>
      <c r="I1968" s="15">
        <v>0.0</v>
      </c>
      <c r="J1968" s="15">
        <v>0.0</v>
      </c>
      <c r="K1968" s="12" t="str">
        <f t="shared" ref="K1968:K1973" si="203">HYPERLINK("https://mobile.twitter.com","Twitter Web App")</f>
        <v>Twitter Web App</v>
      </c>
      <c r="L1968" s="16">
        <v>5527.0</v>
      </c>
      <c r="M1968" s="16">
        <v>6048.0</v>
      </c>
      <c r="N1968" s="16">
        <v>105.0</v>
      </c>
      <c r="O1968" s="17"/>
      <c r="P1968" s="18">
        <v>41284.69614583333</v>
      </c>
      <c r="Q1968" s="1" t="s">
        <v>9081</v>
      </c>
      <c r="R1968" s="1" t="s">
        <v>9082</v>
      </c>
      <c r="S1968" s="13" t="s">
        <v>9083</v>
      </c>
      <c r="T1968" s="14"/>
      <c r="U1968" s="19" t="str">
        <f>HYPERLINK("https://pbs.twimg.com/profile_images/947542340540833793/iCv6Y6ut.jpg","View")</f>
        <v>View</v>
      </c>
      <c r="V1968" s="14"/>
      <c r="W1968" s="14"/>
      <c r="X1968" s="14"/>
      <c r="Y1968" s="14"/>
      <c r="Z1968" s="14"/>
    </row>
    <row r="1969">
      <c r="A1969" s="11">
        <v>43844.47172453704</v>
      </c>
      <c r="B1969" s="12" t="str">
        <f>HYPERLINK("https://twitter.com/Regenerative615","@Regenerative615")</f>
        <v>@Regenerative615</v>
      </c>
      <c r="C1969" s="1" t="s">
        <v>9084</v>
      </c>
      <c r="D1969" s="1" t="s">
        <v>9085</v>
      </c>
      <c r="E1969" s="12" t="str">
        <f>HYPERLINK("https://twitter.com/Regenerative615/status/1217119003191042048","1217119003191042048")</f>
        <v>1217119003191042048</v>
      </c>
      <c r="F1969" s="1" t="s">
        <v>9086</v>
      </c>
      <c r="G1969" s="13" t="s">
        <v>9087</v>
      </c>
      <c r="H1969" s="14"/>
      <c r="I1969" s="15">
        <v>0.0</v>
      </c>
      <c r="J1969" s="15">
        <v>0.0</v>
      </c>
      <c r="K1969" s="12" t="str">
        <f t="shared" si="203"/>
        <v>Twitter Web App</v>
      </c>
      <c r="L1969" s="16">
        <v>4.0</v>
      </c>
      <c r="M1969" s="16">
        <v>29.0</v>
      </c>
      <c r="N1969" s="16">
        <v>0.0</v>
      </c>
      <c r="O1969" s="17"/>
      <c r="P1969" s="18">
        <v>43437.38122685185</v>
      </c>
      <c r="Q1969" s="1" t="s">
        <v>9088</v>
      </c>
      <c r="R1969" s="1" t="s">
        <v>9089</v>
      </c>
      <c r="S1969" s="13" t="s">
        <v>9090</v>
      </c>
      <c r="T1969" s="14"/>
      <c r="U1969" s="19" t="str">
        <f>HYPERLINK("https://pbs.twimg.com/profile_images/1072792876797517824/V3OsSISI.jpg","View")</f>
        <v>View</v>
      </c>
      <c r="V1969" s="14"/>
      <c r="W1969" s="14"/>
      <c r="X1969" s="14"/>
      <c r="Y1969" s="14"/>
      <c r="Z1969" s="14"/>
    </row>
    <row r="1970">
      <c r="A1970" s="11">
        <v>43844.46953703703</v>
      </c>
      <c r="B1970" s="12" t="str">
        <f>HYPERLINK("https://twitter.com/3D_Vitality","@3D_Vitality")</f>
        <v>@3D_Vitality</v>
      </c>
      <c r="C1970" s="1" t="s">
        <v>9091</v>
      </c>
      <c r="D1970" s="1" t="s">
        <v>9092</v>
      </c>
      <c r="E1970" s="12" t="str">
        <f>HYPERLINK("https://twitter.com/3D_Vitality/status/1217118207426879488","1217118207426879488")</f>
        <v>1217118207426879488</v>
      </c>
      <c r="F1970" s="14"/>
      <c r="G1970" s="14"/>
      <c r="H1970" s="14"/>
      <c r="I1970" s="15">
        <v>0.0</v>
      </c>
      <c r="J1970" s="15">
        <v>0.0</v>
      </c>
      <c r="K1970" s="12" t="str">
        <f t="shared" si="203"/>
        <v>Twitter Web App</v>
      </c>
      <c r="L1970" s="16">
        <v>758.0</v>
      </c>
      <c r="M1970" s="16">
        <v>316.0</v>
      </c>
      <c r="N1970" s="16">
        <v>244.0</v>
      </c>
      <c r="O1970" s="17"/>
      <c r="P1970" s="18">
        <v>40285.376550925925</v>
      </c>
      <c r="Q1970" s="1" t="s">
        <v>9093</v>
      </c>
      <c r="R1970" s="1" t="s">
        <v>9094</v>
      </c>
      <c r="S1970" s="13" t="s">
        <v>9095</v>
      </c>
      <c r="T1970" s="14"/>
      <c r="U1970" s="19" t="str">
        <f>HYPERLINK("https://pbs.twimg.com/profile_images/1179716631993470977/XPiGsD-v.jpg","View")</f>
        <v>View</v>
      </c>
      <c r="V1970" s="14"/>
      <c r="W1970" s="14"/>
      <c r="X1970" s="14"/>
      <c r="Y1970" s="14"/>
      <c r="Z1970" s="14"/>
    </row>
    <row r="1971">
      <c r="A1971" s="11">
        <v>43844.46664351852</v>
      </c>
      <c r="B1971" s="12" t="str">
        <f>HYPERLINK("https://twitter.com/DHWBroomfield","@DHWBroomfield")</f>
        <v>@DHWBroomfield</v>
      </c>
      <c r="C1971" s="1" t="s">
        <v>1978</v>
      </c>
      <c r="D1971" s="1" t="s">
        <v>9096</v>
      </c>
      <c r="E1971" s="12" t="str">
        <f>HYPERLINK("https://twitter.com/DHWBroomfield/status/1217117159517757440","1217117159517757440")</f>
        <v>1217117159517757440</v>
      </c>
      <c r="F1971" s="14"/>
      <c r="G1971" s="13" t="s">
        <v>9097</v>
      </c>
      <c r="H1971" s="14"/>
      <c r="I1971" s="15">
        <v>0.0</v>
      </c>
      <c r="J1971" s="15">
        <v>12.0</v>
      </c>
      <c r="K1971" s="12" t="str">
        <f t="shared" si="203"/>
        <v>Twitter Web App</v>
      </c>
      <c r="L1971" s="16">
        <v>73.0</v>
      </c>
      <c r="M1971" s="16">
        <v>143.0</v>
      </c>
      <c r="N1971" s="16">
        <v>0.0</v>
      </c>
      <c r="O1971" s="17"/>
      <c r="P1971" s="18">
        <v>43056.404965277776</v>
      </c>
      <c r="Q1971" s="1" t="s">
        <v>1981</v>
      </c>
      <c r="R1971" s="1" t="s">
        <v>1982</v>
      </c>
      <c r="S1971" s="13" t="s">
        <v>1983</v>
      </c>
      <c r="T1971" s="14"/>
      <c r="U1971" s="19" t="str">
        <f>HYPERLINK("https://pbs.twimg.com/profile_images/1128720512744476672/1qbnwYQG.png","View")</f>
        <v>View</v>
      </c>
      <c r="V1971" s="14"/>
      <c r="W1971" s="14"/>
      <c r="X1971" s="14"/>
      <c r="Y1971" s="14"/>
      <c r="Z1971" s="14"/>
    </row>
    <row r="1972">
      <c r="A1972" s="11">
        <v>43844.465219907404</v>
      </c>
      <c r="B1972" s="12" t="str">
        <f>HYPERLINK("https://twitter.com/DHWAurora","@DHWAurora")</f>
        <v>@DHWAurora</v>
      </c>
      <c r="C1972" s="1" t="s">
        <v>9098</v>
      </c>
      <c r="D1972" s="1" t="s">
        <v>9099</v>
      </c>
      <c r="E1972" s="12" t="str">
        <f>HYPERLINK("https://twitter.com/DHWAurora/status/1217116643782004736","1217116643782004736")</f>
        <v>1217116643782004736</v>
      </c>
      <c r="F1972" s="14"/>
      <c r="G1972" s="13" t="s">
        <v>9100</v>
      </c>
      <c r="H1972" s="14"/>
      <c r="I1972" s="15">
        <v>0.0</v>
      </c>
      <c r="J1972" s="15">
        <v>12.0</v>
      </c>
      <c r="K1972" s="12" t="str">
        <f t="shared" si="203"/>
        <v>Twitter Web App</v>
      </c>
      <c r="L1972" s="16">
        <v>104.0</v>
      </c>
      <c r="M1972" s="16">
        <v>229.0</v>
      </c>
      <c r="N1972" s="16">
        <v>0.0</v>
      </c>
      <c r="O1972" s="17"/>
      <c r="P1972" s="18">
        <v>42977.963726851856</v>
      </c>
      <c r="Q1972" s="1" t="s">
        <v>9101</v>
      </c>
      <c r="R1972" s="1" t="s">
        <v>9102</v>
      </c>
      <c r="S1972" s="13" t="s">
        <v>9103</v>
      </c>
      <c r="T1972" s="14"/>
      <c r="U1972" s="19" t="str">
        <f>HYPERLINK("https://pbs.twimg.com/profile_images/1161696702362836992/pzgARjRD.jpg","View")</f>
        <v>View</v>
      </c>
      <c r="V1972" s="14"/>
      <c r="W1972" s="14"/>
      <c r="X1972" s="14"/>
      <c r="Y1972" s="14"/>
      <c r="Z1972" s="14"/>
    </row>
    <row r="1973">
      <c r="A1973" s="11">
        <v>43844.464467592596</v>
      </c>
      <c r="B1973" s="12" t="str">
        <f>HYPERLINK("https://twitter.com/UCSHampstead","@UCSHampstead")</f>
        <v>@UCSHampstead</v>
      </c>
      <c r="C1973" s="1" t="s">
        <v>9104</v>
      </c>
      <c r="D1973" s="1" t="s">
        <v>9105</v>
      </c>
      <c r="E1973" s="12" t="str">
        <f>HYPERLINK("https://twitter.com/UCSHampstead/status/1217116372653789187","1217116372653789187")</f>
        <v>1217116372653789187</v>
      </c>
      <c r="F1973" s="14"/>
      <c r="G1973" s="13" t="s">
        <v>9106</v>
      </c>
      <c r="H1973" s="14"/>
      <c r="I1973" s="15">
        <v>1.0</v>
      </c>
      <c r="J1973" s="15">
        <v>7.0</v>
      </c>
      <c r="K1973" s="12" t="str">
        <f t="shared" si="203"/>
        <v>Twitter Web App</v>
      </c>
      <c r="L1973" s="16">
        <v>1410.0</v>
      </c>
      <c r="M1973" s="16">
        <v>177.0</v>
      </c>
      <c r="N1973" s="16">
        <v>31.0</v>
      </c>
      <c r="O1973" s="17"/>
      <c r="P1973" s="18">
        <v>41598.19200231481</v>
      </c>
      <c r="Q1973" s="1" t="s">
        <v>268</v>
      </c>
      <c r="R1973" s="1" t="s">
        <v>9107</v>
      </c>
      <c r="S1973" s="13" t="s">
        <v>9108</v>
      </c>
      <c r="T1973" s="14"/>
      <c r="U1973" s="19" t="str">
        <f>HYPERLINK("https://pbs.twimg.com/profile_images/1193869832539852805/XFTyPH4n.jpg","View")</f>
        <v>View</v>
      </c>
      <c r="V1973" s="14"/>
      <c r="W1973" s="14"/>
      <c r="X1973" s="14"/>
      <c r="Y1973" s="14"/>
      <c r="Z1973" s="14"/>
    </row>
    <row r="1974">
      <c r="A1974" s="11">
        <v>43844.464120370365</v>
      </c>
      <c r="B1974" s="12" t="str">
        <f>HYPERLINK("https://twitter.com/neuroflowlive","@neuroflowlive")</f>
        <v>@neuroflowlive</v>
      </c>
      <c r="C1974" s="1" t="s">
        <v>2288</v>
      </c>
      <c r="D1974" s="1" t="s">
        <v>9109</v>
      </c>
      <c r="E1974" s="12" t="str">
        <f>HYPERLINK("https://twitter.com/neuroflowlive/status/1217116244391997440","1217116244391997440")</f>
        <v>1217116244391997440</v>
      </c>
      <c r="F1974" s="13" t="s">
        <v>9110</v>
      </c>
      <c r="G1974" s="14"/>
      <c r="H1974" s="14"/>
      <c r="I1974" s="15">
        <v>1.0</v>
      </c>
      <c r="J1974" s="15">
        <v>3.0</v>
      </c>
      <c r="K1974" s="12" t="str">
        <f>HYPERLINK("http://www.hubspot.com/","HubSpot")</f>
        <v>HubSpot</v>
      </c>
      <c r="L1974" s="16">
        <v>888.0</v>
      </c>
      <c r="M1974" s="16">
        <v>1447.0</v>
      </c>
      <c r="N1974" s="16">
        <v>16.0</v>
      </c>
      <c r="O1974" s="17"/>
      <c r="P1974" s="18">
        <v>42802.66462962963</v>
      </c>
      <c r="Q1974" s="1" t="s">
        <v>2015</v>
      </c>
      <c r="R1974" s="1" t="s">
        <v>2291</v>
      </c>
      <c r="S1974" s="13" t="s">
        <v>2292</v>
      </c>
      <c r="T1974" s="14"/>
      <c r="U1974" s="19" t="str">
        <f>HYPERLINK("https://pbs.twimg.com/profile_images/1048386258378973184/mkvdztzj.jpg","View")</f>
        <v>View</v>
      </c>
      <c r="V1974" s="14"/>
      <c r="W1974" s="14"/>
      <c r="X1974" s="14"/>
      <c r="Y1974" s="14"/>
      <c r="Z1974" s="14"/>
    </row>
    <row r="1975">
      <c r="A1975" s="11">
        <v>43844.46298611111</v>
      </c>
      <c r="B1975" s="12" t="str">
        <f>HYPERLINK("https://twitter.com/Chocofreak887","@Chocofreak887")</f>
        <v>@Chocofreak887</v>
      </c>
      <c r="C1975" s="1" t="s">
        <v>9111</v>
      </c>
      <c r="D1975" s="1" t="s">
        <v>9112</v>
      </c>
      <c r="E1975" s="12" t="str">
        <f>HYPERLINK("https://twitter.com/Chocofreak887/status/1217115836491751424","1217115836491751424")</f>
        <v>1217115836491751424</v>
      </c>
      <c r="F1975" s="14"/>
      <c r="G1975" s="14"/>
      <c r="H1975" s="14"/>
      <c r="I1975" s="15">
        <v>0.0</v>
      </c>
      <c r="J1975" s="15">
        <v>0.0</v>
      </c>
      <c r="K1975" s="12" t="str">
        <f>HYPERLINK("http://twitter.com/download/iphone","Twitter for iPhone")</f>
        <v>Twitter for iPhone</v>
      </c>
      <c r="L1975" s="16">
        <v>25.0</v>
      </c>
      <c r="M1975" s="16">
        <v>202.0</v>
      </c>
      <c r="N1975" s="16">
        <v>2.0</v>
      </c>
      <c r="O1975" s="17"/>
      <c r="P1975" s="18">
        <v>40821.36006944445</v>
      </c>
      <c r="Q1975" s="1" t="s">
        <v>9113</v>
      </c>
      <c r="R1975" s="1" t="s">
        <v>9114</v>
      </c>
      <c r="S1975" s="14"/>
      <c r="T1975" s="14"/>
      <c r="U1975" s="19" t="str">
        <f>HYPERLINK("https://pbs.twimg.com/profile_images/938032603130617856/BDvBQsak.jpg","View")</f>
        <v>View</v>
      </c>
      <c r="V1975" s="14"/>
      <c r="W1975" s="14"/>
      <c r="X1975" s="14"/>
      <c r="Y1975" s="14"/>
      <c r="Z1975" s="14"/>
    </row>
    <row r="1976">
      <c r="A1976" s="11">
        <v>43844.462002314816</v>
      </c>
      <c r="B1976" s="12" t="str">
        <f>HYPERLINK("https://twitter.com/CMHACalgary","@CMHACalgary")</f>
        <v>@CMHACalgary</v>
      </c>
      <c r="C1976" s="1" t="s">
        <v>9115</v>
      </c>
      <c r="D1976" s="1" t="s">
        <v>9116</v>
      </c>
      <c r="E1976" s="12" t="str">
        <f>HYPERLINK("https://twitter.com/CMHACalgary/status/1217115477983531015","1217115477983531015")</f>
        <v>1217115477983531015</v>
      </c>
      <c r="F1976" s="13" t="s">
        <v>9117</v>
      </c>
      <c r="G1976" s="13" t="s">
        <v>9118</v>
      </c>
      <c r="H1976" s="14"/>
      <c r="I1976" s="15">
        <v>3.0</v>
      </c>
      <c r="J1976" s="15">
        <v>6.0</v>
      </c>
      <c r="K1976" s="12" t="str">
        <f>HYPERLINK("https://www.hootsuite.com","Hootsuite Inc.")</f>
        <v>Hootsuite Inc.</v>
      </c>
      <c r="L1976" s="16">
        <v>5473.0</v>
      </c>
      <c r="M1976" s="16">
        <v>1736.0</v>
      </c>
      <c r="N1976" s="16">
        <v>142.0</v>
      </c>
      <c r="O1976" s="17"/>
      <c r="P1976" s="18">
        <v>40864.66553240741</v>
      </c>
      <c r="Q1976" s="1" t="s">
        <v>9119</v>
      </c>
      <c r="R1976" s="1" t="s">
        <v>9120</v>
      </c>
      <c r="S1976" s="13" t="s">
        <v>9121</v>
      </c>
      <c r="T1976" s="14"/>
      <c r="U1976" s="19" t="str">
        <f>HYPERLINK("https://pbs.twimg.com/profile_images/1176945337832853504/ZdVwHQJx.jpg","View")</f>
        <v>View</v>
      </c>
      <c r="V1976" s="14"/>
      <c r="W1976" s="14"/>
      <c r="X1976" s="14"/>
      <c r="Y1976" s="14"/>
      <c r="Z1976" s="14"/>
    </row>
    <row r="1977">
      <c r="A1977" s="11">
        <v>43844.46144675926</v>
      </c>
      <c r="B1977" s="12" t="str">
        <f>HYPERLINK("https://twitter.com/partnercomm","@partnercomm")</f>
        <v>@partnercomm</v>
      </c>
      <c r="C1977" s="1" t="s">
        <v>4014</v>
      </c>
      <c r="D1977" s="1" t="s">
        <v>9122</v>
      </c>
      <c r="E1977" s="12" t="str">
        <f>HYPERLINK("https://twitter.com/partnercomm/status/1217115278431178757","1217115278431178757")</f>
        <v>1217115278431178757</v>
      </c>
      <c r="F1977" s="13" t="s">
        <v>9123</v>
      </c>
      <c r="G1977" s="14"/>
      <c r="H1977" s="14"/>
      <c r="I1977" s="15">
        <v>0.0</v>
      </c>
      <c r="J1977" s="15">
        <v>0.0</v>
      </c>
      <c r="K1977" s="12" t="str">
        <f>HYPERLINK("https://mobile.twitter.com","Twitter Web App")</f>
        <v>Twitter Web App</v>
      </c>
      <c r="L1977" s="16">
        <v>151.0</v>
      </c>
      <c r="M1977" s="16">
        <v>416.0</v>
      </c>
      <c r="N1977" s="16">
        <v>4.0</v>
      </c>
      <c r="O1977" s="17"/>
      <c r="P1977" s="18">
        <v>42838.4053125</v>
      </c>
      <c r="Q1977" s="1" t="s">
        <v>4017</v>
      </c>
      <c r="R1977" s="1" t="s">
        <v>4018</v>
      </c>
      <c r="S1977" s="13" t="s">
        <v>4019</v>
      </c>
      <c r="T1977" s="14"/>
      <c r="U1977" s="19" t="str">
        <f>HYPERLINK("https://pbs.twimg.com/profile_images/1073595378329501697/g_5ZIPla.jpg","View")</f>
        <v>View</v>
      </c>
      <c r="V1977" s="14"/>
      <c r="W1977" s="14"/>
      <c r="X1977" s="14"/>
      <c r="Y1977" s="14"/>
      <c r="Z1977" s="14"/>
    </row>
    <row r="1978">
      <c r="A1978" s="11">
        <v>43844.461122685185</v>
      </c>
      <c r="B1978" s="12" t="str">
        <f>HYPERLINK("https://twitter.com/WEworkplace","@WEworkplace")</f>
        <v>@WEworkplace</v>
      </c>
      <c r="C1978" s="1" t="s">
        <v>1994</v>
      </c>
      <c r="D1978" s="1" t="s">
        <v>1995</v>
      </c>
      <c r="E1978" s="12" t="str">
        <f>HYPERLINK("https://twitter.com/WEworkplace/status/1217115158746628096","1217115158746628096")</f>
        <v>1217115158746628096</v>
      </c>
      <c r="F1978" s="13" t="s">
        <v>1996</v>
      </c>
      <c r="G1978" s="14"/>
      <c r="H1978" s="14"/>
      <c r="I1978" s="15">
        <v>1.0</v>
      </c>
      <c r="J1978" s="15">
        <v>1.0</v>
      </c>
      <c r="K1978" s="12" t="str">
        <f>HYPERLINK("https://sproutsocial.com","Sprout Social")</f>
        <v>Sprout Social</v>
      </c>
      <c r="L1978" s="16">
        <v>2107.0</v>
      </c>
      <c r="M1978" s="16">
        <v>1168.0</v>
      </c>
      <c r="N1978" s="16">
        <v>81.0</v>
      </c>
      <c r="O1978" s="17"/>
      <c r="P1978" s="18">
        <v>41332.50011574074</v>
      </c>
      <c r="Q1978" s="1" t="s">
        <v>1997</v>
      </c>
      <c r="R1978" s="1" t="s">
        <v>1998</v>
      </c>
      <c r="S1978" s="13" t="s">
        <v>1999</v>
      </c>
      <c r="T1978" s="14"/>
      <c r="U1978" s="19" t="str">
        <f>HYPERLINK("https://pbs.twimg.com/profile_images/1141133148706635777/Gl3hsEGH.png","View")</f>
        <v>View</v>
      </c>
      <c r="V1978" s="14"/>
      <c r="W1978" s="14"/>
      <c r="X1978" s="14"/>
      <c r="Y1978" s="14"/>
      <c r="Z1978" s="14"/>
    </row>
    <row r="1979">
      <c r="A1979" s="11">
        <v>43844.45873842592</v>
      </c>
      <c r="B1979" s="12" t="str">
        <f>HYPERLINK("https://twitter.com/BethkazV","@BethkazV")</f>
        <v>@BethkazV</v>
      </c>
      <c r="C1979" s="1" t="s">
        <v>4165</v>
      </c>
      <c r="D1979" s="1" t="s">
        <v>193</v>
      </c>
      <c r="E1979" s="12" t="str">
        <f>HYPERLINK("https://twitter.com/BethkazV/status/1217114294267121669","1217114294267121669")</f>
        <v>1217114294267121669</v>
      </c>
      <c r="F1979" s="13" t="s">
        <v>4166</v>
      </c>
      <c r="G1979" s="14"/>
      <c r="H1979" s="14"/>
      <c r="I1979" s="15">
        <v>0.0</v>
      </c>
      <c r="J1979" s="15">
        <v>0.0</v>
      </c>
      <c r="K1979" s="12" t="str">
        <f>HYPERLINK("http://twitter.com/download/iphone","Twitter for iPhone")</f>
        <v>Twitter for iPhone</v>
      </c>
      <c r="L1979" s="16">
        <v>2932.0</v>
      </c>
      <c r="M1979" s="16">
        <v>4951.0</v>
      </c>
      <c r="N1979" s="16">
        <v>233.0</v>
      </c>
      <c r="O1979" s="17"/>
      <c r="P1979" s="18">
        <v>41752.73159722222</v>
      </c>
      <c r="Q1979" s="1" t="s">
        <v>2987</v>
      </c>
      <c r="R1979" s="14"/>
      <c r="S1979" s="14"/>
      <c r="T1979" s="14"/>
      <c r="U1979" s="19" t="str">
        <f>HYPERLINK("https://pbs.twimg.com/profile_images/1180955750962798594/g6vdWNBM.jpg","View")</f>
        <v>View</v>
      </c>
      <c r="V1979" s="14"/>
      <c r="W1979" s="14"/>
      <c r="X1979" s="14"/>
      <c r="Y1979" s="14"/>
      <c r="Z1979" s="14"/>
    </row>
    <row r="1980">
      <c r="A1980" s="11">
        <v>43844.458645833336</v>
      </c>
      <c r="B1980" s="12" t="str">
        <f>HYPERLINK("https://twitter.com/vitality360","@vitality360")</f>
        <v>@vitality360</v>
      </c>
      <c r="C1980" s="1" t="s">
        <v>9124</v>
      </c>
      <c r="D1980" s="1" t="s">
        <v>9125</v>
      </c>
      <c r="E1980" s="12" t="str">
        <f>HYPERLINK("https://twitter.com/vitality360/status/1217114260960108544","1217114260960108544")</f>
        <v>1217114260960108544</v>
      </c>
      <c r="F1980" s="1" t="s">
        <v>9126</v>
      </c>
      <c r="G1980" s="14"/>
      <c r="H1980" s="14"/>
      <c r="I1980" s="15">
        <v>0.0</v>
      </c>
      <c r="J1980" s="15">
        <v>1.0</v>
      </c>
      <c r="K1980" s="12" t="str">
        <f>HYPERLINK("https://buffer.com","Buffer")</f>
        <v>Buffer</v>
      </c>
      <c r="L1980" s="16">
        <v>118.0</v>
      </c>
      <c r="M1980" s="16">
        <v>276.0</v>
      </c>
      <c r="N1980" s="16">
        <v>0.0</v>
      </c>
      <c r="O1980" s="17"/>
      <c r="P1980" s="18">
        <v>43483.500914351855</v>
      </c>
      <c r="Q1980" s="14"/>
      <c r="R1980" s="1" t="s">
        <v>9127</v>
      </c>
      <c r="S1980" s="13" t="s">
        <v>9128</v>
      </c>
      <c r="T1980" s="14"/>
      <c r="U1980" s="19" t="str">
        <f>HYPERLINK("https://pbs.twimg.com/profile_images/1135490253211545600/picYDnZt.png","View")</f>
        <v>View</v>
      </c>
      <c r="V1980" s="14"/>
      <c r="W1980" s="14"/>
      <c r="X1980" s="14"/>
      <c r="Y1980" s="14"/>
      <c r="Z1980" s="14"/>
    </row>
    <row r="1981">
      <c r="A1981" s="11">
        <v>43844.457870370374</v>
      </c>
      <c r="B1981" s="12" t="str">
        <f>HYPERLINK("https://twitter.com/StressTrainer","@StressTrainer")</f>
        <v>@StressTrainer</v>
      </c>
      <c r="C1981" s="1" t="s">
        <v>9129</v>
      </c>
      <c r="D1981" s="1" t="s">
        <v>9130</v>
      </c>
      <c r="E1981" s="12" t="str">
        <f>HYPERLINK("https://twitter.com/StressTrainer/status/1217113982307381248","1217113982307381248")</f>
        <v>1217113982307381248</v>
      </c>
      <c r="F1981" s="13" t="s">
        <v>9131</v>
      </c>
      <c r="G1981" s="14"/>
      <c r="H1981" s="14"/>
      <c r="I1981" s="15">
        <v>0.0</v>
      </c>
      <c r="J1981" s="15">
        <v>0.0</v>
      </c>
      <c r="K1981" s="12" t="str">
        <f>HYPERLINK("https://bitly.com/","Bitly")</f>
        <v>Bitly</v>
      </c>
      <c r="L1981" s="16">
        <v>20737.0</v>
      </c>
      <c r="M1981" s="16">
        <v>22417.0</v>
      </c>
      <c r="N1981" s="16">
        <v>151.0</v>
      </c>
      <c r="O1981" s="17"/>
      <c r="P1981" s="18">
        <v>41261.43518518518</v>
      </c>
      <c r="Q1981" s="1" t="s">
        <v>9132</v>
      </c>
      <c r="R1981" s="1" t="s">
        <v>9133</v>
      </c>
      <c r="S1981" s="13" t="s">
        <v>9134</v>
      </c>
      <c r="T1981" s="14"/>
      <c r="U1981" s="19" t="str">
        <f>HYPERLINK("https://pbs.twimg.com/profile_images/686215553837580289/p7ElQClt.jpg","View")</f>
        <v>View</v>
      </c>
      <c r="V1981" s="14"/>
      <c r="W1981" s="14"/>
      <c r="X1981" s="14"/>
      <c r="Y1981" s="14"/>
      <c r="Z1981" s="14"/>
    </row>
    <row r="1982">
      <c r="A1982" s="11">
        <v>43844.457870370374</v>
      </c>
      <c r="B1982" s="12" t="str">
        <f>HYPERLINK("https://twitter.com/katieuhran","@katieuhran")</f>
        <v>@katieuhran</v>
      </c>
      <c r="C1982" s="1" t="s">
        <v>9135</v>
      </c>
      <c r="D1982" s="1" t="s">
        <v>9136</v>
      </c>
      <c r="E1982" s="12" t="str">
        <f>HYPERLINK("https://twitter.com/katieuhran/status/1217113981753679872","1217113981753679872")</f>
        <v>1217113981753679872</v>
      </c>
      <c r="F1982" s="13" t="s">
        <v>9137</v>
      </c>
      <c r="G1982" s="14"/>
      <c r="H1982" s="14"/>
      <c r="I1982" s="15">
        <v>0.0</v>
      </c>
      <c r="J1982" s="15">
        <v>0.0</v>
      </c>
      <c r="K1982" s="12" t="str">
        <f>HYPERLINK("http://twitter.com","Twitter Web Client")</f>
        <v>Twitter Web Client</v>
      </c>
      <c r="L1982" s="16">
        <v>9373.0</v>
      </c>
      <c r="M1982" s="16">
        <v>4382.0</v>
      </c>
      <c r="N1982" s="16">
        <v>538.0</v>
      </c>
      <c r="O1982" s="17"/>
      <c r="P1982" s="18">
        <v>40347.001435185186</v>
      </c>
      <c r="Q1982" s="1" t="s">
        <v>9138</v>
      </c>
      <c r="R1982" s="1" t="s">
        <v>9139</v>
      </c>
      <c r="S1982" s="13" t="s">
        <v>9140</v>
      </c>
      <c r="T1982" s="14"/>
      <c r="U1982" s="19" t="str">
        <f>HYPERLINK("https://pbs.twimg.com/profile_images/963440192353914884/iaw2wy4B.jpg","View")</f>
        <v>View</v>
      </c>
      <c r="V1982" s="14"/>
      <c r="W1982" s="14"/>
      <c r="X1982" s="14"/>
      <c r="Y1982" s="14"/>
      <c r="Z1982" s="14"/>
    </row>
    <row r="1983">
      <c r="A1983" s="11">
        <v>43844.45770833333</v>
      </c>
      <c r="B1983" s="12" t="str">
        <f>HYPERLINK("https://twitter.com/MetalRabbit13","@MetalRabbit13")</f>
        <v>@MetalRabbit13</v>
      </c>
      <c r="C1983" s="1" t="s">
        <v>9141</v>
      </c>
      <c r="D1983" s="1" t="s">
        <v>9142</v>
      </c>
      <c r="E1983" s="12" t="str">
        <f>HYPERLINK("https://twitter.com/MetalRabbit13/status/1217113922999812098","1217113922999812098")</f>
        <v>1217113922999812098</v>
      </c>
      <c r="F1983" s="13" t="s">
        <v>9143</v>
      </c>
      <c r="G1983" s="14"/>
      <c r="H1983" s="14"/>
      <c r="I1983" s="15">
        <v>0.0</v>
      </c>
      <c r="J1983" s="15">
        <v>0.0</v>
      </c>
      <c r="K1983" s="12" t="str">
        <f>HYPERLINK("http://twitter.com/#!/download/ipad","Twitter for iPad")</f>
        <v>Twitter for iPad</v>
      </c>
      <c r="L1983" s="16">
        <v>1386.0</v>
      </c>
      <c r="M1983" s="16">
        <v>3873.0</v>
      </c>
      <c r="N1983" s="16">
        <v>264.0</v>
      </c>
      <c r="O1983" s="17"/>
      <c r="P1983" s="18">
        <v>39853.85431712963</v>
      </c>
      <c r="Q1983" s="1" t="s">
        <v>9144</v>
      </c>
      <c r="R1983" s="1" t="s">
        <v>9145</v>
      </c>
      <c r="S1983" s="14"/>
      <c r="T1983" s="14"/>
      <c r="U1983" s="19" t="str">
        <f>HYPERLINK("https://pbs.twimg.com/profile_images/778366544749309952/YNAJYlzm.jpg","View")</f>
        <v>View</v>
      </c>
      <c r="V1983" s="14"/>
      <c r="W1983" s="14"/>
      <c r="X1983" s="14"/>
      <c r="Y1983" s="14"/>
      <c r="Z1983" s="14"/>
    </row>
    <row r="1984">
      <c r="A1984" s="11">
        <v>43844.455671296295</v>
      </c>
      <c r="B1984" s="12" t="str">
        <f>HYPERLINK("https://twitter.com/LouisaActually","@LouisaActually")</f>
        <v>@LouisaActually</v>
      </c>
      <c r="C1984" s="1" t="s">
        <v>9146</v>
      </c>
      <c r="D1984" s="1" t="s">
        <v>9147</v>
      </c>
      <c r="E1984" s="12" t="str">
        <f>HYPERLINK("https://twitter.com/LouisaActually/status/1217113183573434369","1217113183573434369")</f>
        <v>1217113183573434369</v>
      </c>
      <c r="F1984" s="13" t="s">
        <v>9148</v>
      </c>
      <c r="G1984" s="13" t="s">
        <v>9149</v>
      </c>
      <c r="H1984" s="14"/>
      <c r="I1984" s="15">
        <v>0.0</v>
      </c>
      <c r="J1984" s="15">
        <v>0.0</v>
      </c>
      <c r="K1984" s="12" t="str">
        <f>HYPERLINK("https://missinglettr.com","Missinglettr")</f>
        <v>Missinglettr</v>
      </c>
      <c r="L1984" s="16">
        <v>34.0</v>
      </c>
      <c r="M1984" s="16">
        <v>24.0</v>
      </c>
      <c r="N1984" s="16">
        <v>0.0</v>
      </c>
      <c r="O1984" s="17"/>
      <c r="P1984" s="18">
        <v>43662.46741898148</v>
      </c>
      <c r="Q1984" s="14"/>
      <c r="R1984" s="1" t="s">
        <v>9150</v>
      </c>
      <c r="S1984" s="14"/>
      <c r="T1984" s="14"/>
      <c r="U1984" s="19" t="str">
        <f>HYPERLINK("https://pbs.twimg.com/profile_images/1151148035902062592/dECSatiT.jpg","View")</f>
        <v>View</v>
      </c>
      <c r="V1984" s="14"/>
      <c r="W1984" s="14"/>
      <c r="X1984" s="14"/>
      <c r="Y1984" s="14"/>
      <c r="Z1984" s="14"/>
    </row>
    <row r="1985">
      <c r="A1985" s="11">
        <v>43844.44590277778</v>
      </c>
      <c r="B1985" s="12" t="str">
        <f>HYPERLINK("https://twitter.com/LeaMcLeod","@LeaMcLeod")</f>
        <v>@LeaMcLeod</v>
      </c>
      <c r="C1985" s="1" t="s">
        <v>9151</v>
      </c>
      <c r="D1985" s="1" t="s">
        <v>9152</v>
      </c>
      <c r="E1985" s="12" t="str">
        <f>HYPERLINK("https://twitter.com/LeaMcLeod/status/1217109643727638528","1217109643727638528")</f>
        <v>1217109643727638528</v>
      </c>
      <c r="F1985" s="13" t="s">
        <v>9153</v>
      </c>
      <c r="G1985" s="14"/>
      <c r="H1985" s="14"/>
      <c r="I1985" s="15">
        <v>0.0</v>
      </c>
      <c r="J1985" s="15">
        <v>0.0</v>
      </c>
      <c r="K1985" s="12" t="str">
        <f>HYPERLINK("http://twitter.com","Twitter Web Client")</f>
        <v>Twitter Web Client</v>
      </c>
      <c r="L1985" s="16">
        <v>5007.0</v>
      </c>
      <c r="M1985" s="16">
        <v>4146.0</v>
      </c>
      <c r="N1985" s="16">
        <v>273.0</v>
      </c>
      <c r="O1985" s="17"/>
      <c r="P1985" s="18">
        <v>39717.72358796296</v>
      </c>
      <c r="Q1985" s="1" t="s">
        <v>9154</v>
      </c>
      <c r="R1985" s="1" t="s">
        <v>9155</v>
      </c>
      <c r="S1985" s="13" t="s">
        <v>9156</v>
      </c>
      <c r="T1985" s="14"/>
      <c r="U1985" s="19" t="str">
        <f>HYPERLINK("https://pbs.twimg.com/profile_images/378800000129924267/7839f8dc9f035fc5d27c4b722541375a.jpeg","View")</f>
        <v>View</v>
      </c>
      <c r="V1985" s="14"/>
      <c r="W1985" s="14"/>
      <c r="X1985" s="14"/>
      <c r="Y1985" s="14"/>
      <c r="Z1985" s="14"/>
    </row>
    <row r="1986">
      <c r="A1986" s="11">
        <v>43844.443761574075</v>
      </c>
      <c r="B1986" s="12" t="str">
        <f>HYPERLINK("https://twitter.com/staceygmiller","@staceygmiller")</f>
        <v>@staceygmiller</v>
      </c>
      <c r="C1986" s="1" t="s">
        <v>9157</v>
      </c>
      <c r="D1986" s="1" t="s">
        <v>9158</v>
      </c>
      <c r="E1986" s="12" t="str">
        <f>HYPERLINK("https://twitter.com/staceygmiller/status/1217108865927520257","1217108865927520257")</f>
        <v>1217108865927520257</v>
      </c>
      <c r="F1986" s="14"/>
      <c r="G1986" s="14"/>
      <c r="H1986" s="14"/>
      <c r="I1986" s="15">
        <v>2.0</v>
      </c>
      <c r="J1986" s="15">
        <v>4.0</v>
      </c>
      <c r="K1986" s="12" t="str">
        <f>HYPERLINK("https://mobile.twitter.com","Twitter Web App")</f>
        <v>Twitter Web App</v>
      </c>
      <c r="L1986" s="16">
        <v>219.0</v>
      </c>
      <c r="M1986" s="16">
        <v>297.0</v>
      </c>
      <c r="N1986" s="16">
        <v>10.0</v>
      </c>
      <c r="O1986" s="17"/>
      <c r="P1986" s="18">
        <v>42667.35922453704</v>
      </c>
      <c r="Q1986" s="1" t="s">
        <v>9159</v>
      </c>
      <c r="R1986" s="1" t="s">
        <v>9160</v>
      </c>
      <c r="S1986" s="13" t="s">
        <v>9161</v>
      </c>
      <c r="T1986" s="14"/>
      <c r="U1986" s="19" t="str">
        <f>HYPERLINK("https://pbs.twimg.com/profile_images/1207988838678847488/86IgvzMh.jpg","View")</f>
        <v>View</v>
      </c>
      <c r="V1986" s="14"/>
      <c r="W1986" s="14"/>
      <c r="X1986" s="14"/>
      <c r="Y1986" s="14"/>
      <c r="Z1986" s="14"/>
    </row>
    <row r="1987">
      <c r="A1987" s="11">
        <v>43844.44043981482</v>
      </c>
      <c r="B1987" s="12" t="str">
        <f>HYPERLINK("https://twitter.com/ParanormPsychic","@ParanormPsychic")</f>
        <v>@ParanormPsychic</v>
      </c>
      <c r="C1987" s="1" t="s">
        <v>9162</v>
      </c>
      <c r="D1987" s="1" t="s">
        <v>9163</v>
      </c>
      <c r="E1987" s="12" t="str">
        <f>HYPERLINK("https://twitter.com/ParanormPsychic/status/1217107663655489541","1217107663655489541")</f>
        <v>1217107663655489541</v>
      </c>
      <c r="F1987" s="14"/>
      <c r="G1987" s="13" t="s">
        <v>9164</v>
      </c>
      <c r="H1987" s="14"/>
      <c r="I1987" s="15">
        <v>0.0</v>
      </c>
      <c r="J1987" s="15">
        <v>0.0</v>
      </c>
      <c r="K1987" s="12" t="str">
        <f>HYPERLINK("https://www.socialoomph.com","SocialOomph")</f>
        <v>SocialOomph</v>
      </c>
      <c r="L1987" s="16">
        <v>426.0</v>
      </c>
      <c r="M1987" s="16">
        <v>53.0</v>
      </c>
      <c r="N1987" s="16">
        <v>31.0</v>
      </c>
      <c r="O1987" s="17"/>
      <c r="P1987" s="18">
        <v>41366.465219907404</v>
      </c>
      <c r="Q1987" s="1" t="s">
        <v>624</v>
      </c>
      <c r="R1987" s="1" t="s">
        <v>9165</v>
      </c>
      <c r="S1987" s="13" t="s">
        <v>9166</v>
      </c>
      <c r="T1987" s="14"/>
      <c r="U1987" s="19" t="str">
        <f>HYPERLINK("https://pbs.twimg.com/profile_images/3467045096/27f5bd46d4b994f4cdccf8e6e9aac0cb.jpeg","View")</f>
        <v>View</v>
      </c>
      <c r="V1987" s="14"/>
      <c r="W1987" s="14"/>
      <c r="X1987" s="14"/>
      <c r="Y1987" s="14"/>
      <c r="Z1987" s="14"/>
    </row>
    <row r="1988">
      <c r="A1988" s="11">
        <v>43844.43917824074</v>
      </c>
      <c r="B1988" s="12" t="str">
        <f>HYPERLINK("https://twitter.com/WestSpaceTweets","@WestSpaceTweets")</f>
        <v>@WestSpaceTweets</v>
      </c>
      <c r="C1988" s="1" t="s">
        <v>9167</v>
      </c>
      <c r="D1988" s="1" t="s">
        <v>9168</v>
      </c>
      <c r="E1988" s="12" t="str">
        <f>HYPERLINK("https://twitter.com/WestSpaceTweets/status/1217107206161694731","1217107206161694731")</f>
        <v>1217107206161694731</v>
      </c>
      <c r="F1988" s="13" t="s">
        <v>9169</v>
      </c>
      <c r="G1988" s="13" t="s">
        <v>9170</v>
      </c>
      <c r="H1988" s="14"/>
      <c r="I1988" s="15">
        <v>2.0</v>
      </c>
      <c r="J1988" s="15">
        <v>1.0</v>
      </c>
      <c r="K1988" s="12" t="str">
        <f>HYPERLINK("https://mobile.twitter.com","Twitter Web App")</f>
        <v>Twitter Web App</v>
      </c>
      <c r="L1988" s="16">
        <v>150.0</v>
      </c>
      <c r="M1988" s="16">
        <v>232.0</v>
      </c>
      <c r="N1988" s="16">
        <v>7.0</v>
      </c>
      <c r="O1988" s="17"/>
      <c r="P1988" s="18">
        <v>41606.395266203705</v>
      </c>
      <c r="Q1988" s="1" t="s">
        <v>9171</v>
      </c>
      <c r="R1988" s="1" t="s">
        <v>9172</v>
      </c>
      <c r="S1988" s="14"/>
      <c r="T1988" s="14"/>
      <c r="U1988" s="19" t="str">
        <f>HYPERLINK("https://pbs.twimg.com/profile_images/1002466461959491584/VGel32E2.jpg","View")</f>
        <v>View</v>
      </c>
      <c r="V1988" s="14"/>
      <c r="W1988" s="14"/>
      <c r="X1988" s="14"/>
      <c r="Y1988" s="14"/>
      <c r="Z1988" s="14"/>
    </row>
    <row r="1989">
      <c r="A1989" s="11">
        <v>43844.4375</v>
      </c>
      <c r="B1989" s="12" t="str">
        <f>HYPERLINK("https://twitter.com/MTVLebanonNews","@MTVLebanonNews")</f>
        <v>@MTVLebanonNews</v>
      </c>
      <c r="C1989" s="1" t="s">
        <v>9173</v>
      </c>
      <c r="D1989" s="1" t="s">
        <v>9174</v>
      </c>
      <c r="E1989" s="12" t="str">
        <f>HYPERLINK("https://twitter.com/MTVLebanonNews/status/1217106598021279755","1217106598021279755")</f>
        <v>1217106598021279755</v>
      </c>
      <c r="F1989" s="13" t="s">
        <v>9175</v>
      </c>
      <c r="G1989" s="13" t="s">
        <v>9176</v>
      </c>
      <c r="H1989" s="14"/>
      <c r="I1989" s="15">
        <v>0.0</v>
      </c>
      <c r="J1989" s="15">
        <v>1.0</v>
      </c>
      <c r="K1989" s="12" t="str">
        <f>HYPERLINK("https://about.twitter.com/products/tweetdeck","TweetDeck")</f>
        <v>TweetDeck</v>
      </c>
      <c r="L1989" s="16">
        <v>1168454.0</v>
      </c>
      <c r="M1989" s="16">
        <v>151.0</v>
      </c>
      <c r="N1989" s="16">
        <v>1402.0</v>
      </c>
      <c r="O1989" s="20" t="s">
        <v>38</v>
      </c>
      <c r="P1989" s="18">
        <v>40840.30673611111</v>
      </c>
      <c r="Q1989" s="1" t="s">
        <v>9177</v>
      </c>
      <c r="R1989" s="1" t="s">
        <v>9178</v>
      </c>
      <c r="S1989" s="13" t="s">
        <v>9179</v>
      </c>
      <c r="T1989" s="14"/>
      <c r="U1989" s="19" t="str">
        <f>HYPERLINK("https://pbs.twimg.com/profile_images/1768551429/mtv-news2.png","View")</f>
        <v>View</v>
      </c>
      <c r="V1989" s="14"/>
      <c r="W1989" s="14"/>
      <c r="X1989" s="14"/>
      <c r="Y1989" s="14"/>
      <c r="Z1989" s="14"/>
    </row>
    <row r="1990">
      <c r="A1990" s="11">
        <v>43844.43371527777</v>
      </c>
      <c r="B1990" s="12" t="str">
        <f>HYPERLINK("https://twitter.com/PatriciaDidelot","@PatriciaDidelot")</f>
        <v>@PatriciaDidelot</v>
      </c>
      <c r="C1990" s="1" t="s">
        <v>2879</v>
      </c>
      <c r="D1990" s="1" t="s">
        <v>9180</v>
      </c>
      <c r="E1990" s="12" t="str">
        <f>HYPERLINK("https://twitter.com/PatriciaDidelot/status/1217105226857156609","1217105226857156609")</f>
        <v>1217105226857156609</v>
      </c>
      <c r="F1990" s="14"/>
      <c r="G1990" s="13" t="s">
        <v>9181</v>
      </c>
      <c r="H1990" s="14"/>
      <c r="I1990" s="15">
        <v>0.0</v>
      </c>
      <c r="J1990" s="15">
        <v>0.0</v>
      </c>
      <c r="K1990" s="12" t="str">
        <f t="shared" ref="K1990:K1992" si="204">HYPERLINK("https://mobile.twitter.com","Twitter Web App")</f>
        <v>Twitter Web App</v>
      </c>
      <c r="L1990" s="16">
        <v>90.0</v>
      </c>
      <c r="M1990" s="16">
        <v>127.0</v>
      </c>
      <c r="N1990" s="16">
        <v>0.0</v>
      </c>
      <c r="O1990" s="17"/>
      <c r="P1990" s="18">
        <v>43334.343923611115</v>
      </c>
      <c r="Q1990" s="1" t="s">
        <v>56</v>
      </c>
      <c r="R1990" s="1" t="s">
        <v>2882</v>
      </c>
      <c r="S1990" s="13" t="s">
        <v>2883</v>
      </c>
      <c r="T1990" s="14"/>
      <c r="U1990" s="19" t="str">
        <f>HYPERLINK("https://pbs.twimg.com/profile_images/1173770250854252546/LO2JY0Xv.jpg","View")</f>
        <v>View</v>
      </c>
      <c r="V1990" s="14"/>
      <c r="W1990" s="14"/>
      <c r="X1990" s="14"/>
      <c r="Y1990" s="14"/>
      <c r="Z1990" s="14"/>
    </row>
    <row r="1991">
      <c r="A1991" s="11">
        <v>43844.432592592595</v>
      </c>
      <c r="B1991" s="12" t="str">
        <f>HYPERLINK("https://twitter.com/UMassPsychiatry","@UMassPsychiatry")</f>
        <v>@UMassPsychiatry</v>
      </c>
      <c r="C1991" s="1" t="s">
        <v>9182</v>
      </c>
      <c r="D1991" s="1" t="s">
        <v>9183</v>
      </c>
      <c r="E1991" s="12" t="str">
        <f>HYPERLINK("https://twitter.com/UMassPsychiatry/status/1217104820391305217","1217104820391305217")</f>
        <v>1217104820391305217</v>
      </c>
      <c r="F1991" s="13" t="s">
        <v>9184</v>
      </c>
      <c r="G1991" s="13" t="s">
        <v>9185</v>
      </c>
      <c r="H1991" s="14"/>
      <c r="I1991" s="15">
        <v>0.0</v>
      </c>
      <c r="J1991" s="15">
        <v>0.0</v>
      </c>
      <c r="K1991" s="12" t="str">
        <f t="shared" si="204"/>
        <v>Twitter Web App</v>
      </c>
      <c r="L1991" s="16">
        <v>2275.0</v>
      </c>
      <c r="M1991" s="16">
        <v>168.0</v>
      </c>
      <c r="N1991" s="16">
        <v>70.0</v>
      </c>
      <c r="O1991" s="17"/>
      <c r="P1991" s="18">
        <v>40220.55869212963</v>
      </c>
      <c r="Q1991" s="1" t="s">
        <v>9186</v>
      </c>
      <c r="R1991" s="1" t="s">
        <v>9187</v>
      </c>
      <c r="S1991" s="13" t="s">
        <v>9188</v>
      </c>
      <c r="T1991" s="14"/>
      <c r="U1991" s="19" t="str">
        <f>HYPERLINK("https://pbs.twimg.com/profile_images/1188870846867222528/8iMsxZVA.jpg","View")</f>
        <v>View</v>
      </c>
      <c r="V1991" s="14"/>
      <c r="W1991" s="14"/>
      <c r="X1991" s="14"/>
      <c r="Y1991" s="14"/>
      <c r="Z1991" s="14"/>
    </row>
    <row r="1992">
      <c r="A1992" s="11">
        <v>43844.43079861111</v>
      </c>
      <c r="B1992" s="12" t="str">
        <f>HYPERLINK("https://twitter.com/ChaseMielke","@ChaseMielke")</f>
        <v>@ChaseMielke</v>
      </c>
      <c r="C1992" s="1" t="s">
        <v>9189</v>
      </c>
      <c r="D1992" s="1" t="s">
        <v>9190</v>
      </c>
      <c r="E1992" s="12" t="str">
        <f>HYPERLINK("https://twitter.com/ChaseMielke/status/1217104171754803201","1217104171754803201")</f>
        <v>1217104171754803201</v>
      </c>
      <c r="F1992" s="13" t="s">
        <v>7988</v>
      </c>
      <c r="G1992" s="13" t="s">
        <v>9191</v>
      </c>
      <c r="H1992" s="14"/>
      <c r="I1992" s="15">
        <v>8.0</v>
      </c>
      <c r="J1992" s="15">
        <v>8.0</v>
      </c>
      <c r="K1992" s="12" t="str">
        <f t="shared" si="204"/>
        <v>Twitter Web App</v>
      </c>
      <c r="L1992" s="16">
        <v>1955.0</v>
      </c>
      <c r="M1992" s="16">
        <v>180.0</v>
      </c>
      <c r="N1992" s="16">
        <v>44.0</v>
      </c>
      <c r="O1992" s="17"/>
      <c r="P1992" s="18">
        <v>40998.42826388889</v>
      </c>
      <c r="Q1992" s="14"/>
      <c r="R1992" s="1" t="s">
        <v>9192</v>
      </c>
      <c r="S1992" s="13" t="s">
        <v>9193</v>
      </c>
      <c r="T1992" s="14"/>
      <c r="U1992" s="19" t="str">
        <f>HYPERLINK("https://pbs.twimg.com/profile_images/456134201641672705/n282sIeQ.jpeg","View")</f>
        <v>View</v>
      </c>
      <c r="V1992" s="14"/>
      <c r="W1992" s="14"/>
      <c r="X1992" s="14"/>
      <c r="Y1992" s="14"/>
      <c r="Z1992" s="14"/>
    </row>
    <row r="1993">
      <c r="A1993" s="11">
        <v>43844.429502314815</v>
      </c>
      <c r="B1993" s="12" t="str">
        <f>HYPERLINK("https://twitter.com/GWStrategyCoach","@GWStrategyCoach")</f>
        <v>@GWStrategyCoach</v>
      </c>
      <c r="C1993" s="1" t="s">
        <v>9194</v>
      </c>
      <c r="D1993" s="1" t="s">
        <v>9195</v>
      </c>
      <c r="E1993" s="12" t="str">
        <f>HYPERLINK("https://twitter.com/GWStrategyCoach/status/1217103700759666688","1217103700759666688")</f>
        <v>1217103700759666688</v>
      </c>
      <c r="F1993" s="1" t="s">
        <v>6981</v>
      </c>
      <c r="G1993" s="14"/>
      <c r="H1993" s="14"/>
      <c r="I1993" s="15">
        <v>0.0</v>
      </c>
      <c r="J1993" s="15">
        <v>0.0</v>
      </c>
      <c r="K1993" s="12" t="str">
        <f>HYPERLINK("http://twitter.com/download/android","Twitter for Android")</f>
        <v>Twitter for Android</v>
      </c>
      <c r="L1993" s="16">
        <v>41.0</v>
      </c>
      <c r="M1993" s="16">
        <v>55.0</v>
      </c>
      <c r="N1993" s="16">
        <v>2.0</v>
      </c>
      <c r="O1993" s="17"/>
      <c r="P1993" s="18">
        <v>41229.680659722224</v>
      </c>
      <c r="Q1993" s="1" t="s">
        <v>3406</v>
      </c>
      <c r="R1993" s="1" t="s">
        <v>9196</v>
      </c>
      <c r="S1993" s="13" t="s">
        <v>9197</v>
      </c>
      <c r="T1993" s="14"/>
      <c r="U1993" s="19" t="str">
        <f>HYPERLINK("https://pbs.twimg.com/profile_images/378800000529674451/f668326f3a145e7e6d89a592ef0e9ee6.jpeg","View")</f>
        <v>View</v>
      </c>
      <c r="V1993" s="14"/>
      <c r="W1993" s="14"/>
      <c r="X1993" s="14"/>
      <c r="Y1993" s="14"/>
      <c r="Z1993" s="14"/>
    </row>
    <row r="1994">
      <c r="A1994" s="11">
        <v>43844.42907407407</v>
      </c>
      <c r="B1994" s="12" t="str">
        <f>HYPERLINK("https://twitter.com/edgenies","@edgenies")</f>
        <v>@edgenies</v>
      </c>
      <c r="C1994" s="1" t="s">
        <v>9198</v>
      </c>
      <c r="D1994" s="1" t="s">
        <v>9199</v>
      </c>
      <c r="E1994" s="12" t="str">
        <f>HYPERLINK("https://twitter.com/edgenies/status/1217103543091507207","1217103543091507207")</f>
        <v>1217103543091507207</v>
      </c>
      <c r="F1994" s="13" t="s">
        <v>9200</v>
      </c>
      <c r="G1994" s="13" t="s">
        <v>9201</v>
      </c>
      <c r="H1994" s="14"/>
      <c r="I1994" s="15">
        <v>0.0</v>
      </c>
      <c r="J1994" s="15">
        <v>0.0</v>
      </c>
      <c r="K1994" s="12" t="str">
        <f>HYPERLINK("https://missinglettr.com","Missinglettr")</f>
        <v>Missinglettr</v>
      </c>
      <c r="L1994" s="16">
        <v>54.0</v>
      </c>
      <c r="M1994" s="16">
        <v>258.0</v>
      </c>
      <c r="N1994" s="16">
        <v>0.0</v>
      </c>
      <c r="O1994" s="17"/>
      <c r="P1994" s="18">
        <v>43672.86483796296</v>
      </c>
      <c r="Q1994" s="14"/>
      <c r="R1994" s="1" t="s">
        <v>9202</v>
      </c>
      <c r="S1994" s="13" t="s">
        <v>9203</v>
      </c>
      <c r="T1994" s="14"/>
      <c r="U1994" s="19" t="str">
        <f>HYPERLINK("https://pbs.twimg.com/profile_images/1205452280343826432/rVGLF7Jt.jpg","View")</f>
        <v>View</v>
      </c>
      <c r="V1994" s="14"/>
      <c r="W1994" s="14"/>
      <c r="X1994" s="14"/>
      <c r="Y1994" s="14"/>
      <c r="Z1994" s="14"/>
    </row>
    <row r="1995">
      <c r="A1995" s="11">
        <v>43844.42766203704</v>
      </c>
      <c r="B1995" s="12" t="str">
        <f>HYPERLINK("https://twitter.com/mytripsvelcom","@mytripsvelcom")</f>
        <v>@mytripsvelcom</v>
      </c>
      <c r="C1995" s="1" t="s">
        <v>9204</v>
      </c>
      <c r="D1995" s="1" t="s">
        <v>9205</v>
      </c>
      <c r="E1995" s="12" t="str">
        <f>HYPERLINK("https://twitter.com/mytripsvelcom/status/1217103033793949702","1217103033793949702")</f>
        <v>1217103033793949702</v>
      </c>
      <c r="F1995" s="13" t="s">
        <v>9206</v>
      </c>
      <c r="G1995" s="13" t="s">
        <v>9207</v>
      </c>
      <c r="H1995" s="14"/>
      <c r="I1995" s="15">
        <v>0.0</v>
      </c>
      <c r="J1995" s="15">
        <v>0.0</v>
      </c>
      <c r="K1995" s="12" t="str">
        <f>HYPERLINK("https://mobile.twitter.com","Twitter Web App")</f>
        <v>Twitter Web App</v>
      </c>
      <c r="L1995" s="16">
        <v>30.0</v>
      </c>
      <c r="M1995" s="16">
        <v>102.0</v>
      </c>
      <c r="N1995" s="16">
        <v>0.0</v>
      </c>
      <c r="O1995" s="17"/>
      <c r="P1995" s="18">
        <v>43793.58038194444</v>
      </c>
      <c r="Q1995" s="14"/>
      <c r="R1995" s="1" t="s">
        <v>9208</v>
      </c>
      <c r="S1995" s="13" t="s">
        <v>9209</v>
      </c>
      <c r="T1995" s="14"/>
      <c r="U1995" s="19" t="str">
        <f>HYPERLINK("https://pbs.twimg.com/profile_images/1198891252982435842/wFpr0Z9a.jpg","View")</f>
        <v>View</v>
      </c>
      <c r="V1995" s="14"/>
      <c r="W1995" s="14"/>
      <c r="X1995" s="14"/>
      <c r="Y1995" s="14"/>
      <c r="Z1995" s="14"/>
    </row>
    <row r="1996">
      <c r="A1996" s="11">
        <v>43844.42259259259</v>
      </c>
      <c r="B1996" s="12" t="str">
        <f>HYPERLINK("https://twitter.com/gosetmind","@gosetmind")</f>
        <v>@gosetmind</v>
      </c>
      <c r="C1996" s="1" t="s">
        <v>2827</v>
      </c>
      <c r="D1996" s="1" t="s">
        <v>9210</v>
      </c>
      <c r="E1996" s="12" t="str">
        <f>HYPERLINK("https://twitter.com/gosetmind/status/1217101194281345025","1217101194281345025")</f>
        <v>1217101194281345025</v>
      </c>
      <c r="F1996" s="13" t="s">
        <v>9211</v>
      </c>
      <c r="G1996" s="13" t="s">
        <v>9212</v>
      </c>
      <c r="H1996" s="14"/>
      <c r="I1996" s="15">
        <v>0.0</v>
      </c>
      <c r="J1996" s="15">
        <v>0.0</v>
      </c>
      <c r="K1996" s="12" t="str">
        <f>HYPERLINK("https://missinglettr.com","Missinglettr")</f>
        <v>Missinglettr</v>
      </c>
      <c r="L1996" s="16">
        <v>590.0</v>
      </c>
      <c r="M1996" s="16">
        <v>1107.0</v>
      </c>
      <c r="N1996" s="16">
        <v>0.0</v>
      </c>
      <c r="O1996" s="17"/>
      <c r="P1996" s="18">
        <v>43086.26144675926</v>
      </c>
      <c r="Q1996" s="1" t="s">
        <v>56</v>
      </c>
      <c r="R1996" s="1" t="s">
        <v>2831</v>
      </c>
      <c r="S1996" s="13" t="s">
        <v>2832</v>
      </c>
      <c r="T1996" s="14"/>
      <c r="U1996" s="19" t="str">
        <f>HYPERLINK("https://pbs.twimg.com/profile_images/956755654743502853/zj_FTJWS.jpg","View")</f>
        <v>View</v>
      </c>
      <c r="V1996" s="14"/>
      <c r="W1996" s="14"/>
      <c r="X1996" s="14"/>
      <c r="Y1996" s="14"/>
      <c r="Z1996" s="14"/>
    </row>
    <row r="1997">
      <c r="A1997" s="11">
        <v>43844.42181712963</v>
      </c>
      <c r="B1997" s="12" t="str">
        <f>HYPERLINK("https://twitter.com/braefootrunning","@braefootrunning")</f>
        <v>@braefootrunning</v>
      </c>
      <c r="C1997" s="1" t="s">
        <v>9213</v>
      </c>
      <c r="D1997" s="1" t="s">
        <v>9214</v>
      </c>
      <c r="E1997" s="12" t="str">
        <f>HYPERLINK("https://twitter.com/braefootrunning/status/1217100914512875521","1217100914512875521")</f>
        <v>1217100914512875521</v>
      </c>
      <c r="F1997" s="14"/>
      <c r="G1997" s="14"/>
      <c r="H1997" s="14"/>
      <c r="I1997" s="15">
        <v>0.0</v>
      </c>
      <c r="J1997" s="15">
        <v>0.0</v>
      </c>
      <c r="K1997" s="12" t="str">
        <f>HYPERLINK("http://twitter.com/download/iphone","Twitter for iPhone")</f>
        <v>Twitter for iPhone</v>
      </c>
      <c r="L1997" s="16">
        <v>287.0</v>
      </c>
      <c r="M1997" s="16">
        <v>454.0</v>
      </c>
      <c r="N1997" s="16">
        <v>5.0</v>
      </c>
      <c r="O1997" s="17"/>
      <c r="P1997" s="18">
        <v>40073.276087962964</v>
      </c>
      <c r="Q1997" s="1" t="s">
        <v>9215</v>
      </c>
      <c r="R1997" s="1" t="s">
        <v>9216</v>
      </c>
      <c r="S1997" s="13" t="s">
        <v>9217</v>
      </c>
      <c r="T1997" s="14"/>
      <c r="U1997" s="19" t="str">
        <f>HYPERLINK("https://pbs.twimg.com/profile_images/879836808816844800/fdD8p_In.jpg","View")</f>
        <v>View</v>
      </c>
      <c r="V1997" s="14"/>
      <c r="W1997" s="14"/>
      <c r="X1997" s="14"/>
      <c r="Y1997" s="14"/>
      <c r="Z1997" s="14"/>
    </row>
    <row r="1998">
      <c r="A1998" s="11">
        <v>43844.420636574076</v>
      </c>
      <c r="B1998" s="12" t="str">
        <f>HYPERLINK("https://twitter.com/eastspaceTweets","@eastspaceTweets")</f>
        <v>@eastspaceTweets</v>
      </c>
      <c r="C1998" s="1" t="s">
        <v>9218</v>
      </c>
      <c r="D1998" s="1" t="s">
        <v>9219</v>
      </c>
      <c r="E1998" s="12" t="str">
        <f>HYPERLINK("https://twitter.com/eastspaceTweets/status/1217100487809556481","1217100487809556481")</f>
        <v>1217100487809556481</v>
      </c>
      <c r="F1998" s="13" t="s">
        <v>9220</v>
      </c>
      <c r="G1998" s="13" t="s">
        <v>9221</v>
      </c>
      <c r="H1998" s="14"/>
      <c r="I1998" s="15">
        <v>1.0</v>
      </c>
      <c r="J1998" s="15">
        <v>2.0</v>
      </c>
      <c r="K1998" s="12" t="str">
        <f>HYPERLINK("https://mobile.twitter.com","Twitter Web App")</f>
        <v>Twitter Web App</v>
      </c>
      <c r="L1998" s="16">
        <v>305.0</v>
      </c>
      <c r="M1998" s="16">
        <v>483.0</v>
      </c>
      <c r="N1998" s="16">
        <v>6.0</v>
      </c>
      <c r="O1998" s="17"/>
      <c r="P1998" s="18">
        <v>40738.23553240741</v>
      </c>
      <c r="Q1998" s="1" t="s">
        <v>9222</v>
      </c>
      <c r="R1998" s="1" t="s">
        <v>9223</v>
      </c>
      <c r="S1998" s="13" t="s">
        <v>9224</v>
      </c>
      <c r="T1998" s="14"/>
      <c r="U1998" s="19" t="str">
        <f>HYPERLINK("https://pbs.twimg.com/profile_images/1002466991645642752/ZS0BH0y7.jpg","View")</f>
        <v>View</v>
      </c>
      <c r="V1998" s="14"/>
      <c r="W1998" s="14"/>
      <c r="X1998" s="14"/>
      <c r="Y1998" s="14"/>
      <c r="Z1998" s="14"/>
    </row>
    <row r="1999">
      <c r="A1999" s="11">
        <v>43844.41752314815</v>
      </c>
      <c r="B1999" s="12" t="str">
        <f>HYPERLINK("https://twitter.com/Wellness4Free","@Wellness4Free")</f>
        <v>@Wellness4Free</v>
      </c>
      <c r="C1999" s="13" t="s">
        <v>9225</v>
      </c>
      <c r="D1999" s="1" t="s">
        <v>9226</v>
      </c>
      <c r="E1999" s="12" t="str">
        <f>HYPERLINK("https://twitter.com/Wellness4Free/status/1217099359659220993","1217099359659220993")</f>
        <v>1217099359659220993</v>
      </c>
      <c r="F1999" s="14"/>
      <c r="G1999" s="13" t="s">
        <v>9227</v>
      </c>
      <c r="H1999" s="14"/>
      <c r="I1999" s="15">
        <v>0.0</v>
      </c>
      <c r="J1999" s="15">
        <v>0.0</v>
      </c>
      <c r="K1999" s="12" t="str">
        <f>HYPERLINK("https://buffer.com","Buffer")</f>
        <v>Buffer</v>
      </c>
      <c r="L1999" s="16">
        <v>9.0</v>
      </c>
      <c r="M1999" s="16">
        <v>2.0</v>
      </c>
      <c r="N1999" s="16">
        <v>1.0</v>
      </c>
      <c r="O1999" s="17"/>
      <c r="P1999" s="18">
        <v>43438.3266087963</v>
      </c>
      <c r="Q1999" s="1" t="s">
        <v>9228</v>
      </c>
      <c r="R1999" s="1" t="s">
        <v>9229</v>
      </c>
      <c r="S1999" s="13" t="s">
        <v>9230</v>
      </c>
      <c r="T1999" s="14"/>
      <c r="U1999" s="19" t="str">
        <f>HYPERLINK("https://pbs.twimg.com/profile_images/1154266650088054784/Rx-9-eQV.jpg","View")</f>
        <v>View</v>
      </c>
      <c r="V1999" s="14"/>
      <c r="W1999" s="14"/>
      <c r="X1999" s="14"/>
      <c r="Y1999" s="14"/>
      <c r="Z1999" s="14"/>
    </row>
    <row r="2000">
      <c r="A2000" s="11">
        <v>43844.41728009259</v>
      </c>
      <c r="B2000" s="12" t="str">
        <f>HYPERLINK("https://twitter.com/TeganTrovato","@TeganTrovato")</f>
        <v>@TeganTrovato</v>
      </c>
      <c r="C2000" s="1" t="s">
        <v>9231</v>
      </c>
      <c r="D2000" s="1" t="s">
        <v>9232</v>
      </c>
      <c r="E2000" s="12" t="str">
        <f>HYPERLINK("https://twitter.com/TeganTrovato/status/1217099270823825408","1217099270823825408")</f>
        <v>1217099270823825408</v>
      </c>
      <c r="F2000" s="13" t="s">
        <v>9233</v>
      </c>
      <c r="G2000" s="14"/>
      <c r="H2000" s="14"/>
      <c r="I2000" s="15">
        <v>0.0</v>
      </c>
      <c r="J2000" s="15">
        <v>0.0</v>
      </c>
      <c r="K2000" s="12" t="str">
        <f>HYPERLINK("https://smarterqueue.com","SmarterQueue")</f>
        <v>SmarterQueue</v>
      </c>
      <c r="L2000" s="16">
        <v>1039.0</v>
      </c>
      <c r="M2000" s="16">
        <v>661.0</v>
      </c>
      <c r="N2000" s="16">
        <v>44.0</v>
      </c>
      <c r="O2000" s="17"/>
      <c r="P2000" s="18">
        <v>40739.03482638889</v>
      </c>
      <c r="Q2000" s="1" t="s">
        <v>56</v>
      </c>
      <c r="R2000" s="1" t="s">
        <v>9234</v>
      </c>
      <c r="S2000" s="13" t="s">
        <v>9235</v>
      </c>
      <c r="T2000" s="14"/>
      <c r="U2000" s="19" t="str">
        <f>HYPERLINK("https://pbs.twimg.com/profile_images/917828504321802240/TowMyhAV.jpg","View")</f>
        <v>View</v>
      </c>
      <c r="V2000" s="14"/>
      <c r="W2000" s="14"/>
      <c r="X2000" s="14"/>
      <c r="Y2000" s="14"/>
      <c r="Z2000" s="14"/>
    </row>
    <row r="2001">
      <c r="A2001" s="11">
        <v>43844.41716435185</v>
      </c>
      <c r="B2001" s="12" t="str">
        <f>HYPERLINK("https://twitter.com/livewellness360","@livewellness360")</f>
        <v>@livewellness360</v>
      </c>
      <c r="C2001" s="1" t="s">
        <v>9236</v>
      </c>
      <c r="D2001" s="1" t="s">
        <v>9226</v>
      </c>
      <c r="E2001" s="12" t="str">
        <f>HYPERLINK("https://twitter.com/livewellness360/status/1217099230743093252","1217099230743093252")</f>
        <v>1217099230743093252</v>
      </c>
      <c r="F2001" s="14"/>
      <c r="G2001" s="13" t="s">
        <v>9237</v>
      </c>
      <c r="H2001" s="14"/>
      <c r="I2001" s="15">
        <v>0.0</v>
      </c>
      <c r="J2001" s="15">
        <v>0.0</v>
      </c>
      <c r="K2001" s="12" t="str">
        <f t="shared" ref="K2001:K2002" si="205">HYPERLINK("https://buffer.com","Buffer")</f>
        <v>Buffer</v>
      </c>
      <c r="L2001" s="16">
        <v>32.0</v>
      </c>
      <c r="M2001" s="16">
        <v>44.0</v>
      </c>
      <c r="N2001" s="16">
        <v>3.0</v>
      </c>
      <c r="O2001" s="17"/>
      <c r="P2001" s="18">
        <v>41273.16006944444</v>
      </c>
      <c r="Q2001" s="14"/>
      <c r="R2001" s="1" t="s">
        <v>9229</v>
      </c>
      <c r="S2001" s="13" t="s">
        <v>9238</v>
      </c>
      <c r="T2001" s="14"/>
      <c r="U2001" s="19" t="str">
        <f>HYPERLINK("https://pbs.twimg.com/profile_images/1102987510781603841/rHJD2wd6.png","View")</f>
        <v>View</v>
      </c>
      <c r="V2001" s="14"/>
      <c r="W2001" s="14"/>
      <c r="X2001" s="14"/>
      <c r="Y2001" s="14"/>
      <c r="Z2001" s="14"/>
    </row>
    <row r="2002">
      <c r="A2002" s="11">
        <v>43844.417083333334</v>
      </c>
      <c r="B2002" s="12" t="str">
        <f>HYPERLINK("https://twitter.com/TipDepression","@TipDepression")</f>
        <v>@TipDepression</v>
      </c>
      <c r="C2002" s="1" t="s">
        <v>9239</v>
      </c>
      <c r="D2002" s="1" t="s">
        <v>9240</v>
      </c>
      <c r="E2002" s="12" t="str">
        <f>HYPERLINK("https://twitter.com/TipDepression/status/1217099200309141504","1217099200309141504")</f>
        <v>1217099200309141504</v>
      </c>
      <c r="F2002" s="13" t="s">
        <v>9241</v>
      </c>
      <c r="G2002" s="13" t="s">
        <v>9242</v>
      </c>
      <c r="H2002" s="14"/>
      <c r="I2002" s="15">
        <v>1.0</v>
      </c>
      <c r="J2002" s="15">
        <v>1.0</v>
      </c>
      <c r="K2002" s="12" t="str">
        <f t="shared" si="205"/>
        <v>Buffer</v>
      </c>
      <c r="L2002" s="16">
        <v>261.0</v>
      </c>
      <c r="M2002" s="16">
        <v>294.0</v>
      </c>
      <c r="N2002" s="16">
        <v>10.0</v>
      </c>
      <c r="O2002" s="17"/>
      <c r="P2002" s="18">
        <v>41655.61824074074</v>
      </c>
      <c r="Q2002" s="1" t="s">
        <v>9243</v>
      </c>
      <c r="R2002" s="1" t="s">
        <v>9244</v>
      </c>
      <c r="S2002" s="14"/>
      <c r="T2002" s="14"/>
      <c r="U2002" s="19" t="str">
        <f>HYPERLINK("https://pbs.twimg.com/profile_images/565152451699826688/qHXAGdgQ.jpeg","View")</f>
        <v>View</v>
      </c>
      <c r="V2002" s="14"/>
      <c r="W2002" s="14"/>
      <c r="X2002" s="14"/>
      <c r="Y2002" s="14"/>
      <c r="Z2002" s="14"/>
    </row>
    <row r="2003">
      <c r="A2003" s="11">
        <v>43844.416238425925</v>
      </c>
      <c r="B2003" s="12" t="str">
        <f>HYPERLINK("https://twitter.com/jamiesus","@jamiesus")</f>
        <v>@jamiesus</v>
      </c>
      <c r="C2003" s="1" t="s">
        <v>9245</v>
      </c>
      <c r="D2003" s="1" t="s">
        <v>9246</v>
      </c>
      <c r="E2003" s="12" t="str">
        <f>HYPERLINK("https://twitter.com/jamiesus/status/1217098895181975552","1217098895181975552")</f>
        <v>1217098895181975552</v>
      </c>
      <c r="F2003" s="13" t="s">
        <v>9247</v>
      </c>
      <c r="G2003" s="13" t="s">
        <v>9248</v>
      </c>
      <c r="H2003" s="14"/>
      <c r="I2003" s="15">
        <v>0.0</v>
      </c>
      <c r="J2003" s="15">
        <v>1.0</v>
      </c>
      <c r="K2003" s="12" t="str">
        <f>HYPERLINK("https://mobile.twitter.com","Twitter Web App")</f>
        <v>Twitter Web App</v>
      </c>
      <c r="L2003" s="16">
        <v>1918.0</v>
      </c>
      <c r="M2003" s="16">
        <v>2843.0</v>
      </c>
      <c r="N2003" s="16">
        <v>53.0</v>
      </c>
      <c r="O2003" s="17"/>
      <c r="P2003" s="18">
        <v>40619.912939814814</v>
      </c>
      <c r="Q2003" s="1" t="s">
        <v>9249</v>
      </c>
      <c r="R2003" s="1" t="s">
        <v>9250</v>
      </c>
      <c r="S2003" s="13" t="s">
        <v>9251</v>
      </c>
      <c r="T2003" s="14"/>
      <c r="U2003" s="19" t="str">
        <f>HYPERLINK("https://pbs.twimg.com/profile_images/1175921995789275137/YNz9ectp.jpg","View")</f>
        <v>View</v>
      </c>
      <c r="V2003" s="14"/>
      <c r="W2003" s="14"/>
      <c r="X2003" s="14"/>
      <c r="Y2003" s="14"/>
      <c r="Z2003" s="14"/>
    </row>
    <row r="2004">
      <c r="A2004" s="11">
        <v>43844.41608796296</v>
      </c>
      <c r="B2004" s="12" t="str">
        <f>HYPERLINK("https://twitter.com/HealthTree08037","@HealthTree08037")</f>
        <v>@HealthTree08037</v>
      </c>
      <c r="C2004" s="1" t="s">
        <v>9252</v>
      </c>
      <c r="D2004" s="1" t="s">
        <v>9253</v>
      </c>
      <c r="E2004" s="12" t="str">
        <f>HYPERLINK("https://twitter.com/HealthTree08037/status/1217098838613295104","1217098838613295104")</f>
        <v>1217098838613295104</v>
      </c>
      <c r="F2004" s="13" t="s">
        <v>9254</v>
      </c>
      <c r="G2004" s="14"/>
      <c r="H2004" s="14"/>
      <c r="I2004" s="15">
        <v>0.0</v>
      </c>
      <c r="J2004" s="15">
        <v>0.0</v>
      </c>
      <c r="K2004" s="12" t="str">
        <f>HYPERLINK("http://instagram.com","Instagram")</f>
        <v>Instagram</v>
      </c>
      <c r="L2004" s="16">
        <v>97.0</v>
      </c>
      <c r="M2004" s="16">
        <v>87.0</v>
      </c>
      <c r="N2004" s="16">
        <v>2.0</v>
      </c>
      <c r="O2004" s="17"/>
      <c r="P2004" s="18">
        <v>42003.643425925926</v>
      </c>
      <c r="Q2004" s="1" t="s">
        <v>9255</v>
      </c>
      <c r="R2004" s="1" t="s">
        <v>9256</v>
      </c>
      <c r="S2004" s="13" t="s">
        <v>9257</v>
      </c>
      <c r="T2004" s="14"/>
      <c r="U2004" s="19" t="str">
        <f>HYPERLINK("https://pbs.twimg.com/profile_images/550025419370418177/l49Mvahb.jpeg","View")</f>
        <v>View</v>
      </c>
      <c r="V2004" s="14"/>
      <c r="W2004" s="14"/>
      <c r="X2004" s="14"/>
      <c r="Y2004" s="14"/>
      <c r="Z2004" s="14"/>
    </row>
    <row r="2005">
      <c r="A2005" s="11">
        <v>43844.415300925924</v>
      </c>
      <c r="B2005" s="12" t="str">
        <f>HYPERLINK("https://twitter.com/scottwintrip","@scottwintrip")</f>
        <v>@scottwintrip</v>
      </c>
      <c r="C2005" s="1" t="s">
        <v>9258</v>
      </c>
      <c r="D2005" s="1" t="s">
        <v>6331</v>
      </c>
      <c r="E2005" s="12" t="str">
        <f>HYPERLINK("https://twitter.com/scottwintrip/status/1217098552029196289","1217098552029196289")</f>
        <v>1217098552029196289</v>
      </c>
      <c r="F2005" s="13" t="s">
        <v>6809</v>
      </c>
      <c r="G2005" s="13" t="s">
        <v>9259</v>
      </c>
      <c r="H2005" s="14"/>
      <c r="I2005" s="15">
        <v>0.0</v>
      </c>
      <c r="J2005" s="15">
        <v>0.0</v>
      </c>
      <c r="K2005" s="12" t="str">
        <f>HYPERLINK("https://buffer.com","Buffer")</f>
        <v>Buffer</v>
      </c>
      <c r="L2005" s="16">
        <v>2102.0</v>
      </c>
      <c r="M2005" s="16">
        <v>1396.0</v>
      </c>
      <c r="N2005" s="16">
        <v>79.0</v>
      </c>
      <c r="O2005" s="17"/>
      <c r="P2005" s="18">
        <v>40137.456921296296</v>
      </c>
      <c r="Q2005" s="1" t="s">
        <v>9260</v>
      </c>
      <c r="R2005" s="1" t="s">
        <v>9261</v>
      </c>
      <c r="S2005" s="13" t="s">
        <v>9262</v>
      </c>
      <c r="T2005" s="14"/>
      <c r="U2005" s="19" t="str">
        <f>HYPERLINK("https://pbs.twimg.com/profile_images/798641324455034880/e3DKjgIP.jpg","View")</f>
        <v>View</v>
      </c>
      <c r="V2005" s="14"/>
      <c r="W2005" s="14"/>
      <c r="X2005" s="14"/>
      <c r="Y2005" s="14"/>
      <c r="Z2005" s="14"/>
    </row>
    <row r="2006">
      <c r="A2006" s="11">
        <v>43844.415</v>
      </c>
      <c r="B2006" s="12" t="str">
        <f>HYPERLINK("https://twitter.com/mareaah_h","@mareaah_h")</f>
        <v>@mareaah_h</v>
      </c>
      <c r="C2006" s="1" t="s">
        <v>9263</v>
      </c>
      <c r="D2006" s="1" t="s">
        <v>9264</v>
      </c>
      <c r="E2006" s="12" t="str">
        <f>HYPERLINK("https://twitter.com/mareaah_h/status/1217098445313327104","1217098445313327104")</f>
        <v>1217098445313327104</v>
      </c>
      <c r="F2006" s="14"/>
      <c r="G2006" s="13" t="s">
        <v>9265</v>
      </c>
      <c r="H2006" s="14"/>
      <c r="I2006" s="15">
        <v>0.0</v>
      </c>
      <c r="J2006" s="15">
        <v>3.0</v>
      </c>
      <c r="K2006" s="12" t="str">
        <f>HYPERLINK("https://mobile.twitter.com","Twitter Web App")</f>
        <v>Twitter Web App</v>
      </c>
      <c r="L2006" s="16">
        <v>585.0</v>
      </c>
      <c r="M2006" s="16">
        <v>75.0</v>
      </c>
      <c r="N2006" s="16">
        <v>5.0</v>
      </c>
      <c r="O2006" s="17"/>
      <c r="P2006" s="18">
        <v>40839.1559375</v>
      </c>
      <c r="Q2006" s="1" t="s">
        <v>1472</v>
      </c>
      <c r="R2006" s="1" t="s">
        <v>9266</v>
      </c>
      <c r="S2006" s="13" t="s">
        <v>9267</v>
      </c>
      <c r="T2006" s="14"/>
      <c r="U2006" s="19" t="str">
        <f>HYPERLINK("https://pbs.twimg.com/profile_images/1154406664918855681/ehhLGG3S.jpg","View")</f>
        <v>View</v>
      </c>
      <c r="V2006" s="14"/>
      <c r="W2006" s="14"/>
      <c r="X2006" s="14"/>
      <c r="Y2006" s="14"/>
      <c r="Z2006" s="14"/>
    </row>
    <row r="2007">
      <c r="A2007" s="11">
        <v>43844.41407407407</v>
      </c>
      <c r="B2007" s="12" t="str">
        <f>HYPERLINK("https://twitter.com/SuccessNeurons","@SuccessNeurons")</f>
        <v>@SuccessNeurons</v>
      </c>
      <c r="C2007" s="1" t="s">
        <v>9268</v>
      </c>
      <c r="D2007" s="1" t="s">
        <v>9269</v>
      </c>
      <c r="E2007" s="12" t="str">
        <f>HYPERLINK("https://twitter.com/SuccessNeurons/status/1217098109081149442","1217098109081149442")</f>
        <v>1217098109081149442</v>
      </c>
      <c r="F2007" s="13" t="s">
        <v>9270</v>
      </c>
      <c r="G2007" s="14"/>
      <c r="H2007" s="14"/>
      <c r="I2007" s="15">
        <v>0.0</v>
      </c>
      <c r="J2007" s="15">
        <v>0.0</v>
      </c>
      <c r="K2007" s="12" t="str">
        <f>HYPERLINK("http://twitter.com","Twitter Web Client")</f>
        <v>Twitter Web Client</v>
      </c>
      <c r="L2007" s="16">
        <v>960.0</v>
      </c>
      <c r="M2007" s="16">
        <v>756.0</v>
      </c>
      <c r="N2007" s="16">
        <v>84.0</v>
      </c>
      <c r="O2007" s="17"/>
      <c r="P2007" s="18">
        <v>42142.575115740736</v>
      </c>
      <c r="Q2007" s="1" t="s">
        <v>1472</v>
      </c>
      <c r="R2007" s="1" t="s">
        <v>9271</v>
      </c>
      <c r="S2007" s="14"/>
      <c r="T2007" s="14"/>
      <c r="U2007" s="19" t="str">
        <f>HYPERLINK("https://pbs.twimg.com/profile_images/735836370195845120/Ii6PAXNx.jpg","View")</f>
        <v>View</v>
      </c>
      <c r="V2007" s="14"/>
      <c r="W2007" s="14"/>
      <c r="X2007" s="14"/>
      <c r="Y2007" s="14"/>
      <c r="Z2007" s="14"/>
    </row>
    <row r="2008">
      <c r="A2008" s="11">
        <v>43844.41346064815</v>
      </c>
      <c r="B2008" s="12" t="str">
        <f>HYPERLINK("https://twitter.com/ScentFill","@ScentFill")</f>
        <v>@ScentFill</v>
      </c>
      <c r="C2008" s="1" t="s">
        <v>960</v>
      </c>
      <c r="D2008" s="1" t="s">
        <v>9272</v>
      </c>
      <c r="E2008" s="12" t="str">
        <f>HYPERLINK("https://twitter.com/ScentFill/status/1217097887710109699","1217097887710109699")</f>
        <v>1217097887710109699</v>
      </c>
      <c r="F2008" s="13" t="s">
        <v>9273</v>
      </c>
      <c r="G2008" s="13" t="s">
        <v>9274</v>
      </c>
      <c r="H2008" s="14"/>
      <c r="I2008" s="15">
        <v>0.0</v>
      </c>
      <c r="J2008" s="15">
        <v>1.0</v>
      </c>
      <c r="K2008" s="12" t="str">
        <f>HYPERLINK("https://www.socialoomph.com","SocialOomph")</f>
        <v>SocialOomph</v>
      </c>
      <c r="L2008" s="16">
        <v>1863.0</v>
      </c>
      <c r="M2008" s="16">
        <v>2105.0</v>
      </c>
      <c r="N2008" s="16">
        <v>25.0</v>
      </c>
      <c r="O2008" s="17"/>
      <c r="P2008" s="18">
        <v>42692.65809027778</v>
      </c>
      <c r="Q2008" s="14"/>
      <c r="R2008" s="1" t="s">
        <v>964</v>
      </c>
      <c r="S2008" s="13" t="s">
        <v>965</v>
      </c>
      <c r="T2008" s="14"/>
      <c r="U2008" s="19" t="str">
        <f>HYPERLINK("https://pbs.twimg.com/profile_images/799717698556956672/mdITl9zd.jpg","View")</f>
        <v>View</v>
      </c>
      <c r="V2008" s="14"/>
      <c r="W2008" s="14"/>
      <c r="X2008" s="14"/>
      <c r="Y2008" s="14"/>
      <c r="Z2008" s="14"/>
    </row>
    <row r="2009">
      <c r="A2009" s="11">
        <v>43844.41270833333</v>
      </c>
      <c r="B2009" s="12" t="str">
        <f>HYPERLINK("https://twitter.com/01dolphins","@01dolphins")</f>
        <v>@01dolphins</v>
      </c>
      <c r="C2009" s="1" t="s">
        <v>9275</v>
      </c>
      <c r="D2009" s="1" t="s">
        <v>193</v>
      </c>
      <c r="E2009" s="12" t="str">
        <f>HYPERLINK("https://twitter.com/01dolphins/status/1217097612538667008","1217097612538667008")</f>
        <v>1217097612538667008</v>
      </c>
      <c r="F2009" s="13" t="s">
        <v>9276</v>
      </c>
      <c r="G2009" s="14"/>
      <c r="H2009" s="14"/>
      <c r="I2009" s="15">
        <v>0.0</v>
      </c>
      <c r="J2009" s="15">
        <v>0.0</v>
      </c>
      <c r="K2009" s="12" t="str">
        <f>HYPERLINK("http://twitter.com/#!/download/ipad","Twitter for iPad")</f>
        <v>Twitter for iPad</v>
      </c>
      <c r="L2009" s="16">
        <v>162.0</v>
      </c>
      <c r="M2009" s="16">
        <v>1564.0</v>
      </c>
      <c r="N2009" s="16">
        <v>8.0</v>
      </c>
      <c r="O2009" s="17"/>
      <c r="P2009" s="18">
        <v>41451.54709490741</v>
      </c>
      <c r="Q2009" s="1" t="s">
        <v>4674</v>
      </c>
      <c r="R2009" s="1" t="s">
        <v>9277</v>
      </c>
      <c r="S2009" s="14"/>
      <c r="T2009" s="14"/>
      <c r="U2009" s="19" t="str">
        <f>HYPERLINK("https://pbs.twimg.com/profile_images/867098905309323264/yBD1e_Yp.jpg","View")</f>
        <v>View</v>
      </c>
      <c r="V2009" s="14"/>
      <c r="W2009" s="14"/>
      <c r="X2009" s="14"/>
      <c r="Y2009" s="14"/>
      <c r="Z2009" s="14"/>
    </row>
    <row r="2010">
      <c r="A2010" s="11">
        <v>43844.41113425926</v>
      </c>
      <c r="B2010" s="12" t="str">
        <f>HYPERLINK("https://twitter.com/Vulsini","@Vulsini")</f>
        <v>@Vulsini</v>
      </c>
      <c r="C2010" s="1" t="s">
        <v>9278</v>
      </c>
      <c r="D2010" s="1" t="s">
        <v>9279</v>
      </c>
      <c r="E2010" s="12" t="str">
        <f>HYPERLINK("https://twitter.com/Vulsini/status/1217097043379982336","1217097043379982336")</f>
        <v>1217097043379982336</v>
      </c>
      <c r="F2010" s="13" t="s">
        <v>9280</v>
      </c>
      <c r="G2010" s="13" t="s">
        <v>9281</v>
      </c>
      <c r="H2010" s="14"/>
      <c r="I2010" s="15">
        <v>0.0</v>
      </c>
      <c r="J2010" s="15">
        <v>0.0</v>
      </c>
      <c r="K2010" s="12" t="str">
        <f>HYPERLINK("http://meetedgar.com","MeetEdgar")</f>
        <v>MeetEdgar</v>
      </c>
      <c r="L2010" s="16">
        <v>548.0</v>
      </c>
      <c r="M2010" s="16">
        <v>265.0</v>
      </c>
      <c r="N2010" s="16">
        <v>7.0</v>
      </c>
      <c r="O2010" s="17"/>
      <c r="P2010" s="18">
        <v>40578.32278935185</v>
      </c>
      <c r="Q2010" s="1" t="s">
        <v>268</v>
      </c>
      <c r="R2010" s="1" t="s">
        <v>9282</v>
      </c>
      <c r="S2010" s="13" t="s">
        <v>9283</v>
      </c>
      <c r="T2010" s="14"/>
      <c r="U2010" s="19" t="str">
        <f>HYPERLINK("https://pbs.twimg.com/profile_images/977292126399721472/LBlIkNKW.jpg","View")</f>
        <v>View</v>
      </c>
      <c r="V2010" s="14"/>
      <c r="W2010" s="14"/>
      <c r="X2010" s="14"/>
      <c r="Y2010" s="14"/>
      <c r="Z2010" s="14"/>
    </row>
    <row r="2011">
      <c r="A2011" s="11">
        <v>43844.411099537036</v>
      </c>
      <c r="B2011" s="12" t="str">
        <f>HYPERLINK("https://twitter.com/mihirm123","@mihirm123")</f>
        <v>@mihirm123</v>
      </c>
      <c r="C2011" s="1" t="s">
        <v>9284</v>
      </c>
      <c r="D2011" s="1" t="s">
        <v>9285</v>
      </c>
      <c r="E2011" s="12" t="str">
        <f>HYPERLINK("https://twitter.com/mihirm123/status/1217097031870664705","1217097031870664705")</f>
        <v>1217097031870664705</v>
      </c>
      <c r="F2011" s="14"/>
      <c r="G2011" s="14"/>
      <c r="H2011" s="14"/>
      <c r="I2011" s="15">
        <v>0.0</v>
      </c>
      <c r="J2011" s="15">
        <v>0.0</v>
      </c>
      <c r="K2011" s="12" t="str">
        <f>HYPERLINK("http://twitter.com/download/android","Twitter for Android")</f>
        <v>Twitter for Android</v>
      </c>
      <c r="L2011" s="16">
        <v>530.0</v>
      </c>
      <c r="M2011" s="16">
        <v>161.0</v>
      </c>
      <c r="N2011" s="16">
        <v>7.0</v>
      </c>
      <c r="O2011" s="17"/>
      <c r="P2011" s="18">
        <v>40358.16033564815</v>
      </c>
      <c r="Q2011" s="1" t="s">
        <v>9286</v>
      </c>
      <c r="R2011" s="1" t="s">
        <v>9287</v>
      </c>
      <c r="S2011" s="14"/>
      <c r="T2011" s="14"/>
      <c r="U2011" s="19" t="str">
        <f>HYPERLINK("https://pbs.twimg.com/profile_images/1181997515983355904/ohxSXBcw.jpg","View")</f>
        <v>View</v>
      </c>
      <c r="V2011" s="14"/>
      <c r="W2011" s="14"/>
      <c r="X2011" s="14"/>
      <c r="Y2011" s="14"/>
      <c r="Z2011" s="14"/>
    </row>
    <row r="2012">
      <c r="A2012" s="11">
        <v>43844.40851851852</v>
      </c>
      <c r="B2012" s="12" t="str">
        <f>HYPERLINK("https://twitter.com/MikeGregConsult","@MikeGregConsult")</f>
        <v>@MikeGregConsult</v>
      </c>
      <c r="C2012" s="1" t="s">
        <v>9288</v>
      </c>
      <c r="D2012" s="1" t="s">
        <v>9289</v>
      </c>
      <c r="E2012" s="12" t="str">
        <f>HYPERLINK("https://twitter.com/MikeGregConsult/status/1217096096696193024","1217096096696193024")</f>
        <v>1217096096696193024</v>
      </c>
      <c r="F2012" s="13" t="s">
        <v>9290</v>
      </c>
      <c r="G2012" s="14"/>
      <c r="H2012" s="14"/>
      <c r="I2012" s="15">
        <v>0.0</v>
      </c>
      <c r="J2012" s="15">
        <v>0.0</v>
      </c>
      <c r="K2012" s="12" t="str">
        <f>HYPERLINK("http://twitter.com","Twitter Web Client")</f>
        <v>Twitter Web Client</v>
      </c>
      <c r="L2012" s="16">
        <v>199.0</v>
      </c>
      <c r="M2012" s="16">
        <v>171.0</v>
      </c>
      <c r="N2012" s="16">
        <v>3.0</v>
      </c>
      <c r="O2012" s="17"/>
      <c r="P2012" s="18">
        <v>40823.34761574074</v>
      </c>
      <c r="Q2012" s="1" t="s">
        <v>9291</v>
      </c>
      <c r="R2012" s="1" t="s">
        <v>9292</v>
      </c>
      <c r="S2012" s="13" t="s">
        <v>9293</v>
      </c>
      <c r="T2012" s="14"/>
      <c r="U2012" s="19" t="str">
        <f>HYPERLINK("https://pbs.twimg.com/profile_images/468053533229469697/K1H1T2kN.jpeg","View")</f>
        <v>View</v>
      </c>
      <c r="V2012" s="14"/>
      <c r="W2012" s="14"/>
      <c r="X2012" s="14"/>
      <c r="Y2012" s="14"/>
      <c r="Z2012" s="14"/>
    </row>
    <row r="2013">
      <c r="A2013" s="11">
        <v>43844.40611111111</v>
      </c>
      <c r="B2013" s="12" t="str">
        <f>HYPERLINK("https://twitter.com/DiCoach","@DiCoach")</f>
        <v>@DiCoach</v>
      </c>
      <c r="C2013" s="1" t="s">
        <v>9294</v>
      </c>
      <c r="D2013" s="1" t="s">
        <v>9295</v>
      </c>
      <c r="E2013" s="12" t="str">
        <f>HYPERLINK("https://twitter.com/DiCoach/status/1217095222838136832","1217095222838136832")</f>
        <v>1217095222838136832</v>
      </c>
      <c r="F2013" s="13" t="s">
        <v>9296</v>
      </c>
      <c r="G2013" s="13" t="s">
        <v>9297</v>
      </c>
      <c r="H2013" s="14"/>
      <c r="I2013" s="15">
        <v>0.0</v>
      </c>
      <c r="J2013" s="15">
        <v>5.0</v>
      </c>
      <c r="K2013" s="12" t="str">
        <f>HYPERLINK("https://mobile.twitter.com","Twitter Web App")</f>
        <v>Twitter Web App</v>
      </c>
      <c r="L2013" s="16">
        <v>14268.0</v>
      </c>
      <c r="M2013" s="16">
        <v>12181.0</v>
      </c>
      <c r="N2013" s="16">
        <v>461.0</v>
      </c>
      <c r="O2013" s="17"/>
      <c r="P2013" s="18">
        <v>39860.812743055554</v>
      </c>
      <c r="Q2013" s="1" t="s">
        <v>4226</v>
      </c>
      <c r="R2013" s="1" t="s">
        <v>9298</v>
      </c>
      <c r="S2013" s="13" t="s">
        <v>9299</v>
      </c>
      <c r="T2013" s="14"/>
      <c r="U2013" s="19" t="str">
        <f>HYPERLINK("https://pbs.twimg.com/profile_images/1015671295089004545/o_7g-UTg.jpg","View")</f>
        <v>View</v>
      </c>
      <c r="V2013" s="14"/>
      <c r="W2013" s="14"/>
      <c r="X2013" s="14"/>
      <c r="Y2013" s="14"/>
      <c r="Z2013" s="14"/>
    </row>
    <row r="2014">
      <c r="A2014" s="11">
        <v>43844.40354166667</v>
      </c>
      <c r="B2014" s="12" t="str">
        <f>HYPERLINK("https://twitter.com/Ohioman2010","@Ohioman2010")</f>
        <v>@Ohioman2010</v>
      </c>
      <c r="C2014" s="1" t="s">
        <v>192</v>
      </c>
      <c r="D2014" s="1" t="s">
        <v>193</v>
      </c>
      <c r="E2014" s="12" t="str">
        <f>HYPERLINK("https://twitter.com/Ohioman2010/status/1217094294416158721","1217094294416158721")</f>
        <v>1217094294416158721</v>
      </c>
      <c r="F2014" s="13" t="s">
        <v>194</v>
      </c>
      <c r="G2014" s="14"/>
      <c r="H2014" s="14"/>
      <c r="I2014" s="15">
        <v>0.0</v>
      </c>
      <c r="J2014" s="15">
        <v>0.0</v>
      </c>
      <c r="K2014" s="12" t="str">
        <f>HYPERLINK("http://twitter.com","Twitter Web Client")</f>
        <v>Twitter Web Client</v>
      </c>
      <c r="L2014" s="16">
        <v>2367.0</v>
      </c>
      <c r="M2014" s="16">
        <v>1482.0</v>
      </c>
      <c r="N2014" s="16">
        <v>231.0</v>
      </c>
      <c r="O2014" s="17"/>
      <c r="P2014" s="18">
        <v>40435.43912037037</v>
      </c>
      <c r="Q2014" s="1" t="s">
        <v>195</v>
      </c>
      <c r="R2014" s="1" t="s">
        <v>196</v>
      </c>
      <c r="S2014" s="13" t="s">
        <v>197</v>
      </c>
      <c r="T2014" s="14"/>
      <c r="U2014" s="19" t="str">
        <f>HYPERLINK("https://pbs.twimg.com/profile_images/1095129599170748416/GfYj0DEO.jpg","View")</f>
        <v>View</v>
      </c>
      <c r="V2014" s="14"/>
      <c r="W2014" s="14"/>
      <c r="X2014" s="14"/>
      <c r="Y2014" s="14"/>
      <c r="Z2014" s="14"/>
    </row>
    <row r="2015">
      <c r="A2015" s="11">
        <v>43844.403229166666</v>
      </c>
      <c r="B2015" s="12" t="str">
        <f>HYPERLINK("https://twitter.com/JCHealthFitPro","@JCHealthFitPro")</f>
        <v>@JCHealthFitPro</v>
      </c>
      <c r="C2015" s="1" t="s">
        <v>9300</v>
      </c>
      <c r="D2015" s="1" t="s">
        <v>9301</v>
      </c>
      <c r="E2015" s="12" t="str">
        <f>HYPERLINK("https://twitter.com/JCHealthFitPro/status/1217094179945246726","1217094179945246726")</f>
        <v>1217094179945246726</v>
      </c>
      <c r="F2015" s="14"/>
      <c r="G2015" s="13" t="s">
        <v>9302</v>
      </c>
      <c r="H2015" s="14"/>
      <c r="I2015" s="15">
        <v>0.0</v>
      </c>
      <c r="J2015" s="15">
        <v>0.0</v>
      </c>
      <c r="K2015" s="12" t="str">
        <f>HYPERLINK("http://twitter.com/download/iphone","Twitter for iPhone")</f>
        <v>Twitter for iPhone</v>
      </c>
      <c r="L2015" s="16">
        <v>7428.0</v>
      </c>
      <c r="M2015" s="16">
        <v>6658.0</v>
      </c>
      <c r="N2015" s="16">
        <v>165.0</v>
      </c>
      <c r="O2015" s="17"/>
      <c r="P2015" s="18">
        <v>42363.585810185185</v>
      </c>
      <c r="Q2015" s="1" t="s">
        <v>9303</v>
      </c>
      <c r="R2015" s="1" t="s">
        <v>9304</v>
      </c>
      <c r="S2015" s="13" t="s">
        <v>9305</v>
      </c>
      <c r="T2015" s="14"/>
      <c r="U2015" s="19" t="str">
        <f>HYPERLINK("https://pbs.twimg.com/profile_images/1041495629308936195/iUYETIkZ.jpg","View")</f>
        <v>View</v>
      </c>
      <c r="V2015" s="14"/>
      <c r="W2015" s="14"/>
      <c r="X2015" s="14"/>
      <c r="Y2015" s="14"/>
      <c r="Z2015" s="14"/>
    </row>
    <row r="2016">
      <c r="A2016" s="11">
        <v>43844.40173611111</v>
      </c>
      <c r="B2016" s="12" t="str">
        <f>HYPERLINK("https://twitter.com/CrimsonBowSCI","@CrimsonBowSCI")</f>
        <v>@CrimsonBowSCI</v>
      </c>
      <c r="C2016" s="1" t="s">
        <v>9306</v>
      </c>
      <c r="D2016" s="1" t="s">
        <v>9307</v>
      </c>
      <c r="E2016" s="12" t="str">
        <f>HYPERLINK("https://twitter.com/CrimsonBowSCI/status/1217093636577357825","1217093636577357825")</f>
        <v>1217093636577357825</v>
      </c>
      <c r="F2016" s="13" t="s">
        <v>9308</v>
      </c>
      <c r="G2016" s="14"/>
      <c r="H2016" s="14"/>
      <c r="I2016" s="15">
        <v>2.0</v>
      </c>
      <c r="J2016" s="15">
        <v>1.0</v>
      </c>
      <c r="K2016" s="12" t="str">
        <f>HYPERLINK("http://instagram.com","Instagram")</f>
        <v>Instagram</v>
      </c>
      <c r="L2016" s="16">
        <v>470.0</v>
      </c>
      <c r="M2016" s="16">
        <v>150.0</v>
      </c>
      <c r="N2016" s="16">
        <v>5.0</v>
      </c>
      <c r="O2016" s="17"/>
      <c r="P2016" s="18">
        <v>42019.12167824074</v>
      </c>
      <c r="Q2016" s="1" t="s">
        <v>9309</v>
      </c>
      <c r="R2016" s="1" t="s">
        <v>9310</v>
      </c>
      <c r="S2016" s="13" t="s">
        <v>9311</v>
      </c>
      <c r="T2016" s="14"/>
      <c r="U2016" s="19" t="str">
        <f>HYPERLINK("https://pbs.twimg.com/profile_images/1139234822977724417/-I8q-o11.jpg","View")</f>
        <v>View</v>
      </c>
      <c r="V2016" s="14"/>
      <c r="W2016" s="14"/>
      <c r="X2016" s="14"/>
      <c r="Y2016" s="14"/>
      <c r="Z2016" s="14"/>
    </row>
    <row r="2017">
      <c r="A2017" s="11">
        <v>43844.40119212963</v>
      </c>
      <c r="B2017" s="12" t="str">
        <f>HYPERLINK("https://twitter.com/RebSJ_1920","@RebSJ_1920")</f>
        <v>@RebSJ_1920</v>
      </c>
      <c r="C2017" s="1" t="s">
        <v>9312</v>
      </c>
      <c r="D2017" s="1" t="s">
        <v>9313</v>
      </c>
      <c r="E2017" s="12" t="str">
        <f>HYPERLINK("https://twitter.com/RebSJ_1920/status/1217093442448158720","1217093442448158720")</f>
        <v>1217093442448158720</v>
      </c>
      <c r="F2017" s="14"/>
      <c r="G2017" s="13" t="s">
        <v>9314</v>
      </c>
      <c r="H2017" s="14"/>
      <c r="I2017" s="15">
        <v>0.0</v>
      </c>
      <c r="J2017" s="15">
        <v>0.0</v>
      </c>
      <c r="K2017" s="12" t="str">
        <f>HYPERLINK("http://twitter.com/download/android","Twitter for Android")</f>
        <v>Twitter for Android</v>
      </c>
      <c r="L2017" s="16">
        <v>81.0</v>
      </c>
      <c r="M2017" s="16">
        <v>289.0</v>
      </c>
      <c r="N2017" s="16">
        <v>0.0</v>
      </c>
      <c r="O2017" s="17"/>
      <c r="P2017" s="18">
        <v>43649.969502314816</v>
      </c>
      <c r="Q2017" s="14"/>
      <c r="R2017" s="1" t="s">
        <v>9315</v>
      </c>
      <c r="S2017" s="14"/>
      <c r="T2017" s="14"/>
      <c r="U2017" s="19" t="str">
        <f>HYPERLINK("https://pbs.twimg.com/profile_images/1165506668848762882/DShqbXkx.jpg","View")</f>
        <v>View</v>
      </c>
      <c r="V2017" s="14"/>
      <c r="W2017" s="14"/>
      <c r="X2017" s="14"/>
      <c r="Y2017" s="14"/>
      <c r="Z2017" s="14"/>
    </row>
    <row r="2018">
      <c r="A2018" s="11">
        <v>43844.39613425926</v>
      </c>
      <c r="B2018" s="12" t="str">
        <f>HYPERLINK("https://twitter.com/ODeLearning","@ODeLearning")</f>
        <v>@ODeLearning</v>
      </c>
      <c r="C2018" s="1" t="s">
        <v>9316</v>
      </c>
      <c r="D2018" s="1" t="s">
        <v>9317</v>
      </c>
      <c r="E2018" s="12" t="str">
        <f>HYPERLINK("https://twitter.com/ODeLearning/status/1217091608560263169","1217091608560263169")</f>
        <v>1217091608560263169</v>
      </c>
      <c r="F2018" s="14"/>
      <c r="G2018" s="14"/>
      <c r="H2018" s="14"/>
      <c r="I2018" s="15">
        <v>0.0</v>
      </c>
      <c r="J2018" s="15">
        <v>0.0</v>
      </c>
      <c r="K2018" s="12" t="str">
        <f>HYPERLINK("https://ads-api.twitter.com","Twitter for Advertisers")</f>
        <v>Twitter for Advertisers</v>
      </c>
      <c r="L2018" s="16">
        <v>54.0</v>
      </c>
      <c r="M2018" s="16">
        <v>226.0</v>
      </c>
      <c r="N2018" s="16">
        <v>1.0</v>
      </c>
      <c r="O2018" s="17"/>
      <c r="P2018" s="18">
        <v>43224.39122685185</v>
      </c>
      <c r="Q2018" s="1" t="s">
        <v>268</v>
      </c>
      <c r="R2018" s="1" t="s">
        <v>9318</v>
      </c>
      <c r="S2018" s="14"/>
      <c r="T2018" s="14"/>
      <c r="U2018" s="19" t="str">
        <f>HYPERLINK("https://pbs.twimg.com/profile_images/992394982328815616/72xZedfF.jpg","View")</f>
        <v>View</v>
      </c>
      <c r="V2018" s="14"/>
      <c r="W2018" s="14"/>
      <c r="X2018" s="14"/>
      <c r="Y2018" s="14"/>
      <c r="Z2018" s="14"/>
    </row>
    <row r="2019">
      <c r="A2019" s="11">
        <v>43844.395902777775</v>
      </c>
      <c r="B2019" s="12" t="str">
        <f>HYPERLINK("https://twitter.com/HerbalGardenFL","@HerbalGardenFL")</f>
        <v>@HerbalGardenFL</v>
      </c>
      <c r="C2019" s="1" t="s">
        <v>1803</v>
      </c>
      <c r="D2019" s="1" t="s">
        <v>9319</v>
      </c>
      <c r="E2019" s="12" t="str">
        <f>HYPERLINK("https://twitter.com/HerbalGardenFL/status/1217091525265498112","1217091525265498112")</f>
        <v>1217091525265498112</v>
      </c>
      <c r="F2019" s="1" t="s">
        <v>9320</v>
      </c>
      <c r="G2019" s="14"/>
      <c r="H2019" s="14"/>
      <c r="I2019" s="15">
        <v>0.0</v>
      </c>
      <c r="J2019" s="15">
        <v>1.0</v>
      </c>
      <c r="K2019" s="12" t="str">
        <f>HYPERLINK("https://kuku.io","Link account with KUKU.io")</f>
        <v>Link account with KUKU.io</v>
      </c>
      <c r="L2019" s="16">
        <v>129.0</v>
      </c>
      <c r="M2019" s="16">
        <v>90.0</v>
      </c>
      <c r="N2019" s="16">
        <v>3.0</v>
      </c>
      <c r="O2019" s="17"/>
      <c r="P2019" s="18">
        <v>41130.93263888889</v>
      </c>
      <c r="Q2019" s="1" t="s">
        <v>1806</v>
      </c>
      <c r="R2019" s="1" t="s">
        <v>1807</v>
      </c>
      <c r="S2019" s="13" t="s">
        <v>1808</v>
      </c>
      <c r="T2019" s="14"/>
      <c r="U2019" s="19" t="str">
        <f>HYPERLINK("https://pbs.twimg.com/profile_images/713345260160679936/WZnIHWw4.jpg","View")</f>
        <v>View</v>
      </c>
      <c r="V2019" s="14"/>
      <c r="W2019" s="14"/>
      <c r="X2019" s="14"/>
      <c r="Y2019" s="14"/>
      <c r="Z2019" s="14"/>
    </row>
    <row r="2020">
      <c r="A2020" s="11">
        <v>43844.39583333333</v>
      </c>
      <c r="B2020" s="12" t="str">
        <f>HYPERLINK("https://twitter.com/NewLeafCollege","@NewLeafCollege")</f>
        <v>@NewLeafCollege</v>
      </c>
      <c r="C2020" s="1" t="s">
        <v>9321</v>
      </c>
      <c r="D2020" s="1" t="s">
        <v>9322</v>
      </c>
      <c r="E2020" s="12" t="str">
        <f>HYPERLINK("https://twitter.com/NewLeafCollege/status/1217091498350649345","1217091498350649345")</f>
        <v>1217091498350649345</v>
      </c>
      <c r="F2020" s="14"/>
      <c r="G2020" s="13" t="s">
        <v>9323</v>
      </c>
      <c r="H2020" s="14"/>
      <c r="I2020" s="15">
        <v>2.0</v>
      </c>
      <c r="J2020" s="15">
        <v>1.0</v>
      </c>
      <c r="K2020" s="12" t="str">
        <f>HYPERLINK("https://about.twitter.com/products/tweetdeck","TweetDeck")</f>
        <v>TweetDeck</v>
      </c>
      <c r="L2020" s="16">
        <v>926.0</v>
      </c>
      <c r="M2020" s="16">
        <v>1044.0</v>
      </c>
      <c r="N2020" s="16">
        <v>25.0</v>
      </c>
      <c r="O2020" s="17"/>
      <c r="P2020" s="18">
        <v>42628.433124999996</v>
      </c>
      <c r="Q2020" s="14"/>
      <c r="R2020" s="1" t="s">
        <v>9324</v>
      </c>
      <c r="S2020" s="13" t="s">
        <v>9325</v>
      </c>
      <c r="T2020" s="14"/>
      <c r="U2020" s="19" t="str">
        <f>HYPERLINK("https://pbs.twimg.com/profile_images/786270607252094976/xdRjbTNQ.jpg","View")</f>
        <v>View</v>
      </c>
      <c r="V2020" s="14"/>
      <c r="W2020" s="14"/>
      <c r="X2020" s="14"/>
      <c r="Y2020" s="14"/>
      <c r="Z2020" s="14"/>
    </row>
    <row r="2021">
      <c r="A2021" s="11">
        <v>43844.3924074074</v>
      </c>
      <c r="B2021" s="12" t="str">
        <f>HYPERLINK("https://twitter.com/DebCohenLLC","@DebCohenLLC")</f>
        <v>@DebCohenLLC</v>
      </c>
      <c r="C2021" s="1" t="s">
        <v>9326</v>
      </c>
      <c r="D2021" s="1" t="s">
        <v>9327</v>
      </c>
      <c r="E2021" s="12" t="str">
        <f>HYPERLINK("https://twitter.com/DebCohenLLC/status/1217090256312381440","1217090256312381440")</f>
        <v>1217090256312381440</v>
      </c>
      <c r="F2021" s="13" t="s">
        <v>9328</v>
      </c>
      <c r="G2021" s="14"/>
      <c r="H2021" s="14"/>
      <c r="I2021" s="15">
        <v>0.0</v>
      </c>
      <c r="J2021" s="15">
        <v>0.0</v>
      </c>
      <c r="K2021" s="12" t="str">
        <f>HYPERLINK("https://www.hootsuite.com","Hootsuite Inc.")</f>
        <v>Hootsuite Inc.</v>
      </c>
      <c r="L2021" s="16">
        <v>630.0</v>
      </c>
      <c r="M2021" s="16">
        <v>710.0</v>
      </c>
      <c r="N2021" s="16">
        <v>9.0</v>
      </c>
      <c r="O2021" s="17"/>
      <c r="P2021" s="18">
        <v>41046.85806712963</v>
      </c>
      <c r="Q2021" s="1" t="s">
        <v>3209</v>
      </c>
      <c r="R2021" s="1" t="s">
        <v>9329</v>
      </c>
      <c r="S2021" s="13" t="s">
        <v>9330</v>
      </c>
      <c r="T2021" s="14"/>
      <c r="U2021" s="19" t="str">
        <f>HYPERLINK("https://pbs.twimg.com/profile_images/801474658256175109/EeLwiKel.jpg","View")</f>
        <v>View</v>
      </c>
      <c r="V2021" s="14"/>
      <c r="W2021" s="14"/>
      <c r="X2021" s="14"/>
      <c r="Y2021" s="14"/>
      <c r="Z2021" s="14"/>
    </row>
    <row r="2022">
      <c r="A2022" s="11">
        <v>43844.392164351855</v>
      </c>
      <c r="B2022" s="12" t="str">
        <f>HYPERLINK("https://twitter.com/KimberleeBow","@KimberleeBow")</f>
        <v>@KimberleeBow</v>
      </c>
      <c r="C2022" s="1" t="s">
        <v>9331</v>
      </c>
      <c r="D2022" s="1" t="s">
        <v>9332</v>
      </c>
      <c r="E2022" s="12" t="str">
        <f>HYPERLINK("https://twitter.com/KimberleeBow/status/1217090170031243264","1217090170031243264")</f>
        <v>1217090170031243264</v>
      </c>
      <c r="F2022" s="13" t="s">
        <v>8185</v>
      </c>
      <c r="G2022" s="14"/>
      <c r="H2022" s="14"/>
      <c r="I2022" s="15">
        <v>0.0</v>
      </c>
      <c r="J2022" s="15">
        <v>0.0</v>
      </c>
      <c r="K2022" s="12" t="str">
        <f>HYPERLINK("http://twitter.com","Twitter Web Client")</f>
        <v>Twitter Web Client</v>
      </c>
      <c r="L2022" s="16">
        <v>408.0</v>
      </c>
      <c r="M2022" s="16">
        <v>982.0</v>
      </c>
      <c r="N2022" s="16">
        <v>125.0</v>
      </c>
      <c r="O2022" s="17"/>
      <c r="P2022" s="18">
        <v>41447.899502314816</v>
      </c>
      <c r="Q2022" s="14"/>
      <c r="R2022" s="1" t="s">
        <v>9333</v>
      </c>
      <c r="S2022" s="13" t="s">
        <v>9334</v>
      </c>
      <c r="T2022" s="14"/>
      <c r="U2022" s="19" t="str">
        <f>HYPERLINK("https://pbs.twimg.com/profile_images/378800000083464915/7b2bd155aef501d1f66e57fcf59c42a7.jpeg","View")</f>
        <v>View</v>
      </c>
      <c r="V2022" s="14"/>
      <c r="W2022" s="14"/>
      <c r="X2022" s="14"/>
      <c r="Y2022" s="14"/>
      <c r="Z2022" s="14"/>
    </row>
    <row r="2023">
      <c r="A2023" s="11">
        <v>43844.391643518524</v>
      </c>
      <c r="B2023" s="12" t="str">
        <f>HYPERLINK("https://twitter.com/ElsicaStar","@ElsicaStar")</f>
        <v>@ElsicaStar</v>
      </c>
      <c r="C2023" s="1" t="s">
        <v>9335</v>
      </c>
      <c r="D2023" s="1" t="s">
        <v>9336</v>
      </c>
      <c r="E2023" s="12" t="str">
        <f>HYPERLINK("https://twitter.com/ElsicaStar/status/1217089982755680257","1217089982755680257")</f>
        <v>1217089982755680257</v>
      </c>
      <c r="F2023" s="14"/>
      <c r="G2023" s="13" t="s">
        <v>9337</v>
      </c>
      <c r="H2023" s="14"/>
      <c r="I2023" s="15">
        <v>0.0</v>
      </c>
      <c r="J2023" s="15">
        <v>0.0</v>
      </c>
      <c r="K2023" s="12" t="str">
        <f>HYPERLINK("http://twitter.com/download/android","Twitter for Android")</f>
        <v>Twitter for Android</v>
      </c>
      <c r="L2023" s="16">
        <v>24.0</v>
      </c>
      <c r="M2023" s="16">
        <v>9.0</v>
      </c>
      <c r="N2023" s="16">
        <v>1.0</v>
      </c>
      <c r="O2023" s="17"/>
      <c r="P2023" s="18">
        <v>42672.8043287037</v>
      </c>
      <c r="Q2023" s="1" t="s">
        <v>1194</v>
      </c>
      <c r="R2023" s="1" t="s">
        <v>9338</v>
      </c>
      <c r="S2023" s="14"/>
      <c r="T2023" s="14"/>
      <c r="U2023" s="19" t="str">
        <f>HYPERLINK("https://pbs.twimg.com/profile_images/792843402211651584/wSt2oRBD.jpg","View")</f>
        <v>View</v>
      </c>
      <c r="V2023" s="14"/>
      <c r="W2023" s="14"/>
      <c r="X2023" s="14"/>
      <c r="Y2023" s="14"/>
      <c r="Z2023" s="14"/>
    </row>
    <row r="2024">
      <c r="A2024" s="11">
        <v>43844.388078703705</v>
      </c>
      <c r="B2024" s="12" t="str">
        <f>HYPERLINK("https://twitter.com/wellbeingpeople","@wellbeingpeople")</f>
        <v>@wellbeingpeople</v>
      </c>
      <c r="C2024" s="1" t="s">
        <v>9339</v>
      </c>
      <c r="D2024" s="1" t="s">
        <v>9340</v>
      </c>
      <c r="E2024" s="12" t="str">
        <f>HYPERLINK("https://twitter.com/wellbeingpeople/status/1217088690545221633","1217088690545221633")</f>
        <v>1217088690545221633</v>
      </c>
      <c r="F2024" s="13" t="s">
        <v>9341</v>
      </c>
      <c r="G2024" s="13" t="s">
        <v>9342</v>
      </c>
      <c r="H2024" s="14"/>
      <c r="I2024" s="15">
        <v>1.0</v>
      </c>
      <c r="J2024" s="15">
        <v>2.0</v>
      </c>
      <c r="K2024" s="12" t="str">
        <f>HYPERLINK("https://mobile.twitter.com","Twitter Web App")</f>
        <v>Twitter Web App</v>
      </c>
      <c r="L2024" s="16">
        <v>1881.0</v>
      </c>
      <c r="M2024" s="16">
        <v>1578.0</v>
      </c>
      <c r="N2024" s="16">
        <v>0.0</v>
      </c>
      <c r="O2024" s="17"/>
      <c r="P2024" s="18">
        <v>40346.2900462963</v>
      </c>
      <c r="Q2024" s="1" t="s">
        <v>4294</v>
      </c>
      <c r="R2024" s="1" t="s">
        <v>9343</v>
      </c>
      <c r="S2024" s="13" t="s">
        <v>9344</v>
      </c>
      <c r="T2024" s="14"/>
      <c r="U2024" s="19" t="str">
        <f>HYPERLINK("https://pbs.twimg.com/profile_images/1080463562072559617/1fBzMn2X.jpg","View")</f>
        <v>View</v>
      </c>
      <c r="V2024" s="14"/>
      <c r="W2024" s="14"/>
      <c r="X2024" s="14"/>
      <c r="Y2024" s="14"/>
      <c r="Z2024" s="14"/>
    </row>
    <row r="2025">
      <c r="A2025" s="11">
        <v>43844.38585648148</v>
      </c>
      <c r="B2025" s="12" t="str">
        <f>HYPERLINK("https://twitter.com/SiobhanGriff15","@SiobhanGriff15")</f>
        <v>@SiobhanGriff15</v>
      </c>
      <c r="C2025" s="1" t="s">
        <v>9345</v>
      </c>
      <c r="D2025" s="1" t="s">
        <v>9346</v>
      </c>
      <c r="E2025" s="12" t="str">
        <f>HYPERLINK("https://twitter.com/SiobhanGriff15/status/1217087882269274112","1217087882269274112")</f>
        <v>1217087882269274112</v>
      </c>
      <c r="F2025" s="1" t="s">
        <v>9347</v>
      </c>
      <c r="G2025" s="13" t="s">
        <v>9348</v>
      </c>
      <c r="H2025" s="14"/>
      <c r="I2025" s="15">
        <v>3.0</v>
      </c>
      <c r="J2025" s="15">
        <v>9.0</v>
      </c>
      <c r="K2025" s="12" t="str">
        <f>HYPERLINK("http://twitter.com/download/iphone","Twitter for iPhone")</f>
        <v>Twitter for iPhone</v>
      </c>
      <c r="L2025" s="16">
        <v>678.0</v>
      </c>
      <c r="M2025" s="16">
        <v>1752.0</v>
      </c>
      <c r="N2025" s="16">
        <v>4.0</v>
      </c>
      <c r="O2025" s="17"/>
      <c r="P2025" s="18">
        <v>42475.60577546296</v>
      </c>
      <c r="Q2025" s="1" t="s">
        <v>9349</v>
      </c>
      <c r="R2025" s="1" t="s">
        <v>9350</v>
      </c>
      <c r="S2025" s="13" t="s">
        <v>9351</v>
      </c>
      <c r="T2025" s="14"/>
      <c r="U2025" s="19" t="str">
        <f>HYPERLINK("https://pbs.twimg.com/profile_images/909196460343877634/-SI82qqy.jpg","View")</f>
        <v>View</v>
      </c>
      <c r="V2025" s="14"/>
      <c r="W2025" s="14"/>
      <c r="X2025" s="14"/>
      <c r="Y2025" s="14"/>
      <c r="Z2025" s="14"/>
    </row>
    <row r="2026">
      <c r="A2026" s="11">
        <v>43844.38548611111</v>
      </c>
      <c r="B2026" s="12" t="str">
        <f>HYPERLINK("https://twitter.com/mattroyse","@mattroyse")</f>
        <v>@mattroyse</v>
      </c>
      <c r="C2026" s="1" t="s">
        <v>9352</v>
      </c>
      <c r="D2026" s="1" t="s">
        <v>9353</v>
      </c>
      <c r="E2026" s="12" t="str">
        <f>HYPERLINK("https://twitter.com/mattroyse/status/1217087748206710786","1217087748206710786")</f>
        <v>1217087748206710786</v>
      </c>
      <c r="F2026" s="13" t="s">
        <v>9354</v>
      </c>
      <c r="G2026" s="14"/>
      <c r="H2026" s="14"/>
      <c r="I2026" s="15">
        <v>0.0</v>
      </c>
      <c r="J2026" s="15">
        <v>0.0</v>
      </c>
      <c r="K2026" s="12" t="str">
        <f>HYPERLINK("https://buffer.com","Buffer")</f>
        <v>Buffer</v>
      </c>
      <c r="L2026" s="16">
        <v>4037.0</v>
      </c>
      <c r="M2026" s="16">
        <v>3874.0</v>
      </c>
      <c r="N2026" s="16">
        <v>493.0</v>
      </c>
      <c r="O2026" s="17"/>
      <c r="P2026" s="18">
        <v>39914.98128472222</v>
      </c>
      <c r="Q2026" s="1" t="s">
        <v>97</v>
      </c>
      <c r="R2026" s="1" t="s">
        <v>9355</v>
      </c>
      <c r="S2026" s="13" t="s">
        <v>9356</v>
      </c>
      <c r="T2026" s="14"/>
      <c r="U2026" s="19" t="str">
        <f>HYPERLINK("https://pbs.twimg.com/profile_images/2988290242/7e766a783623b5aeaa02bcd8c516cd7c.jpeg","View")</f>
        <v>View</v>
      </c>
      <c r="V2026" s="14"/>
      <c r="W2026" s="14"/>
      <c r="X2026" s="14"/>
      <c r="Y2026" s="14"/>
      <c r="Z2026" s="14"/>
    </row>
    <row r="2027">
      <c r="A2027" s="11">
        <v>43844.385462962964</v>
      </c>
      <c r="B2027" s="12" t="str">
        <f>HYPERLINK("https://twitter.com/TrainingMindful","@TrainingMindful")</f>
        <v>@TrainingMindful</v>
      </c>
      <c r="C2027" s="1" t="s">
        <v>94</v>
      </c>
      <c r="D2027" s="1" t="s">
        <v>9357</v>
      </c>
      <c r="E2027" s="12" t="str">
        <f>HYPERLINK("https://twitter.com/TrainingMindful/status/1217087742502371329","1217087742502371329")</f>
        <v>1217087742502371329</v>
      </c>
      <c r="F2027" s="13" t="s">
        <v>96</v>
      </c>
      <c r="G2027" s="14"/>
      <c r="H2027" s="14"/>
      <c r="I2027" s="15">
        <v>1.0</v>
      </c>
      <c r="J2027" s="15">
        <v>2.0</v>
      </c>
      <c r="K2027" s="12" t="str">
        <f>HYPERLINK("https://www.socialoomph.com","SocialOomph")</f>
        <v>SocialOomph</v>
      </c>
      <c r="L2027" s="16">
        <v>185303.0</v>
      </c>
      <c r="M2027" s="16">
        <v>43980.0</v>
      </c>
      <c r="N2027" s="16">
        <v>2800.0</v>
      </c>
      <c r="O2027" s="17"/>
      <c r="P2027" s="18">
        <v>41286.039305555554</v>
      </c>
      <c r="Q2027" s="1" t="s">
        <v>97</v>
      </c>
      <c r="R2027" s="1" t="s">
        <v>98</v>
      </c>
      <c r="S2027" s="13" t="s">
        <v>99</v>
      </c>
      <c r="T2027" s="14"/>
      <c r="U2027" s="19" t="str">
        <f>HYPERLINK("https://pbs.twimg.com/profile_images/566526924059459584/gdMxDA9x.jpeg","View")</f>
        <v>View</v>
      </c>
      <c r="V2027" s="14"/>
      <c r="W2027" s="14"/>
      <c r="X2027" s="14"/>
      <c r="Y2027" s="14"/>
      <c r="Z2027" s="14"/>
    </row>
    <row r="2028">
      <c r="A2028" s="11">
        <v>43844.38438657408</v>
      </c>
      <c r="B2028" s="12" t="str">
        <f>HYPERLINK("https://twitter.com/DrDanPsych","@DrDanPsych")</f>
        <v>@DrDanPsych</v>
      </c>
      <c r="C2028" s="1" t="s">
        <v>9358</v>
      </c>
      <c r="D2028" s="1" t="s">
        <v>9359</v>
      </c>
      <c r="E2028" s="12" t="str">
        <f>HYPERLINK("https://twitter.com/DrDanPsych/status/1217087349370343426","1217087349370343426")</f>
        <v>1217087349370343426</v>
      </c>
      <c r="F2028" s="1" t="s">
        <v>9360</v>
      </c>
      <c r="G2028" s="14"/>
      <c r="H2028" s="14"/>
      <c r="I2028" s="15">
        <v>2.0</v>
      </c>
      <c r="J2028" s="15">
        <v>12.0</v>
      </c>
      <c r="K2028" s="12" t="str">
        <f>HYPERLINK("https://mobile.twitter.com","Twitter Web App")</f>
        <v>Twitter Web App</v>
      </c>
      <c r="L2028" s="16">
        <v>3728.0</v>
      </c>
      <c r="M2028" s="16">
        <v>2821.0</v>
      </c>
      <c r="N2028" s="16">
        <v>124.0</v>
      </c>
      <c r="O2028" s="17"/>
      <c r="P2028" s="18">
        <v>41217.46184027778</v>
      </c>
      <c r="Q2028" s="1" t="s">
        <v>9361</v>
      </c>
      <c r="R2028" s="1" t="s">
        <v>9362</v>
      </c>
      <c r="S2028" s="13" t="s">
        <v>9363</v>
      </c>
      <c r="T2028" s="14"/>
      <c r="U2028" s="19" t="str">
        <f>HYPERLINK("https://pbs.twimg.com/profile_images/2806583382/51e33d7b5220725c2bcd177631198183.jpeg","View")</f>
        <v>View</v>
      </c>
      <c r="V2028" s="14"/>
      <c r="W2028" s="14"/>
      <c r="X2028" s="14"/>
      <c r="Y2028" s="14"/>
      <c r="Z2028" s="14"/>
    </row>
    <row r="2029">
      <c r="A2029" s="11">
        <v>43844.38211805555</v>
      </c>
      <c r="B2029" s="12" t="str">
        <f>HYPERLINK("https://twitter.com/LessStressLife","@LessStressLife")</f>
        <v>@LessStressLife</v>
      </c>
      <c r="C2029" s="1" t="s">
        <v>9364</v>
      </c>
      <c r="D2029" s="1" t="s">
        <v>9365</v>
      </c>
      <c r="E2029" s="12" t="str">
        <f>HYPERLINK("https://twitter.com/LessStressLife/status/1217086530189131776","1217086530189131776")</f>
        <v>1217086530189131776</v>
      </c>
      <c r="F2029" s="13" t="s">
        <v>9366</v>
      </c>
      <c r="G2029" s="14"/>
      <c r="H2029" s="14"/>
      <c r="I2029" s="15">
        <v>0.0</v>
      </c>
      <c r="J2029" s="15">
        <v>0.0</v>
      </c>
      <c r="K2029" s="12" t="str">
        <f t="shared" ref="K2029:K2030" si="206">HYPERLINK("https://www.hootsuite.com","Hootsuite Inc.")</f>
        <v>Hootsuite Inc.</v>
      </c>
      <c r="L2029" s="16">
        <v>10.0</v>
      </c>
      <c r="M2029" s="16">
        <v>28.0</v>
      </c>
      <c r="N2029" s="16">
        <v>0.0</v>
      </c>
      <c r="O2029" s="17"/>
      <c r="P2029" s="18">
        <v>43669.33269675926</v>
      </c>
      <c r="Q2029" s="14"/>
      <c r="R2029" s="1" t="s">
        <v>9367</v>
      </c>
      <c r="S2029" s="13" t="s">
        <v>9368</v>
      </c>
      <c r="T2029" s="14"/>
      <c r="U2029" s="19" t="str">
        <f>HYPERLINK("https://pbs.twimg.com/profile_images/1159441378633506816/zCNjhOgX.jpg","View")</f>
        <v>View</v>
      </c>
      <c r="V2029" s="14"/>
      <c r="W2029" s="14"/>
      <c r="X2029" s="14"/>
      <c r="Y2029" s="14"/>
      <c r="Z2029" s="14"/>
    </row>
    <row r="2030">
      <c r="A2030" s="11">
        <v>43844.378541666665</v>
      </c>
      <c r="B2030" s="12" t="str">
        <f>HYPERLINK("https://twitter.com/UML_CCI","@UML_CCI")</f>
        <v>@UML_CCI</v>
      </c>
      <c r="C2030" s="1" t="s">
        <v>9369</v>
      </c>
      <c r="D2030" s="1" t="s">
        <v>9370</v>
      </c>
      <c r="E2030" s="12" t="str">
        <f>HYPERLINK("https://twitter.com/UML_CCI/status/1217085234359033858","1217085234359033858")</f>
        <v>1217085234359033858</v>
      </c>
      <c r="F2030" s="13" t="s">
        <v>9371</v>
      </c>
      <c r="G2030" s="14"/>
      <c r="H2030" s="14"/>
      <c r="I2030" s="15">
        <v>1.0</v>
      </c>
      <c r="J2030" s="15">
        <v>1.0</v>
      </c>
      <c r="K2030" s="12" t="str">
        <f t="shared" si="206"/>
        <v>Hootsuite Inc.</v>
      </c>
      <c r="L2030" s="16">
        <v>64.0</v>
      </c>
      <c r="M2030" s="16">
        <v>103.0</v>
      </c>
      <c r="N2030" s="16">
        <v>5.0</v>
      </c>
      <c r="O2030" s="17"/>
      <c r="P2030" s="18">
        <v>43607.59375</v>
      </c>
      <c r="Q2030" s="1" t="s">
        <v>9372</v>
      </c>
      <c r="R2030" s="1" t="s">
        <v>9373</v>
      </c>
      <c r="S2030" s="13" t="s">
        <v>9374</v>
      </c>
      <c r="T2030" s="14"/>
      <c r="U2030" s="19" t="str">
        <f>HYPERLINK("https://pbs.twimg.com/profile_images/1131262360616951813/mvqPc3Cs.jpg","View")</f>
        <v>View</v>
      </c>
      <c r="V2030" s="14"/>
      <c r="W2030" s="14"/>
      <c r="X2030" s="14"/>
      <c r="Y2030" s="14"/>
      <c r="Z2030" s="14"/>
    </row>
    <row r="2031">
      <c r="A2031" s="11">
        <v>43844.378067129626</v>
      </c>
      <c r="B2031" s="12" t="str">
        <f>HYPERLINK("https://twitter.com/sostostress","@sostostress")</f>
        <v>@sostostress</v>
      </c>
      <c r="C2031" s="1" t="s">
        <v>1042</v>
      </c>
      <c r="D2031" s="1" t="s">
        <v>9375</v>
      </c>
      <c r="E2031" s="12" t="str">
        <f>HYPERLINK("https://twitter.com/sostostress/status/1217085061167632384","1217085061167632384")</f>
        <v>1217085061167632384</v>
      </c>
      <c r="F2031" s="13" t="s">
        <v>9376</v>
      </c>
      <c r="G2031" s="14"/>
      <c r="H2031" s="14"/>
      <c r="I2031" s="15">
        <v>0.0</v>
      </c>
      <c r="J2031" s="15">
        <v>0.0</v>
      </c>
      <c r="K2031" s="12" t="str">
        <f>HYPERLINK("http://twitter.com","Twitter Web Client")</f>
        <v>Twitter Web Client</v>
      </c>
      <c r="L2031" s="16">
        <v>333.0</v>
      </c>
      <c r="M2031" s="16">
        <v>171.0</v>
      </c>
      <c r="N2031" s="16">
        <v>46.0</v>
      </c>
      <c r="O2031" s="17"/>
      <c r="P2031" s="18">
        <v>40529.642071759255</v>
      </c>
      <c r="Q2031" s="1" t="s">
        <v>143</v>
      </c>
      <c r="R2031" s="1" t="s">
        <v>1046</v>
      </c>
      <c r="S2031" s="13" t="s">
        <v>1047</v>
      </c>
      <c r="T2031" s="14"/>
      <c r="U2031" s="19" t="str">
        <f>HYPERLINK("https://pbs.twimg.com/profile_images/1192953737/image006_pp_-_2__2_.jpg","View")</f>
        <v>View</v>
      </c>
      <c r="V2031" s="14"/>
      <c r="W2031" s="14"/>
      <c r="X2031" s="14"/>
      <c r="Y2031" s="14"/>
      <c r="Z2031" s="14"/>
    </row>
    <row r="2032">
      <c r="A2032" s="11">
        <v>43844.376493055555</v>
      </c>
      <c r="B2032" s="12" t="str">
        <f>HYPERLINK("https://twitter.com/johnfmclachlan","@johnfmclachlan")</f>
        <v>@johnfmclachlan</v>
      </c>
      <c r="C2032" s="1" t="s">
        <v>9377</v>
      </c>
      <c r="D2032" s="1" t="s">
        <v>9378</v>
      </c>
      <c r="E2032" s="12" t="str">
        <f>HYPERLINK("https://twitter.com/johnfmclachlan/status/1217084490742468608","1217084490742468608")</f>
        <v>1217084490742468608</v>
      </c>
      <c r="F2032" s="13" t="s">
        <v>7375</v>
      </c>
      <c r="G2032" s="14"/>
      <c r="H2032" s="14"/>
      <c r="I2032" s="15">
        <v>0.0</v>
      </c>
      <c r="J2032" s="15">
        <v>0.0</v>
      </c>
      <c r="K2032" s="12" t="str">
        <f>HYPERLINK("https://www.hootsuite.com","Hootsuite Inc.")</f>
        <v>Hootsuite Inc.</v>
      </c>
      <c r="L2032" s="16">
        <v>270.0</v>
      </c>
      <c r="M2032" s="16">
        <v>219.0</v>
      </c>
      <c r="N2032" s="16">
        <v>63.0</v>
      </c>
      <c r="O2032" s="17"/>
      <c r="P2032" s="18">
        <v>41572.481203703705</v>
      </c>
      <c r="Q2032" s="1" t="s">
        <v>864</v>
      </c>
      <c r="R2032" s="1" t="s">
        <v>9379</v>
      </c>
      <c r="S2032" s="13" t="s">
        <v>7377</v>
      </c>
      <c r="T2032" s="14"/>
      <c r="U2032" s="19" t="str">
        <f>HYPERLINK("https://pbs.twimg.com/profile_images/1141297399165571072/C5E6e95T.jpg","View")</f>
        <v>View</v>
      </c>
      <c r="V2032" s="14"/>
      <c r="W2032" s="14"/>
      <c r="X2032" s="14"/>
      <c r="Y2032" s="14"/>
      <c r="Z2032" s="14"/>
    </row>
    <row r="2033">
      <c r="A2033" s="11">
        <v>43844.37640046296</v>
      </c>
      <c r="B2033" s="12" t="str">
        <f>HYPERLINK("https://twitter.com/DeniseAmbre","@DeniseAmbre")</f>
        <v>@DeniseAmbre</v>
      </c>
      <c r="C2033" s="1" t="s">
        <v>9380</v>
      </c>
      <c r="D2033" s="1" t="s">
        <v>9381</v>
      </c>
      <c r="E2033" s="12" t="str">
        <f>HYPERLINK("https://twitter.com/DeniseAmbre/status/1217084458697994242","1217084458697994242")</f>
        <v>1217084458697994242</v>
      </c>
      <c r="F2033" s="13" t="s">
        <v>9382</v>
      </c>
      <c r="G2033" s="13" t="s">
        <v>9383</v>
      </c>
      <c r="H2033" s="14"/>
      <c r="I2033" s="15">
        <v>0.0</v>
      </c>
      <c r="J2033" s="15">
        <v>0.0</v>
      </c>
      <c r="K2033" s="12" t="str">
        <f>HYPERLINK("https://buffer.com","Buffer")</f>
        <v>Buffer</v>
      </c>
      <c r="L2033" s="16">
        <v>35.0</v>
      </c>
      <c r="M2033" s="16">
        <v>49.0</v>
      </c>
      <c r="N2033" s="16">
        <v>0.0</v>
      </c>
      <c r="O2033" s="17"/>
      <c r="P2033" s="18">
        <v>41653.60054398148</v>
      </c>
      <c r="Q2033" s="1" t="s">
        <v>9384</v>
      </c>
      <c r="R2033" s="1" t="s">
        <v>9385</v>
      </c>
      <c r="S2033" s="13" t="s">
        <v>9386</v>
      </c>
      <c r="T2033" s="14"/>
      <c r="U2033" s="19" t="str">
        <f>HYPERLINK("https://pbs.twimg.com/profile_images/459098936146272256/5QMHElVh.jpeg","View")</f>
        <v>View</v>
      </c>
      <c r="V2033" s="14"/>
      <c r="W2033" s="14"/>
      <c r="X2033" s="14"/>
      <c r="Y2033" s="14"/>
      <c r="Z2033" s="14"/>
    </row>
    <row r="2034">
      <c r="A2034" s="11">
        <v>43844.37625</v>
      </c>
      <c r="B2034" s="12" t="str">
        <f>HYPERLINK("https://twitter.com/MTVEnglishNews","@MTVEnglishNews")</f>
        <v>@MTVEnglishNews</v>
      </c>
      <c r="C2034" s="1" t="s">
        <v>9387</v>
      </c>
      <c r="D2034" s="1" t="s">
        <v>9174</v>
      </c>
      <c r="E2034" s="12" t="str">
        <f>HYPERLINK("https://twitter.com/MTVEnglishNews/status/1217084403882569736","1217084403882569736")</f>
        <v>1217084403882569736</v>
      </c>
      <c r="F2034" s="13" t="s">
        <v>9175</v>
      </c>
      <c r="G2034" s="13" t="s">
        <v>9388</v>
      </c>
      <c r="H2034" s="14"/>
      <c r="I2034" s="15">
        <v>0.0</v>
      </c>
      <c r="J2034" s="15">
        <v>0.0</v>
      </c>
      <c r="K2034" s="12" t="str">
        <f>HYPERLINK("https://mobile.twitter.com","Twitter Web App")</f>
        <v>Twitter Web App</v>
      </c>
      <c r="L2034" s="16">
        <v>13932.0</v>
      </c>
      <c r="M2034" s="16">
        <v>216.0</v>
      </c>
      <c r="N2034" s="16">
        <v>258.0</v>
      </c>
      <c r="O2034" s="20" t="s">
        <v>38</v>
      </c>
      <c r="P2034" s="18">
        <v>41288.43962962963</v>
      </c>
      <c r="Q2034" s="1" t="s">
        <v>9177</v>
      </c>
      <c r="R2034" s="1" t="s">
        <v>9389</v>
      </c>
      <c r="S2034" s="13" t="s">
        <v>9390</v>
      </c>
      <c r="T2034" s="14"/>
      <c r="U2034" s="19" t="str">
        <f>HYPERLINK("https://pbs.twimg.com/profile_images/3108382803/011ea7d4ad53a8a94ead09d1b239460c.png","View")</f>
        <v>View</v>
      </c>
      <c r="V2034" s="14"/>
      <c r="W2034" s="14"/>
      <c r="X2034" s="14"/>
      <c r="Y2034" s="14"/>
      <c r="Z2034" s="14"/>
    </row>
    <row r="2035">
      <c r="A2035" s="11">
        <v>43844.37571759259</v>
      </c>
      <c r="B2035" s="12" t="str">
        <f>HYPERLINK("https://twitter.com/WomansHospital","@WomansHospital")</f>
        <v>@WomansHospital</v>
      </c>
      <c r="C2035" s="1" t="s">
        <v>1919</v>
      </c>
      <c r="D2035" s="1" t="s">
        <v>9391</v>
      </c>
      <c r="E2035" s="12" t="str">
        <f>HYPERLINK("https://twitter.com/WomansHospital/status/1217084207702466560","1217084207702466560")</f>
        <v>1217084207702466560</v>
      </c>
      <c r="F2035" s="13" t="s">
        <v>1921</v>
      </c>
      <c r="G2035" s="13" t="s">
        <v>9392</v>
      </c>
      <c r="H2035" s="14"/>
      <c r="I2035" s="15">
        <v>0.0</v>
      </c>
      <c r="J2035" s="15">
        <v>3.0</v>
      </c>
      <c r="K2035" s="12" t="str">
        <f>HYPERLINK("https://www.meltwater.com/","Meltwater Social")</f>
        <v>Meltwater Social</v>
      </c>
      <c r="L2035" s="16">
        <v>2609.0</v>
      </c>
      <c r="M2035" s="16">
        <v>415.0</v>
      </c>
      <c r="N2035" s="16">
        <v>74.0</v>
      </c>
      <c r="O2035" s="17"/>
      <c r="P2035" s="18">
        <v>39854.58267361111</v>
      </c>
      <c r="Q2035" s="1" t="s">
        <v>1923</v>
      </c>
      <c r="R2035" s="1" t="s">
        <v>1924</v>
      </c>
      <c r="S2035" s="13" t="s">
        <v>1925</v>
      </c>
      <c r="T2035" s="14"/>
      <c r="U2035" s="19" t="str">
        <f>HYPERLINK("https://pbs.twimg.com/profile_images/905525622578880512/1FiZC9_Q.jpg","View")</f>
        <v>View</v>
      </c>
      <c r="V2035" s="14"/>
      <c r="W2035" s="14"/>
      <c r="X2035" s="14"/>
      <c r="Y2035" s="14"/>
      <c r="Z2035" s="14"/>
    </row>
    <row r="2036">
      <c r="A2036" s="11">
        <v>43844.37564814815</v>
      </c>
      <c r="B2036" s="12" t="str">
        <f>HYPERLINK("https://twitter.com/PhilWillcox","@PhilWillcox")</f>
        <v>@PhilWillcox</v>
      </c>
      <c r="C2036" s="1" t="s">
        <v>504</v>
      </c>
      <c r="D2036" s="1" t="s">
        <v>9393</v>
      </c>
      <c r="E2036" s="12" t="str">
        <f>HYPERLINK("https://twitter.com/PhilWillcox/status/1217084184478593026","1217084184478593026")</f>
        <v>1217084184478593026</v>
      </c>
      <c r="F2036" s="14"/>
      <c r="G2036" s="13" t="s">
        <v>9394</v>
      </c>
      <c r="H2036" s="14"/>
      <c r="I2036" s="15">
        <v>0.0</v>
      </c>
      <c r="J2036" s="15">
        <v>2.0</v>
      </c>
      <c r="K2036" s="12" t="str">
        <f>HYPERLINK("https://panel.socialpilot.co/","SocialPilot.co")</f>
        <v>SocialPilot.co</v>
      </c>
      <c r="L2036" s="16">
        <v>4661.0</v>
      </c>
      <c r="M2036" s="16">
        <v>1583.0</v>
      </c>
      <c r="N2036" s="16">
        <v>149.0</v>
      </c>
      <c r="O2036" s="17"/>
      <c r="P2036" s="18">
        <v>40793.66763888889</v>
      </c>
      <c r="Q2036" s="1" t="s">
        <v>507</v>
      </c>
      <c r="R2036" s="1" t="s">
        <v>508</v>
      </c>
      <c r="S2036" s="13" t="s">
        <v>509</v>
      </c>
      <c r="T2036" s="14"/>
      <c r="U2036" s="19" t="str">
        <f>HYPERLINK("https://pbs.twimg.com/profile_images/1005365554260176896/TQDBFx48.jpg","View")</f>
        <v>View</v>
      </c>
      <c r="V2036" s="14"/>
      <c r="W2036" s="14"/>
      <c r="X2036" s="14"/>
      <c r="Y2036" s="14"/>
      <c r="Z2036" s="14"/>
    </row>
    <row r="2037">
      <c r="A2037" s="11">
        <v>43844.375069444446</v>
      </c>
      <c r="B2037" s="12" t="str">
        <f>HYPERLINK("https://twitter.com/drama2calmer","@drama2calmer")</f>
        <v>@drama2calmer</v>
      </c>
      <c r="C2037" s="1" t="s">
        <v>9395</v>
      </c>
      <c r="D2037" s="1" t="s">
        <v>9396</v>
      </c>
      <c r="E2037" s="12" t="str">
        <f>HYPERLINK("https://twitter.com/drama2calmer/status/1217083975816175616","1217083975816175616")</f>
        <v>1217083975816175616</v>
      </c>
      <c r="F2037" s="14"/>
      <c r="G2037" s="13" t="s">
        <v>9397</v>
      </c>
      <c r="H2037" s="14"/>
      <c r="I2037" s="15">
        <v>0.0</v>
      </c>
      <c r="J2037" s="15">
        <v>0.0</v>
      </c>
      <c r="K2037" s="12" t="str">
        <f>HYPERLINK("https://mobile.twitter.com","Twitter Web App")</f>
        <v>Twitter Web App</v>
      </c>
      <c r="L2037" s="16">
        <v>15.0</v>
      </c>
      <c r="M2037" s="16">
        <v>96.0</v>
      </c>
      <c r="N2037" s="16">
        <v>0.0</v>
      </c>
      <c r="O2037" s="17"/>
      <c r="P2037" s="18">
        <v>43716.48663194444</v>
      </c>
      <c r="Q2037" s="14"/>
      <c r="R2037" s="1" t="s">
        <v>9398</v>
      </c>
      <c r="S2037" s="13" t="s">
        <v>9399</v>
      </c>
      <c r="T2037" s="14"/>
      <c r="U2037" s="19" t="str">
        <f>HYPERLINK("https://pbs.twimg.com/profile_images/1170724075251142656/qTtynqOP.png","View")</f>
        <v>View</v>
      </c>
      <c r="V2037" s="14"/>
      <c r="W2037" s="14"/>
      <c r="X2037" s="14"/>
      <c r="Y2037" s="14"/>
      <c r="Z2037" s="14"/>
    </row>
    <row r="2038">
      <c r="A2038" s="11">
        <v>43844.375069444446</v>
      </c>
      <c r="B2038" s="12" t="str">
        <f>HYPERLINK("https://twitter.com/yogapath8","@yogapath8")</f>
        <v>@yogapath8</v>
      </c>
      <c r="C2038" s="1" t="s">
        <v>9400</v>
      </c>
      <c r="D2038" s="1" t="s">
        <v>9401</v>
      </c>
      <c r="E2038" s="12" t="str">
        <f>HYPERLINK("https://twitter.com/yogapath8/status/1217083973681106944","1217083973681106944")</f>
        <v>1217083973681106944</v>
      </c>
      <c r="F2038" s="14"/>
      <c r="G2038" s="13" t="s">
        <v>9402</v>
      </c>
      <c r="H2038" s="14"/>
      <c r="I2038" s="15">
        <v>0.0</v>
      </c>
      <c r="J2038" s="15">
        <v>0.0</v>
      </c>
      <c r="K2038" s="12" t="str">
        <f>HYPERLINK("https://www.synduit.com","SYNDUIT Movement")</f>
        <v>SYNDUIT Movement</v>
      </c>
      <c r="L2038" s="16">
        <v>580.0</v>
      </c>
      <c r="M2038" s="16">
        <v>1036.0</v>
      </c>
      <c r="N2038" s="16">
        <v>12.0</v>
      </c>
      <c r="O2038" s="17"/>
      <c r="P2038" s="18">
        <v>41263.92149305555</v>
      </c>
      <c r="Q2038" s="1" t="s">
        <v>9403</v>
      </c>
      <c r="R2038" s="1" t="s">
        <v>9404</v>
      </c>
      <c r="S2038" s="13" t="s">
        <v>9405</v>
      </c>
      <c r="T2038" s="14"/>
      <c r="U2038" s="19" t="str">
        <f>HYPERLINK("https://pbs.twimg.com/profile_images/1040666322030387200/bbeUXqYi.jpg","View")</f>
        <v>View</v>
      </c>
      <c r="V2038" s="14"/>
      <c r="W2038" s="14"/>
      <c r="X2038" s="14"/>
      <c r="Y2038" s="14"/>
      <c r="Z2038" s="14"/>
    </row>
    <row r="2039">
      <c r="A2039" s="11">
        <v>43844.37505787037</v>
      </c>
      <c r="B2039" s="12" t="str">
        <f>HYPERLINK("https://twitter.com/tarawell88","@tarawell88")</f>
        <v>@tarawell88</v>
      </c>
      <c r="C2039" s="1" t="s">
        <v>9406</v>
      </c>
      <c r="D2039" s="1" t="s">
        <v>9407</v>
      </c>
      <c r="E2039" s="12" t="str">
        <f>HYPERLINK("https://twitter.com/tarawell88/status/1217083971890225152","1217083971890225152")</f>
        <v>1217083971890225152</v>
      </c>
      <c r="F2039" s="13" t="s">
        <v>9408</v>
      </c>
      <c r="G2039" s="13" t="s">
        <v>9409</v>
      </c>
      <c r="H2039" s="14"/>
      <c r="I2039" s="15">
        <v>0.0</v>
      </c>
      <c r="J2039" s="15">
        <v>0.0</v>
      </c>
      <c r="K2039" s="12" t="str">
        <f>HYPERLINK("https://buffer.com","Buffer")</f>
        <v>Buffer</v>
      </c>
      <c r="L2039" s="16">
        <v>2150.0</v>
      </c>
      <c r="M2039" s="16">
        <v>1087.0</v>
      </c>
      <c r="N2039" s="16">
        <v>79.0</v>
      </c>
      <c r="O2039" s="17"/>
      <c r="P2039" s="18">
        <v>41730.467303240745</v>
      </c>
      <c r="Q2039" s="1" t="s">
        <v>4178</v>
      </c>
      <c r="R2039" s="1" t="s">
        <v>9410</v>
      </c>
      <c r="S2039" s="13" t="s">
        <v>9411</v>
      </c>
      <c r="T2039" s="14"/>
      <c r="U2039" s="19" t="str">
        <f>HYPERLINK("https://pbs.twimg.com/profile_images/1185318104919920642/mATpUDHB.jpg","View")</f>
        <v>View</v>
      </c>
      <c r="V2039" s="14"/>
      <c r="W2039" s="14"/>
      <c r="X2039" s="14"/>
      <c r="Y2039" s="14"/>
      <c r="Z2039" s="14"/>
    </row>
    <row r="2040">
      <c r="A2040" s="11">
        <v>43844.375</v>
      </c>
      <c r="B2040" s="12" t="str">
        <f>HYPERLINK("https://twitter.com/VolActionLeeds","@VolActionLeeds")</f>
        <v>@VolActionLeeds</v>
      </c>
      <c r="C2040" s="1" t="s">
        <v>7795</v>
      </c>
      <c r="D2040" s="1" t="s">
        <v>7796</v>
      </c>
      <c r="E2040" s="12" t="str">
        <f>HYPERLINK("https://twitter.com/VolActionLeeds/status/1217083951270916096","1217083951270916096")</f>
        <v>1217083951270916096</v>
      </c>
      <c r="F2040" s="13" t="s">
        <v>7797</v>
      </c>
      <c r="G2040" s="13" t="s">
        <v>9412</v>
      </c>
      <c r="H2040" s="14"/>
      <c r="I2040" s="15">
        <v>1.0</v>
      </c>
      <c r="J2040" s="15">
        <v>2.0</v>
      </c>
      <c r="K2040" s="12" t="str">
        <f t="shared" ref="K2040:K2041" si="207">HYPERLINK("https://about.twitter.com/products/tweetdeck","TweetDeck")</f>
        <v>TweetDeck</v>
      </c>
      <c r="L2040" s="16">
        <v>5588.0</v>
      </c>
      <c r="M2040" s="16">
        <v>785.0</v>
      </c>
      <c r="N2040" s="16">
        <v>0.0</v>
      </c>
      <c r="O2040" s="17"/>
      <c r="P2040" s="18">
        <v>41113.139710648145</v>
      </c>
      <c r="Q2040" s="1" t="s">
        <v>7799</v>
      </c>
      <c r="R2040" s="1" t="s">
        <v>7800</v>
      </c>
      <c r="S2040" s="13" t="s">
        <v>7801</v>
      </c>
      <c r="T2040" s="14"/>
      <c r="U2040" s="19" t="str">
        <f>HYPERLINK("https://pbs.twimg.com/profile_images/1093131679575785472/OYNcVt4m.jpg","View")</f>
        <v>View</v>
      </c>
      <c r="V2040" s="14"/>
      <c r="W2040" s="14"/>
      <c r="X2040" s="14"/>
      <c r="Y2040" s="14"/>
      <c r="Z2040" s="14"/>
    </row>
    <row r="2041">
      <c r="A2041" s="11">
        <v>43844.375</v>
      </c>
      <c r="B2041" s="12" t="str">
        <f>HYPERLINK("https://twitter.com/WeHearYouZA","@WeHearYouZA")</f>
        <v>@WeHearYouZA</v>
      </c>
      <c r="C2041" s="1" t="s">
        <v>2299</v>
      </c>
      <c r="D2041" s="1" t="s">
        <v>9413</v>
      </c>
      <c r="E2041" s="12" t="str">
        <f>HYPERLINK("https://twitter.com/WeHearYouZA/status/1217083949832450048","1217083949832450048")</f>
        <v>1217083949832450048</v>
      </c>
      <c r="F2041" s="14"/>
      <c r="G2041" s="13" t="s">
        <v>9414</v>
      </c>
      <c r="H2041" s="14"/>
      <c r="I2041" s="15">
        <v>1.0</v>
      </c>
      <c r="J2041" s="15">
        <v>1.0</v>
      </c>
      <c r="K2041" s="12" t="str">
        <f t="shared" si="207"/>
        <v>TweetDeck</v>
      </c>
      <c r="L2041" s="16">
        <v>26.0</v>
      </c>
      <c r="M2041" s="16">
        <v>43.0</v>
      </c>
      <c r="N2041" s="16">
        <v>4.0</v>
      </c>
      <c r="O2041" s="17"/>
      <c r="P2041" s="18">
        <v>43661.22396990741</v>
      </c>
      <c r="Q2041" s="1" t="s">
        <v>2302</v>
      </c>
      <c r="R2041" s="1" t="s">
        <v>2303</v>
      </c>
      <c r="S2041" s="13" t="s">
        <v>2304</v>
      </c>
      <c r="T2041" s="14"/>
      <c r="U2041" s="19" t="str">
        <f>HYPERLINK("https://pbs.twimg.com/profile_images/1153562188415737856/1QVWKhWI.jpg","View")</f>
        <v>View</v>
      </c>
      <c r="V2041" s="14"/>
      <c r="W2041" s="14"/>
      <c r="X2041" s="14"/>
      <c r="Y2041" s="14"/>
      <c r="Z2041" s="14"/>
    </row>
    <row r="2042">
      <c r="A2042" s="11">
        <v>43844.37386574074</v>
      </c>
      <c r="B2042" s="12" t="str">
        <f>HYPERLINK("https://twitter.com/sostostress","@sostostress")</f>
        <v>@sostostress</v>
      </c>
      <c r="C2042" s="1" t="s">
        <v>1042</v>
      </c>
      <c r="D2042" s="1" t="s">
        <v>9415</v>
      </c>
      <c r="E2042" s="12" t="str">
        <f>HYPERLINK("https://twitter.com/sostostress/status/1217083538933043204","1217083538933043204")</f>
        <v>1217083538933043204</v>
      </c>
      <c r="F2042" s="13" t="s">
        <v>9416</v>
      </c>
      <c r="G2042" s="14"/>
      <c r="H2042" s="14"/>
      <c r="I2042" s="15">
        <v>0.0</v>
      </c>
      <c r="J2042" s="15">
        <v>1.0</v>
      </c>
      <c r="K2042" s="12" t="str">
        <f>HYPERLINK("http://twitter.com","Twitter Web Client")</f>
        <v>Twitter Web Client</v>
      </c>
      <c r="L2042" s="16">
        <v>333.0</v>
      </c>
      <c r="M2042" s="16">
        <v>171.0</v>
      </c>
      <c r="N2042" s="16">
        <v>46.0</v>
      </c>
      <c r="O2042" s="17"/>
      <c r="P2042" s="18">
        <v>40529.642071759255</v>
      </c>
      <c r="Q2042" s="1" t="s">
        <v>143</v>
      </c>
      <c r="R2042" s="1" t="s">
        <v>1046</v>
      </c>
      <c r="S2042" s="13" t="s">
        <v>1047</v>
      </c>
      <c r="T2042" s="14"/>
      <c r="U2042" s="19" t="str">
        <f>HYPERLINK("https://pbs.twimg.com/profile_images/1192953737/image006_pp_-_2__2_.jpg","View")</f>
        <v>View</v>
      </c>
      <c r="V2042" s="14"/>
      <c r="W2042" s="14"/>
      <c r="X2042" s="14"/>
      <c r="Y2042" s="14"/>
      <c r="Z2042" s="14"/>
    </row>
    <row r="2043">
      <c r="A2043" s="11">
        <v>43844.36850694445</v>
      </c>
      <c r="B2043" s="12" t="str">
        <f>HYPERLINK("https://twitter.com/breathebodymind","@breathebodymind")</f>
        <v>@breathebodymind</v>
      </c>
      <c r="C2043" s="1" t="s">
        <v>9417</v>
      </c>
      <c r="D2043" s="1" t="s">
        <v>9418</v>
      </c>
      <c r="E2043" s="12" t="str">
        <f>HYPERLINK("https://twitter.com/breathebodymind/status/1217081595288604673","1217081595288604673")</f>
        <v>1217081595288604673</v>
      </c>
      <c r="F2043" s="13" t="s">
        <v>9419</v>
      </c>
      <c r="G2043" s="13" t="s">
        <v>9420</v>
      </c>
      <c r="H2043" s="14"/>
      <c r="I2043" s="15">
        <v>0.0</v>
      </c>
      <c r="J2043" s="15">
        <v>0.0</v>
      </c>
      <c r="K2043" s="12" t="str">
        <f>HYPERLINK("https://ifttt.com","IFTTT")</f>
        <v>IFTTT</v>
      </c>
      <c r="L2043" s="16">
        <v>42.0</v>
      </c>
      <c r="M2043" s="16">
        <v>21.0</v>
      </c>
      <c r="N2043" s="16">
        <v>0.0</v>
      </c>
      <c r="O2043" s="17"/>
      <c r="P2043" s="18">
        <v>42597.51302083333</v>
      </c>
      <c r="Q2043" s="1" t="s">
        <v>9421</v>
      </c>
      <c r="R2043" s="1" t="s">
        <v>9422</v>
      </c>
      <c r="S2043" s="13" t="s">
        <v>9423</v>
      </c>
      <c r="T2043" s="14"/>
      <c r="U2043" s="19" t="str">
        <f>HYPERLINK("https://pbs.twimg.com/profile_images/765222594161311744/ySmrd5vB.jpg","View")</f>
        <v>View</v>
      </c>
      <c r="V2043" s="14"/>
      <c r="W2043" s="14"/>
      <c r="X2043" s="14"/>
      <c r="Y2043" s="14"/>
      <c r="Z2043" s="14"/>
    </row>
    <row r="2044">
      <c r="A2044" s="11">
        <v>43844.36679398148</v>
      </c>
      <c r="B2044" s="12" t="str">
        <f>HYPERLINK("https://twitter.com/JanesoneX","@JanesoneX")</f>
        <v>@JanesoneX</v>
      </c>
      <c r="C2044" s="1" t="s">
        <v>9424</v>
      </c>
      <c r="D2044" s="1" t="s">
        <v>9425</v>
      </c>
      <c r="E2044" s="12" t="str">
        <f>HYPERLINK("https://twitter.com/JanesoneX/status/1217080975231979521","1217080975231979521")</f>
        <v>1217080975231979521</v>
      </c>
      <c r="F2044" s="13" t="s">
        <v>9426</v>
      </c>
      <c r="G2044" s="13" t="s">
        <v>9427</v>
      </c>
      <c r="H2044" s="14"/>
      <c r="I2044" s="15">
        <v>0.0</v>
      </c>
      <c r="J2044" s="15">
        <v>0.0</v>
      </c>
      <c r="K2044" s="12" t="str">
        <f t="shared" ref="K2044:K2045" si="208">HYPERLINK("https://mobile.twitter.com","Twitter Web App")</f>
        <v>Twitter Web App</v>
      </c>
      <c r="L2044" s="16">
        <v>309.0</v>
      </c>
      <c r="M2044" s="16">
        <v>704.0</v>
      </c>
      <c r="N2044" s="16">
        <v>11.0</v>
      </c>
      <c r="O2044" s="17"/>
      <c r="P2044" s="18">
        <v>42786.128530092596</v>
      </c>
      <c r="Q2044" s="1" t="s">
        <v>9428</v>
      </c>
      <c r="R2044" s="1" t="s">
        <v>9429</v>
      </c>
      <c r="S2044" s="13" t="s">
        <v>9430</v>
      </c>
      <c r="T2044" s="14"/>
      <c r="U2044" s="19" t="str">
        <f>HYPERLINK("https://pbs.twimg.com/profile_images/1173304778778189824/9QYJTVUO.jpg","View")</f>
        <v>View</v>
      </c>
      <c r="V2044" s="14"/>
      <c r="W2044" s="14"/>
      <c r="X2044" s="14"/>
      <c r="Y2044" s="14"/>
      <c r="Z2044" s="14"/>
    </row>
    <row r="2045">
      <c r="A2045" s="11">
        <v>43844.36525462963</v>
      </c>
      <c r="B2045" s="12" t="str">
        <f>HYPERLINK("https://twitter.com/AdvancedCareCom","@AdvancedCareCom")</f>
        <v>@AdvancedCareCom</v>
      </c>
      <c r="C2045" s="1" t="s">
        <v>9431</v>
      </c>
      <c r="D2045" s="1" t="s">
        <v>9432</v>
      </c>
      <c r="E2045" s="12" t="str">
        <f>HYPERLINK("https://twitter.com/AdvancedCareCom/status/1217080416382980096","1217080416382980096")</f>
        <v>1217080416382980096</v>
      </c>
      <c r="F2045" s="13" t="s">
        <v>9433</v>
      </c>
      <c r="G2045" s="14"/>
      <c r="H2045" s="14"/>
      <c r="I2045" s="15">
        <v>0.0</v>
      </c>
      <c r="J2045" s="15">
        <v>0.0</v>
      </c>
      <c r="K2045" s="12" t="str">
        <f t="shared" si="208"/>
        <v>Twitter Web App</v>
      </c>
      <c r="L2045" s="16">
        <v>47.0</v>
      </c>
      <c r="M2045" s="16">
        <v>59.0</v>
      </c>
      <c r="N2045" s="16">
        <v>0.0</v>
      </c>
      <c r="O2045" s="17"/>
      <c r="P2045" s="18">
        <v>43651.35886574074</v>
      </c>
      <c r="Q2045" s="1" t="s">
        <v>727</v>
      </c>
      <c r="R2045" s="1" t="s">
        <v>9434</v>
      </c>
      <c r="S2045" s="13" t="s">
        <v>9435</v>
      </c>
      <c r="T2045" s="14"/>
      <c r="U2045" s="19" t="str">
        <f>HYPERLINK("https://pbs.twimg.com/profile_images/1147122986153127936/m820mSnP.png","View")</f>
        <v>View</v>
      </c>
      <c r="V2045" s="14"/>
      <c r="W2045" s="14"/>
      <c r="X2045" s="14"/>
      <c r="Y2045" s="14"/>
      <c r="Z2045" s="14"/>
    </row>
    <row r="2046">
      <c r="A2046" s="11">
        <v>43844.3647337963</v>
      </c>
      <c r="B2046" s="12" t="str">
        <f>HYPERLINK("https://twitter.com/shulmanlawfirm","@shulmanlawfirm")</f>
        <v>@shulmanlawfirm</v>
      </c>
      <c r="C2046" s="1" t="s">
        <v>9436</v>
      </c>
      <c r="D2046" s="1" t="s">
        <v>9437</v>
      </c>
      <c r="E2046" s="12" t="str">
        <f>HYPERLINK("https://twitter.com/shulmanlawfirm/status/1217080228805316610","1217080228805316610")</f>
        <v>1217080228805316610</v>
      </c>
      <c r="F2046" s="13" t="s">
        <v>9438</v>
      </c>
      <c r="G2046" s="14"/>
      <c r="H2046" s="14"/>
      <c r="I2046" s="15">
        <v>0.0</v>
      </c>
      <c r="J2046" s="15">
        <v>1.0</v>
      </c>
      <c r="K2046" s="12" t="str">
        <f>HYPERLINK("https://www.hootsuite.com","Hootsuite Inc.")</f>
        <v>Hootsuite Inc.</v>
      </c>
      <c r="L2046" s="16">
        <v>5112.0</v>
      </c>
      <c r="M2046" s="16">
        <v>1061.0</v>
      </c>
      <c r="N2046" s="16">
        <v>43.0</v>
      </c>
      <c r="O2046" s="17"/>
      <c r="P2046" s="18">
        <v>41745.58082175926</v>
      </c>
      <c r="Q2046" s="1" t="s">
        <v>9439</v>
      </c>
      <c r="R2046" s="1" t="s">
        <v>9440</v>
      </c>
      <c r="S2046" s="13" t="s">
        <v>9441</v>
      </c>
      <c r="T2046" s="14"/>
      <c r="U2046" s="19" t="str">
        <f>HYPERLINK("https://pbs.twimg.com/profile_images/1207330060711137281/HdQ5L9ga.jpg","View")</f>
        <v>View</v>
      </c>
      <c r="V2046" s="14"/>
      <c r="W2046" s="14"/>
      <c r="X2046" s="14"/>
      <c r="Y2046" s="14"/>
      <c r="Z2046" s="14"/>
    </row>
    <row r="2047">
      <c r="A2047" s="11">
        <v>43844.36430555556</v>
      </c>
      <c r="B2047" s="12" t="str">
        <f>HYPERLINK("https://twitter.com/christineabela","@christineabela")</f>
        <v>@christineabela</v>
      </c>
      <c r="C2047" s="1" t="s">
        <v>8544</v>
      </c>
      <c r="D2047" s="1" t="s">
        <v>9442</v>
      </c>
      <c r="E2047" s="12" t="str">
        <f>HYPERLINK("https://twitter.com/christineabela/status/1217080072995328001","1217080072995328001")</f>
        <v>1217080072995328001</v>
      </c>
      <c r="F2047" s="13" t="s">
        <v>9443</v>
      </c>
      <c r="G2047" s="13" t="s">
        <v>9444</v>
      </c>
      <c r="H2047" s="14"/>
      <c r="I2047" s="15">
        <v>0.0</v>
      </c>
      <c r="J2047" s="15">
        <v>0.0</v>
      </c>
      <c r="K2047" s="12" t="str">
        <f>HYPERLINK("https://missinglettr.com","Missinglettr")</f>
        <v>Missinglettr</v>
      </c>
      <c r="L2047" s="16">
        <v>4374.0</v>
      </c>
      <c r="M2047" s="16">
        <v>4962.0</v>
      </c>
      <c r="N2047" s="16">
        <v>262.0</v>
      </c>
      <c r="O2047" s="17"/>
      <c r="P2047" s="18">
        <v>40195.727314814816</v>
      </c>
      <c r="Q2047" s="1" t="s">
        <v>8548</v>
      </c>
      <c r="R2047" s="1" t="s">
        <v>8549</v>
      </c>
      <c r="S2047" s="13" t="s">
        <v>8550</v>
      </c>
      <c r="T2047" s="14"/>
      <c r="U2047" s="19" t="str">
        <f>HYPERLINK("https://pbs.twimg.com/profile_images/938926326790148096/M01l_nhx.jpg","View")</f>
        <v>View</v>
      </c>
      <c r="V2047" s="14"/>
      <c r="W2047" s="14"/>
      <c r="X2047" s="14"/>
      <c r="Y2047" s="14"/>
      <c r="Z2047" s="14"/>
    </row>
    <row r="2048">
      <c r="A2048" s="11">
        <v>43844.36393518519</v>
      </c>
      <c r="B2048" s="12" t="str">
        <f>HYPERLINK("https://twitter.com/jenandhel","@jenandhel")</f>
        <v>@jenandhel</v>
      </c>
      <c r="C2048" s="1" t="s">
        <v>9445</v>
      </c>
      <c r="D2048" s="1" t="s">
        <v>9446</v>
      </c>
      <c r="E2048" s="12" t="str">
        <f>HYPERLINK("https://twitter.com/jenandhel/status/1217079938852851712","1217079938852851712")</f>
        <v>1217079938852851712</v>
      </c>
      <c r="F2048" s="13" t="s">
        <v>9447</v>
      </c>
      <c r="G2048" s="14"/>
      <c r="H2048" s="14"/>
      <c r="I2048" s="15">
        <v>0.0</v>
      </c>
      <c r="J2048" s="15">
        <v>0.0</v>
      </c>
      <c r="K2048" s="12" t="str">
        <f>HYPERLINK("http://twitter.com","Twitter Web Client")</f>
        <v>Twitter Web Client</v>
      </c>
      <c r="L2048" s="16">
        <v>649.0</v>
      </c>
      <c r="M2048" s="16">
        <v>526.0</v>
      </c>
      <c r="N2048" s="16">
        <v>72.0</v>
      </c>
      <c r="O2048" s="17"/>
      <c r="P2048" s="18">
        <v>41610.77842592593</v>
      </c>
      <c r="Q2048" s="1" t="s">
        <v>9448</v>
      </c>
      <c r="R2048" s="1" t="s">
        <v>9449</v>
      </c>
      <c r="S2048" s="13" t="s">
        <v>9450</v>
      </c>
      <c r="T2048" s="14"/>
      <c r="U2048" s="19" t="str">
        <f>HYPERLINK("https://pbs.twimg.com/profile_images/430187917613346817/xTZzYbNd.jpeg","View")</f>
        <v>View</v>
      </c>
      <c r="V2048" s="14"/>
      <c r="W2048" s="14"/>
      <c r="X2048" s="14"/>
      <c r="Y2048" s="14"/>
      <c r="Z2048" s="14"/>
    </row>
    <row r="2049">
      <c r="A2049" s="11">
        <v>43844.363391203704</v>
      </c>
      <c r="B2049" s="12" t="str">
        <f>HYPERLINK("https://twitter.com/allaboutpeople2","@allaboutpeople2")</f>
        <v>@allaboutpeople2</v>
      </c>
      <c r="C2049" s="1" t="s">
        <v>3353</v>
      </c>
      <c r="D2049" s="1" t="s">
        <v>9451</v>
      </c>
      <c r="E2049" s="12" t="str">
        <f>HYPERLINK("https://twitter.com/allaboutpeople2/status/1217079743486537729","1217079743486537729")</f>
        <v>1217079743486537729</v>
      </c>
      <c r="F2049" s="14"/>
      <c r="G2049" s="13" t="s">
        <v>9452</v>
      </c>
      <c r="H2049" s="14"/>
      <c r="I2049" s="15">
        <v>0.0</v>
      </c>
      <c r="J2049" s="15">
        <v>0.0</v>
      </c>
      <c r="K2049" s="12" t="str">
        <f>HYPERLINK("https://mobile.twitter.com","Twitter Web App")</f>
        <v>Twitter Web App</v>
      </c>
      <c r="L2049" s="16">
        <v>230.0</v>
      </c>
      <c r="M2049" s="16">
        <v>414.0</v>
      </c>
      <c r="N2049" s="16">
        <v>16.0</v>
      </c>
      <c r="O2049" s="17"/>
      <c r="P2049" s="18">
        <v>41213.62012731482</v>
      </c>
      <c r="Q2049" s="1" t="s">
        <v>3356</v>
      </c>
      <c r="R2049" s="1" t="s">
        <v>3357</v>
      </c>
      <c r="S2049" s="13" t="s">
        <v>3358</v>
      </c>
      <c r="T2049" s="14"/>
      <c r="U2049" s="19" t="str">
        <f>HYPERLINK("https://pbs.twimg.com/profile_images/378800000806343196/b78722ae72d38ee4b2876be236fa0872.jpeg","View")</f>
        <v>View</v>
      </c>
      <c r="V2049" s="14"/>
      <c r="W2049" s="14"/>
      <c r="X2049" s="14"/>
      <c r="Y2049" s="14"/>
      <c r="Z2049" s="14"/>
    </row>
    <row r="2050">
      <c r="A2050" s="11">
        <v>43844.36278935186</v>
      </c>
      <c r="B2050" s="12" t="str">
        <f>HYPERLINK("https://twitter.com/IrwinE_Training","@IrwinE_Training")</f>
        <v>@IrwinE_Training</v>
      </c>
      <c r="C2050" s="1" t="s">
        <v>9453</v>
      </c>
      <c r="D2050" s="1" t="s">
        <v>9454</v>
      </c>
      <c r="E2050" s="12" t="str">
        <f>HYPERLINK("https://twitter.com/IrwinE_Training/status/1217079524241874945","1217079524241874945")</f>
        <v>1217079524241874945</v>
      </c>
      <c r="F2050" s="13" t="s">
        <v>9455</v>
      </c>
      <c r="G2050" s="13" t="s">
        <v>9456</v>
      </c>
      <c r="H2050" s="14"/>
      <c r="I2050" s="15">
        <v>0.0</v>
      </c>
      <c r="J2050" s="15">
        <v>0.0</v>
      </c>
      <c r="K2050" s="12" t="str">
        <f>HYPERLINK("http://twitter.com/#!/download/ipad","Twitter for iPad")</f>
        <v>Twitter for iPad</v>
      </c>
      <c r="L2050" s="16">
        <v>36.0</v>
      </c>
      <c r="M2050" s="16">
        <v>290.0</v>
      </c>
      <c r="N2050" s="16">
        <v>0.0</v>
      </c>
      <c r="O2050" s="17"/>
      <c r="P2050" s="18">
        <v>43678.36292824074</v>
      </c>
      <c r="Q2050" s="1" t="s">
        <v>9457</v>
      </c>
      <c r="R2050" s="1" t="s">
        <v>9458</v>
      </c>
      <c r="S2050" s="13" t="s">
        <v>9459</v>
      </c>
      <c r="T2050" s="14"/>
      <c r="U2050" s="19" t="str">
        <f>HYPERLINK("https://pbs.twimg.com/profile_images/1156908321418489857/hfFo3aZC.jpg","View")</f>
        <v>View</v>
      </c>
      <c r="V2050" s="14"/>
      <c r="W2050" s="14"/>
      <c r="X2050" s="14"/>
      <c r="Y2050" s="14"/>
      <c r="Z2050" s="14"/>
    </row>
    <row r="2051">
      <c r="A2051" s="11">
        <v>43844.36212962963</v>
      </c>
      <c r="B2051" s="12" t="str">
        <f>HYPERLINK("https://twitter.com/dmesupplyusa","@dmesupplyusa")</f>
        <v>@dmesupplyusa</v>
      </c>
      <c r="C2051" s="1" t="s">
        <v>9460</v>
      </c>
      <c r="D2051" s="1" t="s">
        <v>9461</v>
      </c>
      <c r="E2051" s="12" t="str">
        <f>HYPERLINK("https://twitter.com/dmesupplyusa/status/1217079285145645056","1217079285145645056")</f>
        <v>1217079285145645056</v>
      </c>
      <c r="F2051" s="13" t="s">
        <v>9462</v>
      </c>
      <c r="G2051" s="13" t="s">
        <v>9463</v>
      </c>
      <c r="H2051" s="14"/>
      <c r="I2051" s="15">
        <v>0.0</v>
      </c>
      <c r="J2051" s="15">
        <v>0.0</v>
      </c>
      <c r="K2051" s="12" t="str">
        <f>HYPERLINK("https://mobile.twitter.com","Twitter Web App")</f>
        <v>Twitter Web App</v>
      </c>
      <c r="L2051" s="16">
        <v>19.0</v>
      </c>
      <c r="M2051" s="16">
        <v>49.0</v>
      </c>
      <c r="N2051" s="16">
        <v>0.0</v>
      </c>
      <c r="O2051" s="17"/>
      <c r="P2051" s="18">
        <v>42558.515069444446</v>
      </c>
      <c r="Q2051" s="14"/>
      <c r="R2051" s="14"/>
      <c r="S2051" s="14"/>
      <c r="T2051" s="14"/>
      <c r="U2051" s="19" t="str">
        <f>HYPERLINK("https://pbs.twimg.com/profile_images/1067538164175249408/57Zvo77w.jpg","View")</f>
        <v>View</v>
      </c>
      <c r="V2051" s="14"/>
      <c r="W2051" s="14"/>
      <c r="X2051" s="14"/>
      <c r="Y2051" s="14"/>
      <c r="Z2051" s="14"/>
    </row>
    <row r="2052">
      <c r="A2052" s="11">
        <v>43844.36159722222</v>
      </c>
      <c r="B2052" s="12" t="str">
        <f>HYPERLINK("https://twitter.com/DrKristieLeong","@DrKristieLeong")</f>
        <v>@DrKristieLeong</v>
      </c>
      <c r="C2052" s="1" t="s">
        <v>3059</v>
      </c>
      <c r="D2052" s="1" t="s">
        <v>9464</v>
      </c>
      <c r="E2052" s="12" t="str">
        <f>HYPERLINK("https://twitter.com/DrKristieLeong/status/1217079090446053376","1217079090446053376")</f>
        <v>1217079090446053376</v>
      </c>
      <c r="F2052" s="14"/>
      <c r="G2052" s="13" t="s">
        <v>9465</v>
      </c>
      <c r="H2052" s="14"/>
      <c r="I2052" s="15">
        <v>39.0</v>
      </c>
      <c r="J2052" s="15">
        <v>122.0</v>
      </c>
      <c r="K2052" s="12" t="str">
        <f>HYPERLINK("https://buffer.com","Buffer")</f>
        <v>Buffer</v>
      </c>
      <c r="L2052" s="16">
        <v>20249.0</v>
      </c>
      <c r="M2052" s="16">
        <v>2631.0</v>
      </c>
      <c r="N2052" s="16">
        <v>557.0</v>
      </c>
      <c r="O2052" s="17"/>
      <c r="P2052" s="18">
        <v>40792.37081018518</v>
      </c>
      <c r="Q2052" s="14"/>
      <c r="R2052" s="1" t="s">
        <v>3062</v>
      </c>
      <c r="S2052" s="14"/>
      <c r="T2052" s="14"/>
      <c r="U2052" s="19" t="str">
        <f>HYPERLINK("https://pbs.twimg.com/profile_images/1802187878/kristie_website.jpg","View")</f>
        <v>View</v>
      </c>
      <c r="V2052" s="14"/>
      <c r="W2052" s="14"/>
      <c r="X2052" s="14"/>
      <c r="Y2052" s="14"/>
      <c r="Z2052" s="14"/>
    </row>
    <row r="2053">
      <c r="A2053" s="11">
        <v>43844.36077546296</v>
      </c>
      <c r="B2053" s="12" t="str">
        <f>HYPERLINK("https://twitter.com/IBWGUAE","@IBWGUAE")</f>
        <v>@IBWGUAE</v>
      </c>
      <c r="C2053" s="1" t="s">
        <v>9466</v>
      </c>
      <c r="D2053" s="1" t="s">
        <v>9467</v>
      </c>
      <c r="E2053" s="12" t="str">
        <f>HYPERLINK("https://twitter.com/IBWGUAE/status/1217078794068119552","1217078794068119552")</f>
        <v>1217078794068119552</v>
      </c>
      <c r="F2053" s="14"/>
      <c r="G2053" s="13" t="s">
        <v>9468</v>
      </c>
      <c r="H2053" s="14"/>
      <c r="I2053" s="15">
        <v>1.0</v>
      </c>
      <c r="J2053" s="15">
        <v>1.0</v>
      </c>
      <c r="K2053" s="12" t="str">
        <f>HYPERLINK("https://mobile.twitter.com","Twitter Web App")</f>
        <v>Twitter Web App</v>
      </c>
      <c r="L2053" s="16">
        <v>59.0</v>
      </c>
      <c r="M2053" s="16">
        <v>126.0</v>
      </c>
      <c r="N2053" s="16">
        <v>0.0</v>
      </c>
      <c r="O2053" s="17"/>
      <c r="P2053" s="18">
        <v>43157.03119212963</v>
      </c>
      <c r="Q2053" s="1" t="s">
        <v>3741</v>
      </c>
      <c r="R2053" s="1" t="s">
        <v>9469</v>
      </c>
      <c r="S2053" s="13" t="s">
        <v>9470</v>
      </c>
      <c r="T2053" s="14"/>
      <c r="U2053" s="19" t="str">
        <f>HYPERLINK("https://pbs.twimg.com/profile_images/1046425725593669632/HqgRxHOt.jpg","View")</f>
        <v>View</v>
      </c>
      <c r="V2053" s="14"/>
      <c r="W2053" s="14"/>
      <c r="X2053" s="14"/>
      <c r="Y2053" s="14"/>
      <c r="Z2053" s="14"/>
    </row>
    <row r="2054">
      <c r="A2054" s="11">
        <v>43844.35854166667</v>
      </c>
      <c r="B2054" s="12" t="str">
        <f>HYPERLINK("https://twitter.com/tamraraven","@tamraraven")</f>
        <v>@tamraraven</v>
      </c>
      <c r="C2054" s="1" t="s">
        <v>9471</v>
      </c>
      <c r="D2054" s="1" t="s">
        <v>9472</v>
      </c>
      <c r="E2054" s="12" t="str">
        <f>HYPERLINK("https://twitter.com/tamraraven/status/1217077984646950912","1217077984646950912")</f>
        <v>1217077984646950912</v>
      </c>
      <c r="F2054" s="13" t="s">
        <v>9473</v>
      </c>
      <c r="G2054" s="14"/>
      <c r="H2054" s="14"/>
      <c r="I2054" s="15">
        <v>1.0</v>
      </c>
      <c r="J2054" s="15">
        <v>0.0</v>
      </c>
      <c r="K2054" s="12" t="str">
        <f t="shared" ref="K2054:K2055" si="209">HYPERLINK("http://twitter.com/download/iphone","Twitter for iPhone")</f>
        <v>Twitter for iPhone</v>
      </c>
      <c r="L2054" s="16">
        <v>2860.0</v>
      </c>
      <c r="M2054" s="16">
        <v>5000.0</v>
      </c>
      <c r="N2054" s="16">
        <v>1305.0</v>
      </c>
      <c r="O2054" s="17"/>
      <c r="P2054" s="18">
        <v>40579.07449074074</v>
      </c>
      <c r="Q2054" s="1" t="s">
        <v>9474</v>
      </c>
      <c r="R2054" s="1" t="s">
        <v>9475</v>
      </c>
      <c r="S2054" s="13" t="s">
        <v>9476</v>
      </c>
      <c r="T2054" s="14"/>
      <c r="U2054" s="19" t="str">
        <f>HYPERLINK("https://pbs.twimg.com/profile_images/1886945817/GSTM_baby_icon_125.jpg","View")</f>
        <v>View</v>
      </c>
      <c r="V2054" s="14"/>
      <c r="W2054" s="14"/>
      <c r="X2054" s="14"/>
      <c r="Y2054" s="14"/>
      <c r="Z2054" s="14"/>
    </row>
    <row r="2055">
      <c r="A2055" s="11">
        <v>43844.3575462963</v>
      </c>
      <c r="B2055" s="12" t="str">
        <f>HYPERLINK("https://twitter.com/MoveHappyTeam","@MoveHappyTeam")</f>
        <v>@MoveHappyTeam</v>
      </c>
      <c r="C2055" s="1" t="s">
        <v>2868</v>
      </c>
      <c r="D2055" s="1" t="s">
        <v>9477</v>
      </c>
      <c r="E2055" s="12" t="str">
        <f>HYPERLINK("https://twitter.com/MoveHappyTeam/status/1217077626214526977","1217077626214526977")</f>
        <v>1217077626214526977</v>
      </c>
      <c r="F2055" s="14"/>
      <c r="G2055" s="13" t="s">
        <v>9478</v>
      </c>
      <c r="H2055" s="14"/>
      <c r="I2055" s="15">
        <v>1.0</v>
      </c>
      <c r="J2055" s="15">
        <v>2.0</v>
      </c>
      <c r="K2055" s="12" t="str">
        <f t="shared" si="209"/>
        <v>Twitter for iPhone</v>
      </c>
      <c r="L2055" s="16">
        <v>331.0</v>
      </c>
      <c r="M2055" s="16">
        <v>443.0</v>
      </c>
      <c r="N2055" s="16">
        <v>2.0</v>
      </c>
      <c r="O2055" s="17"/>
      <c r="P2055" s="18">
        <v>43279.28621527778</v>
      </c>
      <c r="Q2055" s="1" t="s">
        <v>2871</v>
      </c>
      <c r="R2055" s="1" t="s">
        <v>2872</v>
      </c>
      <c r="S2055" s="13" t="s">
        <v>2873</v>
      </c>
      <c r="T2055" s="14"/>
      <c r="U2055" s="19" t="str">
        <f>HYPERLINK("https://pbs.twimg.com/profile_images/1123958859004043265/WjXQ8F3-.jpg","View")</f>
        <v>View</v>
      </c>
      <c r="V2055" s="14"/>
      <c r="W2055" s="14"/>
      <c r="X2055" s="14"/>
      <c r="Y2055" s="14"/>
      <c r="Z2055" s="14"/>
    </row>
    <row r="2056">
      <c r="A2056" s="11">
        <v>43844.354583333334</v>
      </c>
      <c r="B2056" s="12" t="str">
        <f>HYPERLINK("https://twitter.com/Mommingit1","@Mommingit1")</f>
        <v>@Mommingit1</v>
      </c>
      <c r="C2056" s="1" t="s">
        <v>9479</v>
      </c>
      <c r="D2056" s="1" t="s">
        <v>9480</v>
      </c>
      <c r="E2056" s="12" t="str">
        <f>HYPERLINK("https://twitter.com/Mommingit1/status/1217076550664892416","1217076550664892416")</f>
        <v>1217076550664892416</v>
      </c>
      <c r="F2056" s="13" t="s">
        <v>9481</v>
      </c>
      <c r="G2056" s="13" t="s">
        <v>9482</v>
      </c>
      <c r="H2056" s="14"/>
      <c r="I2056" s="15">
        <v>0.0</v>
      </c>
      <c r="J2056" s="15">
        <v>0.0</v>
      </c>
      <c r="K2056" s="12" t="str">
        <f>HYPERLINK("https://www.hootsuite.com","Hootsuite Inc.")</f>
        <v>Hootsuite Inc.</v>
      </c>
      <c r="L2056" s="16">
        <v>1.0</v>
      </c>
      <c r="M2056" s="16">
        <v>0.0</v>
      </c>
      <c r="N2056" s="16">
        <v>0.0</v>
      </c>
      <c r="O2056" s="17"/>
      <c r="P2056" s="18">
        <v>43838.936875</v>
      </c>
      <c r="Q2056" s="14"/>
      <c r="R2056" s="1" t="s">
        <v>9483</v>
      </c>
      <c r="S2056" s="14"/>
      <c r="T2056" s="14"/>
      <c r="U2056" s="19" t="str">
        <f>HYPERLINK("https://pbs.twimg.com/profile_images/1215113335760400385/oHebZVoa.jpg","View")</f>
        <v>View</v>
      </c>
      <c r="V2056" s="14"/>
      <c r="W2056" s="14"/>
      <c r="X2056" s="14"/>
      <c r="Y2056" s="14"/>
      <c r="Z2056" s="14"/>
    </row>
    <row r="2057">
      <c r="A2057" s="11">
        <v>43844.35429398148</v>
      </c>
      <c r="B2057" s="12" t="str">
        <f>HYPERLINK("https://twitter.com/LisaKaplin","@LisaKaplin")</f>
        <v>@LisaKaplin</v>
      </c>
      <c r="C2057" s="1" t="s">
        <v>6529</v>
      </c>
      <c r="D2057" s="1" t="s">
        <v>9484</v>
      </c>
      <c r="E2057" s="12" t="str">
        <f>HYPERLINK("https://twitter.com/LisaKaplin/status/1217076446427897857","1217076446427897857")</f>
        <v>1217076446427897857</v>
      </c>
      <c r="F2057" s="13" t="s">
        <v>9485</v>
      </c>
      <c r="G2057" s="13" t="s">
        <v>9486</v>
      </c>
      <c r="H2057" s="14"/>
      <c r="I2057" s="15">
        <v>0.0</v>
      </c>
      <c r="J2057" s="15">
        <v>0.0</v>
      </c>
      <c r="K2057" s="12" t="str">
        <f>HYPERLINK("http://postplanner.com","Post Planner Inc.")</f>
        <v>Post Planner Inc.</v>
      </c>
      <c r="L2057" s="16">
        <v>4186.0</v>
      </c>
      <c r="M2057" s="16">
        <v>4311.0</v>
      </c>
      <c r="N2057" s="16">
        <v>126.0</v>
      </c>
      <c r="O2057" s="17"/>
      <c r="P2057" s="18">
        <v>40856.68561342593</v>
      </c>
      <c r="Q2057" s="1" t="s">
        <v>56</v>
      </c>
      <c r="R2057" s="1" t="s">
        <v>6533</v>
      </c>
      <c r="S2057" s="13" t="s">
        <v>6534</v>
      </c>
      <c r="T2057" s="14"/>
      <c r="U2057" s="19" t="str">
        <f>HYPERLINK("https://pbs.twimg.com/profile_images/812025630183149568/sM1KK1Y8.jpg","View")</f>
        <v>View</v>
      </c>
      <c r="V2057" s="14"/>
      <c r="W2057" s="14"/>
      <c r="X2057" s="14"/>
      <c r="Y2057" s="14"/>
      <c r="Z2057" s="14"/>
    </row>
    <row r="2058">
      <c r="A2058" s="11">
        <v>43844.35416666667</v>
      </c>
      <c r="B2058" s="12" t="str">
        <f>HYPERLINK("https://twitter.com/reliancehosp","@reliancehosp")</f>
        <v>@reliancehosp</v>
      </c>
      <c r="C2058" s="1" t="s">
        <v>9487</v>
      </c>
      <c r="D2058" s="1" t="s">
        <v>9488</v>
      </c>
      <c r="E2058" s="12" t="str">
        <f>HYPERLINK("https://twitter.com/reliancehosp/status/1217076398440927233","1217076398440927233")</f>
        <v>1217076398440927233</v>
      </c>
      <c r="F2058" s="14"/>
      <c r="G2058" s="13" t="s">
        <v>9489</v>
      </c>
      <c r="H2058" s="14"/>
      <c r="I2058" s="15">
        <v>0.0</v>
      </c>
      <c r="J2058" s="15">
        <v>0.0</v>
      </c>
      <c r="K2058" s="12" t="str">
        <f>HYPERLINK("https://about.twitter.com/products/tweetdeck","TweetDeck")</f>
        <v>TweetDeck</v>
      </c>
      <c r="L2058" s="16">
        <v>642.0</v>
      </c>
      <c r="M2058" s="16">
        <v>10.0</v>
      </c>
      <c r="N2058" s="16">
        <v>1.0</v>
      </c>
      <c r="O2058" s="17"/>
      <c r="P2058" s="18">
        <v>43020.07127314815</v>
      </c>
      <c r="Q2058" s="1" t="s">
        <v>9490</v>
      </c>
      <c r="R2058" s="1" t="s">
        <v>9491</v>
      </c>
      <c r="S2058" s="13" t="s">
        <v>9492</v>
      </c>
      <c r="T2058" s="14"/>
      <c r="U2058" s="19" t="str">
        <f>HYPERLINK("https://pbs.twimg.com/profile_images/977125413838381057/eSk1Eo49.jpg","View")</f>
        <v>View</v>
      </c>
      <c r="V2058" s="14"/>
      <c r="W2058" s="14"/>
      <c r="X2058" s="14"/>
      <c r="Y2058" s="14"/>
      <c r="Z2058" s="14"/>
    </row>
    <row r="2059">
      <c r="A2059" s="11">
        <v>43844.35351851852</v>
      </c>
      <c r="B2059" s="12" t="str">
        <f>HYPERLINK("https://twitter.com/WeGoBack2Nature","@WeGoBack2Nature")</f>
        <v>@WeGoBack2Nature</v>
      </c>
      <c r="C2059" s="1" t="s">
        <v>9493</v>
      </c>
      <c r="D2059" s="1" t="s">
        <v>9494</v>
      </c>
      <c r="E2059" s="12" t="str">
        <f>HYPERLINK("https://twitter.com/WeGoBack2Nature/status/1217076164172427265","1217076164172427265")</f>
        <v>1217076164172427265</v>
      </c>
      <c r="F2059" s="13" t="s">
        <v>9495</v>
      </c>
      <c r="G2059" s="13" t="s">
        <v>9496</v>
      </c>
      <c r="H2059" s="14"/>
      <c r="I2059" s="15">
        <v>0.0</v>
      </c>
      <c r="J2059" s="15">
        <v>1.0</v>
      </c>
      <c r="K2059" s="12" t="str">
        <f>HYPERLINK("http://twitter.com/download/android","Twitter for Android")</f>
        <v>Twitter for Android</v>
      </c>
      <c r="L2059" s="16">
        <v>10.0</v>
      </c>
      <c r="M2059" s="16">
        <v>37.0</v>
      </c>
      <c r="N2059" s="16">
        <v>0.0</v>
      </c>
      <c r="O2059" s="17"/>
      <c r="P2059" s="18">
        <v>43726.57040509259</v>
      </c>
      <c r="Q2059" s="14"/>
      <c r="R2059" s="1" t="s">
        <v>9497</v>
      </c>
      <c r="S2059" s="13" t="s">
        <v>9498</v>
      </c>
      <c r="T2059" s="14"/>
      <c r="U2059" s="19" t="str">
        <f>HYPERLINK("https://pbs.twimg.com/profile_images/1174378145551716353/jDGfpLJa.jpg","View")</f>
        <v>View</v>
      </c>
      <c r="V2059" s="14"/>
      <c r="W2059" s="14"/>
      <c r="X2059" s="14"/>
      <c r="Y2059" s="14"/>
      <c r="Z2059" s="14"/>
    </row>
    <row r="2060">
      <c r="A2060" s="11">
        <v>43844.352430555555</v>
      </c>
      <c r="B2060" s="12" t="str">
        <f>HYPERLINK("https://twitter.com/WeLiftAndShift","@WeLiftAndShift")</f>
        <v>@WeLiftAndShift</v>
      </c>
      <c r="C2060" s="1" t="s">
        <v>9499</v>
      </c>
      <c r="D2060" s="1" t="s">
        <v>9500</v>
      </c>
      <c r="E2060" s="12" t="str">
        <f>HYPERLINK("https://twitter.com/WeLiftAndShift/status/1217075769249189888","1217075769249189888")</f>
        <v>1217075769249189888</v>
      </c>
      <c r="F2060" s="13" t="s">
        <v>9501</v>
      </c>
      <c r="G2060" s="14"/>
      <c r="H2060" s="12" t="str">
        <f>HYPERLINK("https://ctrlq.org/maps/address/#40.7142,-74.0064","Map")</f>
        <v>Map</v>
      </c>
      <c r="I2060" s="15">
        <v>0.0</v>
      </c>
      <c r="J2060" s="15">
        <v>0.0</v>
      </c>
      <c r="K2060" s="12" t="str">
        <f>HYPERLINK("http://instagram.com","Instagram")</f>
        <v>Instagram</v>
      </c>
      <c r="L2060" s="16">
        <v>373.0</v>
      </c>
      <c r="M2060" s="16">
        <v>2267.0</v>
      </c>
      <c r="N2060" s="16">
        <v>6.0</v>
      </c>
      <c r="O2060" s="17"/>
      <c r="P2060" s="18">
        <v>43021.75271990741</v>
      </c>
      <c r="Q2060" s="1" t="s">
        <v>809</v>
      </c>
      <c r="R2060" s="1" t="s">
        <v>9502</v>
      </c>
      <c r="S2060" s="13" t="s">
        <v>9503</v>
      </c>
      <c r="T2060" s="14"/>
      <c r="U2060" s="19" t="str">
        <f>HYPERLINK("https://pbs.twimg.com/profile_images/1134586763048083456/OEie914j.png","View")</f>
        <v>View</v>
      </c>
      <c r="V2060" s="14"/>
      <c r="W2060" s="14"/>
      <c r="X2060" s="14"/>
      <c r="Y2060" s="14"/>
      <c r="Z2060" s="14"/>
    </row>
    <row r="2061">
      <c r="A2061" s="11">
        <v>43844.35070601852</v>
      </c>
      <c r="B2061" s="12" t="str">
        <f>HYPERLINK("https://twitter.com/URthrive","@URthrive")</f>
        <v>@URthrive</v>
      </c>
      <c r="C2061" s="1" t="s">
        <v>9504</v>
      </c>
      <c r="D2061" s="1" t="s">
        <v>9505</v>
      </c>
      <c r="E2061" s="12" t="str">
        <f>HYPERLINK("https://twitter.com/URthrive/status/1217075143605964800","1217075143605964800")</f>
        <v>1217075143605964800</v>
      </c>
      <c r="F2061" s="13" t="s">
        <v>9506</v>
      </c>
      <c r="G2061" s="14"/>
      <c r="H2061" s="14"/>
      <c r="I2061" s="15">
        <v>0.0</v>
      </c>
      <c r="J2061" s="15">
        <v>0.0</v>
      </c>
      <c r="K2061" s="12" t="str">
        <f>HYPERLINK("https://www.contentcal.io","ContentCal Studio")</f>
        <v>ContentCal Studio</v>
      </c>
      <c r="L2061" s="16">
        <v>266.0</v>
      </c>
      <c r="M2061" s="16">
        <v>245.0</v>
      </c>
      <c r="N2061" s="16">
        <v>4.0</v>
      </c>
      <c r="O2061" s="17"/>
      <c r="P2061" s="18">
        <v>42411.53916666667</v>
      </c>
      <c r="Q2061" s="1" t="s">
        <v>1194</v>
      </c>
      <c r="R2061" s="1" t="s">
        <v>9507</v>
      </c>
      <c r="S2061" s="13" t="s">
        <v>9508</v>
      </c>
      <c r="T2061" s="14"/>
      <c r="U2061" s="19" t="str">
        <f>HYPERLINK("https://pbs.twimg.com/profile_images/879764138460884992/0M2IbW3F.jpg","View")</f>
        <v>View</v>
      </c>
      <c r="V2061" s="14"/>
      <c r="W2061" s="14"/>
      <c r="X2061" s="14"/>
      <c r="Y2061" s="14"/>
      <c r="Z2061" s="14"/>
    </row>
    <row r="2062">
      <c r="A2062" s="11">
        <v>43844.346770833334</v>
      </c>
      <c r="B2062" s="12" t="str">
        <f>HYPERLINK("https://twitter.com/shamekaoliver53","@shamekaoliver53")</f>
        <v>@shamekaoliver53</v>
      </c>
      <c r="C2062" s="1" t="s">
        <v>9509</v>
      </c>
      <c r="D2062" s="1" t="s">
        <v>9510</v>
      </c>
      <c r="E2062" s="12" t="str">
        <f>HYPERLINK("https://twitter.com/shamekaoliver53/status/1217073720700829696","1217073720700829696")</f>
        <v>1217073720700829696</v>
      </c>
      <c r="F2062" s="13" t="s">
        <v>9511</v>
      </c>
      <c r="G2062" s="14"/>
      <c r="H2062" s="12" t="str">
        <f>HYPERLINK("https://ctrlq.org/maps/address/#39.7391,-104.98360001","Map")</f>
        <v>Map</v>
      </c>
      <c r="I2062" s="15">
        <v>0.0</v>
      </c>
      <c r="J2062" s="15">
        <v>0.0</v>
      </c>
      <c r="K2062" s="12" t="str">
        <f>HYPERLINK("http://instagram.com","Instagram")</f>
        <v>Instagram</v>
      </c>
      <c r="L2062" s="16">
        <v>169.0</v>
      </c>
      <c r="M2062" s="16">
        <v>1552.0</v>
      </c>
      <c r="N2062" s="16">
        <v>1.0</v>
      </c>
      <c r="O2062" s="17"/>
      <c r="P2062" s="18">
        <v>41348.782418981486</v>
      </c>
      <c r="Q2062" s="1" t="s">
        <v>1975</v>
      </c>
      <c r="R2062" s="1" t="s">
        <v>9512</v>
      </c>
      <c r="S2062" s="13" t="s">
        <v>9513</v>
      </c>
      <c r="T2062" s="14"/>
      <c r="U2062" s="19" t="str">
        <f>HYPERLINK("https://pbs.twimg.com/profile_images/995459536038211584/-2r1uL2-.jpg","View")</f>
        <v>View</v>
      </c>
      <c r="V2062" s="14"/>
      <c r="W2062" s="14"/>
      <c r="X2062" s="14"/>
      <c r="Y2062" s="14"/>
      <c r="Z2062" s="14"/>
    </row>
    <row r="2063">
      <c r="A2063" s="11">
        <v>43844.343946759254</v>
      </c>
      <c r="B2063" s="12" t="str">
        <f>HYPERLINK("https://twitter.com/ThingsAboutGod","@ThingsAboutGod")</f>
        <v>@ThingsAboutGod</v>
      </c>
      <c r="C2063" s="1" t="s">
        <v>5694</v>
      </c>
      <c r="D2063" s="1" t="s">
        <v>9514</v>
      </c>
      <c r="E2063" s="12" t="str">
        <f>HYPERLINK("https://twitter.com/ThingsAboutGod/status/1217072695717826561","1217072695717826561")</f>
        <v>1217072695717826561</v>
      </c>
      <c r="F2063" s="13" t="s">
        <v>9515</v>
      </c>
      <c r="G2063" s="14"/>
      <c r="H2063" s="14"/>
      <c r="I2063" s="15">
        <v>0.0</v>
      </c>
      <c r="J2063" s="15">
        <v>1.0</v>
      </c>
      <c r="K2063" s="12" t="str">
        <f>HYPERLINK("https://www.socialoomph.com","SocialOomph")</f>
        <v>SocialOomph</v>
      </c>
      <c r="L2063" s="16">
        <v>57132.0</v>
      </c>
      <c r="M2063" s="16">
        <v>6241.0</v>
      </c>
      <c r="N2063" s="16">
        <v>646.0</v>
      </c>
      <c r="O2063" s="17"/>
      <c r="P2063" s="18">
        <v>40265.622395833336</v>
      </c>
      <c r="Q2063" s="1" t="s">
        <v>5697</v>
      </c>
      <c r="R2063" s="1" t="s">
        <v>5698</v>
      </c>
      <c r="S2063" s="14"/>
      <c r="T2063" s="14"/>
      <c r="U2063" s="19" t="str">
        <f>HYPERLINK("https://pbs.twimg.com/profile_images/616632092139499521/G5Lmg9Ih.jpg","View")</f>
        <v>View</v>
      </c>
      <c r="V2063" s="14"/>
      <c r="W2063" s="14"/>
      <c r="X2063" s="14"/>
      <c r="Y2063" s="14"/>
      <c r="Z2063" s="14"/>
    </row>
    <row r="2064">
      <c r="A2064" s="11">
        <v>43844.343923611115</v>
      </c>
      <c r="B2064" s="12" t="str">
        <f>HYPERLINK("https://twitter.com/medical_xpress","@medical_xpress")</f>
        <v>@medical_xpress</v>
      </c>
      <c r="C2064" s="1" t="s">
        <v>3617</v>
      </c>
      <c r="D2064" s="1" t="s">
        <v>9516</v>
      </c>
      <c r="E2064" s="12" t="str">
        <f>HYPERLINK("https://twitter.com/medical_xpress/status/1217072689606811649","1217072689606811649")</f>
        <v>1217072689606811649</v>
      </c>
      <c r="F2064" s="13" t="s">
        <v>9517</v>
      </c>
      <c r="G2064" s="14"/>
      <c r="H2064" s="14"/>
      <c r="I2064" s="15">
        <v>4.0</v>
      </c>
      <c r="J2064" s="15">
        <v>17.0</v>
      </c>
      <c r="K2064" s="12" t="str">
        <f>HYPERLINK("https://sciencex.com/","Science X Status Updates")</f>
        <v>Science X Status Updates</v>
      </c>
      <c r="L2064" s="16">
        <v>94023.0</v>
      </c>
      <c r="M2064" s="16">
        <v>21.0</v>
      </c>
      <c r="N2064" s="16">
        <v>1676.0</v>
      </c>
      <c r="O2064" s="17"/>
      <c r="P2064" s="18">
        <v>40658.15300925926</v>
      </c>
      <c r="Q2064" s="14"/>
      <c r="R2064" s="1" t="s">
        <v>3620</v>
      </c>
      <c r="S2064" s="13" t="s">
        <v>3621</v>
      </c>
      <c r="T2064" s="14"/>
      <c r="U2064" s="19" t="str">
        <f>HYPERLINK("https://pbs.twimg.com/profile_images/1324543229/logo.jpg","View")</f>
        <v>View</v>
      </c>
      <c r="V2064" s="14"/>
      <c r="W2064" s="14"/>
      <c r="X2064" s="14"/>
      <c r="Y2064" s="14"/>
      <c r="Z2064" s="14"/>
    </row>
    <row r="2065">
      <c r="A2065" s="11">
        <v>43844.34333333334</v>
      </c>
      <c r="B2065" s="12" t="str">
        <f>HYPERLINK("https://twitter.com/eclipseperform1","@eclipseperform1")</f>
        <v>@eclipseperform1</v>
      </c>
      <c r="C2065" s="1" t="s">
        <v>9518</v>
      </c>
      <c r="D2065" s="1" t="s">
        <v>9519</v>
      </c>
      <c r="E2065" s="12" t="str">
        <f>HYPERLINK("https://twitter.com/eclipseperform1/status/1217072473176494080","1217072473176494080")</f>
        <v>1217072473176494080</v>
      </c>
      <c r="F2065" s="13" t="s">
        <v>9520</v>
      </c>
      <c r="G2065" s="13" t="s">
        <v>9521</v>
      </c>
      <c r="H2065" s="14"/>
      <c r="I2065" s="15">
        <v>1.0</v>
      </c>
      <c r="J2065" s="15">
        <v>5.0</v>
      </c>
      <c r="K2065" s="12" t="str">
        <f>HYPERLINK("http://twitter.com/download/iphone","Twitter for iPhone")</f>
        <v>Twitter for iPhone</v>
      </c>
      <c r="L2065" s="16">
        <v>82.0</v>
      </c>
      <c r="M2065" s="16">
        <v>360.0</v>
      </c>
      <c r="N2065" s="16">
        <v>0.0</v>
      </c>
      <c r="O2065" s="17"/>
      <c r="P2065" s="18">
        <v>43598.54100694445</v>
      </c>
      <c r="Q2065" s="1" t="s">
        <v>9522</v>
      </c>
      <c r="R2065" s="1" t="s">
        <v>9523</v>
      </c>
      <c r="S2065" s="13" t="s">
        <v>9524</v>
      </c>
      <c r="T2065" s="14"/>
      <c r="U2065" s="19" t="str">
        <f>HYPERLINK("https://pbs.twimg.com/profile_images/1164913113868722176/IpIP3QF4.jpg","View")</f>
        <v>View</v>
      </c>
      <c r="V2065" s="14"/>
      <c r="W2065" s="14"/>
      <c r="X2065" s="14"/>
      <c r="Y2065" s="14"/>
      <c r="Z2065" s="14"/>
    </row>
    <row r="2066">
      <c r="A2066" s="11">
        <v>43844.34201388889</v>
      </c>
      <c r="B2066" s="12" t="str">
        <f>HYPERLINK("https://twitter.com/KatrinaLoveSenn","@KatrinaLoveSenn")</f>
        <v>@KatrinaLoveSenn</v>
      </c>
      <c r="C2066" s="1" t="s">
        <v>9525</v>
      </c>
      <c r="D2066" s="1" t="s">
        <v>9526</v>
      </c>
      <c r="E2066" s="12" t="str">
        <f>HYPERLINK("https://twitter.com/KatrinaLoveSenn/status/1217071995331862528","1217071995331862528")</f>
        <v>1217071995331862528</v>
      </c>
      <c r="F2066" s="13" t="s">
        <v>9527</v>
      </c>
      <c r="G2066" s="14"/>
      <c r="H2066" s="14"/>
      <c r="I2066" s="15">
        <v>0.0</v>
      </c>
      <c r="J2066" s="15">
        <v>0.0</v>
      </c>
      <c r="K2066" s="12" t="str">
        <f>HYPERLINK("http://twitter.com","Twitter Web Client")</f>
        <v>Twitter Web Client</v>
      </c>
      <c r="L2066" s="16">
        <v>1365.0</v>
      </c>
      <c r="M2066" s="16">
        <v>108.0</v>
      </c>
      <c r="N2066" s="16">
        <v>131.0</v>
      </c>
      <c r="O2066" s="17"/>
      <c r="P2066" s="18">
        <v>39838.61804398148</v>
      </c>
      <c r="Q2066" s="1" t="s">
        <v>9528</v>
      </c>
      <c r="R2066" s="1" t="s">
        <v>9529</v>
      </c>
      <c r="S2066" s="13" t="s">
        <v>9530</v>
      </c>
      <c r="T2066" s="14"/>
      <c r="U2066" s="19" t="str">
        <f>HYPERLINK("https://pbs.twimg.com/profile_images/599929417385771009/uwmPSetr.jpg","View")</f>
        <v>View</v>
      </c>
      <c r="V2066" s="14"/>
      <c r="W2066" s="14"/>
      <c r="X2066" s="14"/>
      <c r="Y2066" s="14"/>
      <c r="Z2066" s="14"/>
    </row>
    <row r="2067">
      <c r="A2067" s="11">
        <v>43844.34085648148</v>
      </c>
      <c r="B2067" s="12" t="str">
        <f>HYPERLINK("https://twitter.com/NutritionClinic","@NutritionClinic")</f>
        <v>@NutritionClinic</v>
      </c>
      <c r="C2067" s="1" t="s">
        <v>9531</v>
      </c>
      <c r="D2067" s="1" t="s">
        <v>9532</v>
      </c>
      <c r="E2067" s="12" t="str">
        <f>HYPERLINK("https://twitter.com/NutritionClinic/status/1217071575410847746","1217071575410847746")</f>
        <v>1217071575410847746</v>
      </c>
      <c r="F2067" s="13" t="s">
        <v>9533</v>
      </c>
      <c r="G2067" s="14"/>
      <c r="H2067" s="14"/>
      <c r="I2067" s="15">
        <v>0.0</v>
      </c>
      <c r="J2067" s="15">
        <v>1.0</v>
      </c>
      <c r="K2067" s="12" t="str">
        <f>HYPERLINK("http://twitter.com/download/android","Twitter for Android")</f>
        <v>Twitter for Android</v>
      </c>
      <c r="L2067" s="16">
        <v>319.0</v>
      </c>
      <c r="M2067" s="16">
        <v>98.0</v>
      </c>
      <c r="N2067" s="16">
        <v>69.0</v>
      </c>
      <c r="O2067" s="17"/>
      <c r="P2067" s="18">
        <v>40290.49451388889</v>
      </c>
      <c r="Q2067" s="14"/>
      <c r="R2067" s="1" t="s">
        <v>9534</v>
      </c>
      <c r="S2067" s="13" t="s">
        <v>9535</v>
      </c>
      <c r="T2067" s="14"/>
      <c r="U2067" s="19" t="str">
        <f>HYPERLINK("https://pbs.twimg.com/profile_images/843199784/Beth-frontal-shot-cropped1-294x300.jpg","View")</f>
        <v>View</v>
      </c>
      <c r="V2067" s="14"/>
      <c r="W2067" s="14"/>
      <c r="X2067" s="14"/>
      <c r="Y2067" s="14"/>
      <c r="Z2067" s="14"/>
    </row>
    <row r="2068">
      <c r="A2068" s="11">
        <v>43844.34054398148</v>
      </c>
      <c r="B2068" s="12" t="str">
        <f>HYPERLINK("https://twitter.com/FitnessRepublic","@FitnessRepublic")</f>
        <v>@FitnessRepublic</v>
      </c>
      <c r="C2068" s="1" t="s">
        <v>9536</v>
      </c>
      <c r="D2068" s="1" t="s">
        <v>9537</v>
      </c>
      <c r="E2068" s="12" t="str">
        <f>HYPERLINK("https://twitter.com/FitnessRepublic/status/1217071462760304642","1217071462760304642")</f>
        <v>1217071462760304642</v>
      </c>
      <c r="F2068" s="13" t="s">
        <v>9538</v>
      </c>
      <c r="G2068" s="13" t="s">
        <v>9539</v>
      </c>
      <c r="H2068" s="14"/>
      <c r="I2068" s="15">
        <v>0.0</v>
      </c>
      <c r="J2068" s="15">
        <v>1.0</v>
      </c>
      <c r="K2068" s="12" t="str">
        <f>HYPERLINK("https://mobile.twitter.com","Twitter Web App")</f>
        <v>Twitter Web App</v>
      </c>
      <c r="L2068" s="16">
        <v>3.0</v>
      </c>
      <c r="M2068" s="16">
        <v>1.0</v>
      </c>
      <c r="N2068" s="16">
        <v>0.0</v>
      </c>
      <c r="O2068" s="17"/>
      <c r="P2068" s="18">
        <v>43734.128483796296</v>
      </c>
      <c r="Q2068" s="14"/>
      <c r="R2068" s="1" t="s">
        <v>9540</v>
      </c>
      <c r="S2068" s="13" t="s">
        <v>9541</v>
      </c>
      <c r="T2068" s="14"/>
      <c r="U2068" s="19" t="str">
        <f>HYPERLINK("https://pbs.twimg.com/profile_images/1177118151919714304/p5FMH6re.jpg","View")</f>
        <v>View</v>
      </c>
      <c r="V2068" s="14"/>
      <c r="W2068" s="14"/>
      <c r="X2068" s="14"/>
      <c r="Y2068" s="14"/>
      <c r="Z2068" s="14"/>
    </row>
    <row r="2069">
      <c r="A2069" s="11">
        <v>43844.340370370366</v>
      </c>
      <c r="B2069" s="12" t="str">
        <f>HYPERLINK("https://twitter.com/mdatraining","@mdatraining")</f>
        <v>@mdatraining</v>
      </c>
      <c r="C2069" s="1" t="s">
        <v>9542</v>
      </c>
      <c r="D2069" s="1" t="s">
        <v>9543</v>
      </c>
      <c r="E2069" s="12" t="str">
        <f>HYPERLINK("https://twitter.com/mdatraining/status/1217071401930317824","1217071401930317824")</f>
        <v>1217071401930317824</v>
      </c>
      <c r="F2069" s="13" t="s">
        <v>9544</v>
      </c>
      <c r="G2069" s="13" t="s">
        <v>9545</v>
      </c>
      <c r="H2069" s="14"/>
      <c r="I2069" s="15">
        <v>0.0</v>
      </c>
      <c r="J2069" s="15">
        <v>1.0</v>
      </c>
      <c r="K2069" s="12" t="str">
        <f>HYPERLINK("https://www.hootsuite.com","Hootsuite Inc.")</f>
        <v>Hootsuite Inc.</v>
      </c>
      <c r="L2069" s="16">
        <v>246.0</v>
      </c>
      <c r="M2069" s="16">
        <v>222.0</v>
      </c>
      <c r="N2069" s="16">
        <v>17.0</v>
      </c>
      <c r="O2069" s="17"/>
      <c r="P2069" s="18">
        <v>40106.27506944444</v>
      </c>
      <c r="Q2069" s="14"/>
      <c r="R2069" s="1" t="s">
        <v>9546</v>
      </c>
      <c r="S2069" s="13" t="s">
        <v>9547</v>
      </c>
      <c r="T2069" s="14"/>
      <c r="U2069" s="19" t="str">
        <f>HYPERLINK("https://pbs.twimg.com/profile_images/885832935269650433/u27idii3.jpg","View")</f>
        <v>View</v>
      </c>
      <c r="V2069" s="14"/>
      <c r="W2069" s="14"/>
      <c r="X2069" s="14"/>
      <c r="Y2069" s="14"/>
      <c r="Z2069" s="14"/>
    </row>
    <row r="2070">
      <c r="A2070" s="11">
        <v>43844.33856481481</v>
      </c>
      <c r="B2070" s="12" t="str">
        <f>HYPERLINK("https://twitter.com/giridakshi","@giridakshi")</f>
        <v>@giridakshi</v>
      </c>
      <c r="C2070" s="1" t="s">
        <v>9548</v>
      </c>
      <c r="D2070" s="1" t="s">
        <v>9549</v>
      </c>
      <c r="E2070" s="12" t="str">
        <f>HYPERLINK("https://twitter.com/giridakshi/status/1217070746478039040","1217070746478039040")</f>
        <v>1217070746478039040</v>
      </c>
      <c r="F2070" s="13" t="s">
        <v>9550</v>
      </c>
      <c r="G2070" s="13" t="s">
        <v>9551</v>
      </c>
      <c r="H2070" s="14"/>
      <c r="I2070" s="15">
        <v>2.0</v>
      </c>
      <c r="J2070" s="15">
        <v>2.0</v>
      </c>
      <c r="K2070" s="12" t="str">
        <f>HYPERLINK("http://twitter.com/download/iphone","Twitter for iPhone")</f>
        <v>Twitter for iPhone</v>
      </c>
      <c r="L2070" s="16">
        <v>6.0</v>
      </c>
      <c r="M2070" s="16">
        <v>32.0</v>
      </c>
      <c r="N2070" s="16">
        <v>2.0</v>
      </c>
      <c r="O2070" s="17"/>
      <c r="P2070" s="18">
        <v>43276.68902777778</v>
      </c>
      <c r="Q2070" s="14"/>
      <c r="R2070" s="14"/>
      <c r="S2070" s="14"/>
      <c r="T2070" s="14"/>
      <c r="U2070" s="20" t="s">
        <v>202</v>
      </c>
      <c r="V2070" s="14"/>
      <c r="W2070" s="14"/>
      <c r="X2070" s="14"/>
      <c r="Y2070" s="14"/>
      <c r="Z2070" s="14"/>
    </row>
    <row r="2071">
      <c r="A2071" s="11">
        <v>43844.337372685186</v>
      </c>
      <c r="B2071" s="12" t="str">
        <f>HYPERLINK("https://twitter.com/610Mimi","@610Mimi")</f>
        <v>@610Mimi</v>
      </c>
      <c r="C2071" s="1" t="s">
        <v>9552</v>
      </c>
      <c r="D2071" s="1" t="s">
        <v>9553</v>
      </c>
      <c r="E2071" s="12" t="str">
        <f>HYPERLINK("https://twitter.com/610Mimi/status/1217070311864176640","1217070311864176640")</f>
        <v>1217070311864176640</v>
      </c>
      <c r="F2071" s="14"/>
      <c r="G2071" s="14"/>
      <c r="H2071" s="14"/>
      <c r="I2071" s="15">
        <v>0.0</v>
      </c>
      <c r="J2071" s="15">
        <v>1.0</v>
      </c>
      <c r="K2071" s="12" t="str">
        <f>HYPERLINK("http://twitter.com/download/android","Twitter for Android")</f>
        <v>Twitter for Android</v>
      </c>
      <c r="L2071" s="16">
        <v>99.0</v>
      </c>
      <c r="M2071" s="16">
        <v>141.0</v>
      </c>
      <c r="N2071" s="16">
        <v>2.0</v>
      </c>
      <c r="O2071" s="17"/>
      <c r="P2071" s="18">
        <v>40975.787627314814</v>
      </c>
      <c r="Q2071" s="1" t="s">
        <v>9554</v>
      </c>
      <c r="R2071" s="1" t="s">
        <v>9555</v>
      </c>
      <c r="S2071" s="14"/>
      <c r="T2071" s="14"/>
      <c r="U2071" s="19" t="str">
        <f>HYPERLINK("https://pbs.twimg.com/profile_images/1116014580705189888/eyM_Q8V3.jpg","View")</f>
        <v>View</v>
      </c>
      <c r="V2071" s="14"/>
      <c r="W2071" s="14"/>
      <c r="X2071" s="14"/>
      <c r="Y2071" s="14"/>
      <c r="Z2071" s="14"/>
    </row>
    <row r="2072">
      <c r="A2072" s="11">
        <v>43844.337118055555</v>
      </c>
      <c r="B2072" s="12" t="str">
        <f>HYPERLINK("https://twitter.com/renascencemusic","@renascencemusic")</f>
        <v>@renascencemusic</v>
      </c>
      <c r="C2072" s="1" t="s">
        <v>247</v>
      </c>
      <c r="D2072" s="1" t="s">
        <v>9556</v>
      </c>
      <c r="E2072" s="12" t="str">
        <f>HYPERLINK("https://twitter.com/renascencemusic/status/1217070220008919041","1217070220008919041")</f>
        <v>1217070220008919041</v>
      </c>
      <c r="F2072" s="13" t="s">
        <v>9557</v>
      </c>
      <c r="G2072" s="13" t="s">
        <v>9558</v>
      </c>
      <c r="H2072" s="14"/>
      <c r="I2072" s="15">
        <v>0.0</v>
      </c>
      <c r="J2072" s="15">
        <v>1.0</v>
      </c>
      <c r="K2072" s="12" t="str">
        <f>HYPERLINK("https://www.socialoomph.com","SocialOomph")</f>
        <v>SocialOomph</v>
      </c>
      <c r="L2072" s="16">
        <v>13031.0</v>
      </c>
      <c r="M2072" s="16">
        <v>11650.0</v>
      </c>
      <c r="N2072" s="16">
        <v>219.0</v>
      </c>
      <c r="O2072" s="17"/>
      <c r="P2072" s="18">
        <v>42470.67052083333</v>
      </c>
      <c r="Q2072" s="1" t="s">
        <v>251</v>
      </c>
      <c r="R2072" s="1" t="s">
        <v>252</v>
      </c>
      <c r="S2072" s="13" t="s">
        <v>253</v>
      </c>
      <c r="T2072" s="14"/>
      <c r="U2072" s="19" t="str">
        <f>HYPERLINK("https://pbs.twimg.com/profile_images/1123407512743612416/g721ra2J.png","View")</f>
        <v>View</v>
      </c>
      <c r="V2072" s="14"/>
      <c r="W2072" s="14"/>
      <c r="X2072" s="14"/>
      <c r="Y2072" s="14"/>
      <c r="Z2072" s="14"/>
    </row>
    <row r="2073">
      <c r="A2073" s="11">
        <v>43844.336875</v>
      </c>
      <c r="B2073" s="12" t="str">
        <f>HYPERLINK("https://twitter.com/RobbinsGroupLLC","@RobbinsGroupLLC")</f>
        <v>@RobbinsGroupLLC</v>
      </c>
      <c r="C2073" s="1" t="s">
        <v>8114</v>
      </c>
      <c r="D2073" s="1" t="s">
        <v>8115</v>
      </c>
      <c r="E2073" s="12" t="str">
        <f>HYPERLINK("https://twitter.com/RobbinsGroupLLC/status/1217070134201933830","1217070134201933830")</f>
        <v>1217070134201933830</v>
      </c>
      <c r="F2073" s="13" t="s">
        <v>8116</v>
      </c>
      <c r="G2073" s="13" t="s">
        <v>9559</v>
      </c>
      <c r="H2073" s="14"/>
      <c r="I2073" s="15">
        <v>4.0</v>
      </c>
      <c r="J2073" s="15">
        <v>12.0</v>
      </c>
      <c r="K2073" s="12" t="str">
        <f>HYPERLINK("https://www.hootsuite.com","Hootsuite Inc.")</f>
        <v>Hootsuite Inc.</v>
      </c>
      <c r="L2073" s="16">
        <v>10991.0</v>
      </c>
      <c r="M2073" s="16">
        <v>439.0</v>
      </c>
      <c r="N2073" s="16">
        <v>296.0</v>
      </c>
      <c r="O2073" s="17"/>
      <c r="P2073" s="18">
        <v>41987.77024305555</v>
      </c>
      <c r="Q2073" s="1" t="s">
        <v>8118</v>
      </c>
      <c r="R2073" s="1" t="s">
        <v>8119</v>
      </c>
      <c r="S2073" s="13" t="s">
        <v>8120</v>
      </c>
      <c r="T2073" s="14"/>
      <c r="U2073" s="19" t="str">
        <f>HYPERLINK("https://pbs.twimg.com/profile_images/1197746373380100096/Lao8Ok26.jpg","View")</f>
        <v>View</v>
      </c>
      <c r="V2073" s="14"/>
      <c r="W2073" s="14"/>
      <c r="X2073" s="14"/>
      <c r="Y2073" s="14"/>
      <c r="Z2073" s="14"/>
    </row>
    <row r="2074">
      <c r="A2074" s="11">
        <v>43844.33341435185</v>
      </c>
      <c r="B2074" s="12" t="str">
        <f>HYPERLINK("https://twitter.com/ReyuSports","@ReyuSports")</f>
        <v>@ReyuSports</v>
      </c>
      <c r="C2074" s="1" t="s">
        <v>1130</v>
      </c>
      <c r="D2074" s="1" t="s">
        <v>9560</v>
      </c>
      <c r="E2074" s="12" t="str">
        <f>HYPERLINK("https://twitter.com/ReyuSports/status/1217068880646082560","1217068880646082560")</f>
        <v>1217068880646082560</v>
      </c>
      <c r="F2074" s="13" t="s">
        <v>9561</v>
      </c>
      <c r="G2074" s="13" t="s">
        <v>9562</v>
      </c>
      <c r="H2074" s="14"/>
      <c r="I2074" s="15">
        <v>0.0</v>
      </c>
      <c r="J2074" s="15">
        <v>1.0</v>
      </c>
      <c r="K2074" s="12" t="str">
        <f>HYPERLINK("https://buffer.com","Buffer")</f>
        <v>Buffer</v>
      </c>
      <c r="L2074" s="16">
        <v>0.0</v>
      </c>
      <c r="M2074" s="16">
        <v>1.0</v>
      </c>
      <c r="N2074" s="16">
        <v>0.0</v>
      </c>
      <c r="O2074" s="17"/>
      <c r="P2074" s="18">
        <v>43841.14015046296</v>
      </c>
      <c r="Q2074" s="14"/>
      <c r="R2074" s="1" t="s">
        <v>1133</v>
      </c>
      <c r="S2074" s="14"/>
      <c r="T2074" s="14"/>
      <c r="U2074" s="19" t="str">
        <f>HYPERLINK("https://pbs.twimg.com/profile_images/1215913289227567104/m4Pe0GSD.jpg","View")</f>
        <v>View</v>
      </c>
      <c r="V2074" s="14"/>
      <c r="W2074" s="14"/>
      <c r="X2074" s="14"/>
      <c r="Y2074" s="14"/>
      <c r="Z2074" s="14"/>
    </row>
    <row r="2075">
      <c r="A2075" s="11">
        <v>43844.330567129626</v>
      </c>
      <c r="B2075" s="12" t="str">
        <f>HYPERLINK("https://twitter.com/realwarriors","@realwarriors")</f>
        <v>@realwarriors</v>
      </c>
      <c r="C2075" s="1" t="s">
        <v>9563</v>
      </c>
      <c r="D2075" s="1" t="s">
        <v>9564</v>
      </c>
      <c r="E2075" s="12" t="str">
        <f>HYPERLINK("https://twitter.com/realwarriors/status/1217067848457162758","1217067848457162758")</f>
        <v>1217067848457162758</v>
      </c>
      <c r="F2075" s="13" t="s">
        <v>9565</v>
      </c>
      <c r="G2075" s="13" t="s">
        <v>9566</v>
      </c>
      <c r="H2075" s="14"/>
      <c r="I2075" s="15">
        <v>3.0</v>
      </c>
      <c r="J2075" s="15">
        <v>4.0</v>
      </c>
      <c r="K2075" s="12" t="str">
        <f>HYPERLINK("https://sproutsocial.com","Sprout Social")</f>
        <v>Sprout Social</v>
      </c>
      <c r="L2075" s="16">
        <v>51343.0</v>
      </c>
      <c r="M2075" s="16">
        <v>16816.0</v>
      </c>
      <c r="N2075" s="16">
        <v>900.0</v>
      </c>
      <c r="O2075" s="20" t="s">
        <v>38</v>
      </c>
      <c r="P2075" s="18">
        <v>39906.575694444444</v>
      </c>
      <c r="Q2075" s="1" t="s">
        <v>115</v>
      </c>
      <c r="R2075" s="1" t="s">
        <v>9567</v>
      </c>
      <c r="S2075" s="13" t="s">
        <v>9568</v>
      </c>
      <c r="T2075" s="14"/>
      <c r="U2075" s="19" t="str">
        <f>HYPERLINK("https://pbs.twimg.com/profile_images/984095715201835008/9-Z-5Rwu.jpg","View")</f>
        <v>View</v>
      </c>
      <c r="V2075" s="14"/>
      <c r="W2075" s="14"/>
      <c r="X2075" s="14"/>
      <c r="Y2075" s="14"/>
      <c r="Z2075" s="14"/>
    </row>
    <row r="2076">
      <c r="A2076" s="11">
        <v>43844.330092592594</v>
      </c>
      <c r="B2076" s="12" t="str">
        <f>HYPERLINK("https://twitter.com/WilkoD2017","@WilkoD2017")</f>
        <v>@WilkoD2017</v>
      </c>
      <c r="C2076" s="1" t="s">
        <v>9569</v>
      </c>
      <c r="D2076" s="1" t="s">
        <v>9570</v>
      </c>
      <c r="E2076" s="12" t="str">
        <f>HYPERLINK("https://twitter.com/WilkoD2017/status/1217067673521205252","1217067673521205252")</f>
        <v>1217067673521205252</v>
      </c>
      <c r="F2076" s="14"/>
      <c r="G2076" s="13" t="s">
        <v>9571</v>
      </c>
      <c r="H2076" s="14"/>
      <c r="I2076" s="15">
        <v>1.0</v>
      </c>
      <c r="J2076" s="15">
        <v>2.0</v>
      </c>
      <c r="K2076" s="12" t="str">
        <f>HYPERLINK("http://twitter.com/download/iphone","Twitter for iPhone")</f>
        <v>Twitter for iPhone</v>
      </c>
      <c r="L2076" s="16">
        <v>365.0</v>
      </c>
      <c r="M2076" s="16">
        <v>1224.0</v>
      </c>
      <c r="N2076" s="16">
        <v>1.0</v>
      </c>
      <c r="O2076" s="17"/>
      <c r="P2076" s="18">
        <v>42806.68525462963</v>
      </c>
      <c r="Q2076" s="1" t="s">
        <v>6141</v>
      </c>
      <c r="R2076" s="1" t="s">
        <v>9572</v>
      </c>
      <c r="S2076" s="13" t="s">
        <v>9573</v>
      </c>
      <c r="T2076" s="14"/>
      <c r="U2076" s="19" t="str">
        <f>HYPERLINK("https://pbs.twimg.com/profile_images/1215917688192716800/4wlRH2cL.jpg","View")</f>
        <v>View</v>
      </c>
      <c r="V2076" s="14"/>
      <c r="W2076" s="14"/>
      <c r="X2076" s="14"/>
      <c r="Y2076" s="14"/>
      <c r="Z2076" s="14"/>
    </row>
    <row r="2077">
      <c r="A2077" s="11">
        <v>43844.32806712963</v>
      </c>
      <c r="B2077" s="12" t="str">
        <f>HYPERLINK("https://twitter.com/HealthCoachLond","@HealthCoachLond")</f>
        <v>@HealthCoachLond</v>
      </c>
      <c r="C2077" s="1" t="s">
        <v>9574</v>
      </c>
      <c r="D2077" s="1" t="s">
        <v>9575</v>
      </c>
      <c r="E2077" s="12" t="str">
        <f>HYPERLINK("https://twitter.com/HealthCoachLond/status/1217066940377829381","1217066940377829381")</f>
        <v>1217066940377829381</v>
      </c>
      <c r="F2077" s="13" t="s">
        <v>9576</v>
      </c>
      <c r="G2077" s="14"/>
      <c r="H2077" s="14"/>
      <c r="I2077" s="15">
        <v>1.0</v>
      </c>
      <c r="J2077" s="15">
        <v>2.0</v>
      </c>
      <c r="K2077" s="12" t="str">
        <f>HYPERLINK("https://buffer.com","Buffer")</f>
        <v>Buffer</v>
      </c>
      <c r="L2077" s="16">
        <v>1665.0</v>
      </c>
      <c r="M2077" s="16">
        <v>1796.0</v>
      </c>
      <c r="N2077" s="16">
        <v>182.0</v>
      </c>
      <c r="O2077" s="17"/>
      <c r="P2077" s="18">
        <v>41787.3337962963</v>
      </c>
      <c r="Q2077" s="1" t="s">
        <v>9577</v>
      </c>
      <c r="R2077" s="1" t="s">
        <v>9578</v>
      </c>
      <c r="S2077" s="13" t="s">
        <v>9579</v>
      </c>
      <c r="T2077" s="14"/>
      <c r="U2077" s="19" t="str">
        <f>HYPERLINK("https://pbs.twimg.com/profile_images/1020268349836660739/xhZZ_UV8.jpg","View")</f>
        <v>View</v>
      </c>
      <c r="V2077" s="14"/>
      <c r="W2077" s="14"/>
      <c r="X2077" s="14"/>
      <c r="Y2077" s="14"/>
      <c r="Z2077" s="14"/>
    </row>
    <row r="2078">
      <c r="A2078" s="11">
        <v>43844.32454861111</v>
      </c>
      <c r="B2078" s="12" t="str">
        <f>HYPERLINK("https://twitter.com/ReputationComm","@ReputationComm")</f>
        <v>@ReputationComm</v>
      </c>
      <c r="C2078" s="1" t="s">
        <v>954</v>
      </c>
      <c r="D2078" s="1" t="s">
        <v>9580</v>
      </c>
      <c r="E2078" s="12" t="str">
        <f>HYPERLINK("https://twitter.com/ReputationComm/status/1217065668304084993","1217065668304084993")</f>
        <v>1217065668304084993</v>
      </c>
      <c r="F2078" s="14"/>
      <c r="G2078" s="14"/>
      <c r="H2078" s="14"/>
      <c r="I2078" s="15">
        <v>1.0</v>
      </c>
      <c r="J2078" s="15">
        <v>0.0</v>
      </c>
      <c r="K2078" s="12" t="str">
        <f t="shared" ref="K2078:K2080" si="210">HYPERLINK("https://mobile.twitter.com","Twitter Web App")</f>
        <v>Twitter Web App</v>
      </c>
      <c r="L2078" s="16">
        <v>550.0</v>
      </c>
      <c r="M2078" s="16">
        <v>319.0</v>
      </c>
      <c r="N2078" s="16">
        <v>16.0</v>
      </c>
      <c r="O2078" s="17"/>
      <c r="P2078" s="18">
        <v>42864.74561342593</v>
      </c>
      <c r="Q2078" s="1" t="s">
        <v>957</v>
      </c>
      <c r="R2078" s="1" t="s">
        <v>958</v>
      </c>
      <c r="S2078" s="13" t="s">
        <v>959</v>
      </c>
      <c r="T2078" s="14"/>
      <c r="U2078" s="19" t="str">
        <f>HYPERLINK("https://pbs.twimg.com/profile_images/1112951235047514112/Wo8ONT1p.jpg","View")</f>
        <v>View</v>
      </c>
      <c r="V2078" s="14"/>
      <c r="W2078" s="14"/>
      <c r="X2078" s="14"/>
      <c r="Y2078" s="14"/>
      <c r="Z2078" s="14"/>
    </row>
    <row r="2079">
      <c r="A2079" s="11">
        <v>43844.32144675926</v>
      </c>
      <c r="B2079" s="12" t="str">
        <f>HYPERLINK("https://twitter.com/HerMagic2","@HerMagic2")</f>
        <v>@HerMagic2</v>
      </c>
      <c r="C2079" s="1" t="s">
        <v>9581</v>
      </c>
      <c r="D2079" s="1" t="s">
        <v>9582</v>
      </c>
      <c r="E2079" s="12" t="str">
        <f>HYPERLINK("https://twitter.com/HerMagic2/status/1217064541575503872","1217064541575503872")</f>
        <v>1217064541575503872</v>
      </c>
      <c r="F2079" s="13" t="s">
        <v>9583</v>
      </c>
      <c r="G2079" s="13" t="s">
        <v>9584</v>
      </c>
      <c r="H2079" s="14"/>
      <c r="I2079" s="15">
        <v>0.0</v>
      </c>
      <c r="J2079" s="15">
        <v>0.0</v>
      </c>
      <c r="K2079" s="12" t="str">
        <f t="shared" si="210"/>
        <v>Twitter Web App</v>
      </c>
      <c r="L2079" s="16">
        <v>12.0</v>
      </c>
      <c r="M2079" s="16">
        <v>36.0</v>
      </c>
      <c r="N2079" s="16">
        <v>0.0</v>
      </c>
      <c r="O2079" s="17"/>
      <c r="P2079" s="18">
        <v>42966.122881944444</v>
      </c>
      <c r="Q2079" s="14"/>
      <c r="R2079" s="14"/>
      <c r="S2079" s="14"/>
      <c r="T2079" s="14"/>
      <c r="U2079" s="19" t="str">
        <f>HYPERLINK("https://pbs.twimg.com/profile_images/1015213720568410112/sY5-fULv.jpg","View")</f>
        <v>View</v>
      </c>
      <c r="V2079" s="14"/>
      <c r="W2079" s="14"/>
      <c r="X2079" s="14"/>
      <c r="Y2079" s="14"/>
      <c r="Z2079" s="14"/>
    </row>
    <row r="2080">
      <c r="A2080" s="11">
        <v>43844.320127314815</v>
      </c>
      <c r="B2080" s="12" t="str">
        <f>HYPERLINK("https://twitter.com/DailyMudras","@DailyMudras")</f>
        <v>@DailyMudras</v>
      </c>
      <c r="C2080" s="1" t="s">
        <v>9585</v>
      </c>
      <c r="D2080" s="1" t="s">
        <v>9586</v>
      </c>
      <c r="E2080" s="12" t="str">
        <f>HYPERLINK("https://twitter.com/DailyMudras/status/1217064063496155136","1217064063496155136")</f>
        <v>1217064063496155136</v>
      </c>
      <c r="F2080" s="13" t="s">
        <v>9587</v>
      </c>
      <c r="G2080" s="13" t="s">
        <v>9588</v>
      </c>
      <c r="H2080" s="14"/>
      <c r="I2080" s="15">
        <v>1.0</v>
      </c>
      <c r="J2080" s="15">
        <v>3.0</v>
      </c>
      <c r="K2080" s="12" t="str">
        <f t="shared" si="210"/>
        <v>Twitter Web App</v>
      </c>
      <c r="L2080" s="16">
        <v>573.0</v>
      </c>
      <c r="M2080" s="16">
        <v>23.0</v>
      </c>
      <c r="N2080" s="16">
        <v>2.0</v>
      </c>
      <c r="O2080" s="17"/>
      <c r="P2080" s="18">
        <v>43030.83625</v>
      </c>
      <c r="Q2080" s="14"/>
      <c r="R2080" s="14"/>
      <c r="S2080" s="14"/>
      <c r="T2080" s="14"/>
      <c r="U2080" s="19" t="str">
        <f>HYPERLINK("https://pbs.twimg.com/profile_images/922821693722128385/muZRKlc9.jpg","View")</f>
        <v>View</v>
      </c>
      <c r="V2080" s="14"/>
      <c r="W2080" s="14"/>
      <c r="X2080" s="14"/>
      <c r="Y2080" s="14"/>
      <c r="Z2080" s="14"/>
    </row>
    <row r="2081">
      <c r="A2081" s="11">
        <v>43844.31957175926</v>
      </c>
      <c r="B2081" s="12" t="str">
        <f>HYPERLINK("https://twitter.com/TheCompExperts","@TheCompExperts")</f>
        <v>@TheCompExperts</v>
      </c>
      <c r="C2081" s="1" t="s">
        <v>9589</v>
      </c>
      <c r="D2081" s="1" t="s">
        <v>9590</v>
      </c>
      <c r="E2081" s="12" t="str">
        <f>HYPERLINK("https://twitter.com/TheCompExperts/status/1217063863025356800","1217063863025356800")</f>
        <v>1217063863025356800</v>
      </c>
      <c r="F2081" s="13" t="s">
        <v>9591</v>
      </c>
      <c r="G2081" s="14"/>
      <c r="H2081" s="14"/>
      <c r="I2081" s="15">
        <v>0.0</v>
      </c>
      <c r="J2081" s="15">
        <v>1.0</v>
      </c>
      <c r="K2081" s="12" t="str">
        <f>HYPERLINK("https://about.twitter.com/products/tweetdeck","TweetDeck")</f>
        <v>TweetDeck</v>
      </c>
      <c r="L2081" s="16">
        <v>233.0</v>
      </c>
      <c r="M2081" s="16">
        <v>319.0</v>
      </c>
      <c r="N2081" s="16">
        <v>2.0</v>
      </c>
      <c r="O2081" s="17"/>
      <c r="P2081" s="18">
        <v>42563.216782407406</v>
      </c>
      <c r="Q2081" s="1" t="s">
        <v>1255</v>
      </c>
      <c r="R2081" s="1" t="s">
        <v>9592</v>
      </c>
      <c r="S2081" s="13" t="s">
        <v>9593</v>
      </c>
      <c r="T2081" s="14"/>
      <c r="U2081" s="19" t="str">
        <f>HYPERLINK("https://pbs.twimg.com/profile_images/1060130922773782528/RkRmGDPT.jpg","View")</f>
        <v>View</v>
      </c>
      <c r="V2081" s="14"/>
      <c r="W2081" s="14"/>
      <c r="X2081" s="14"/>
      <c r="Y2081" s="14"/>
      <c r="Z2081" s="14"/>
    </row>
    <row r="2082">
      <c r="A2082" s="11">
        <v>43844.31952546297</v>
      </c>
      <c r="B2082" s="12" t="str">
        <f>HYPERLINK("https://twitter.com/GriffinSafety","@GriffinSafety")</f>
        <v>@GriffinSafety</v>
      </c>
      <c r="C2082" s="1" t="s">
        <v>9594</v>
      </c>
      <c r="D2082" s="1" t="s">
        <v>9595</v>
      </c>
      <c r="E2082" s="12" t="str">
        <f>HYPERLINK("https://twitter.com/GriffinSafety/status/1217063845375639552","1217063845375639552")</f>
        <v>1217063845375639552</v>
      </c>
      <c r="F2082" s="13" t="s">
        <v>9596</v>
      </c>
      <c r="G2082" s="13" t="s">
        <v>9597</v>
      </c>
      <c r="H2082" s="14"/>
      <c r="I2082" s="15">
        <v>5.0</v>
      </c>
      <c r="J2082" s="15">
        <v>5.0</v>
      </c>
      <c r="K2082" s="12" t="str">
        <f>HYPERLINK("https://www.hootsuite.com","Hootsuite Inc.")</f>
        <v>Hootsuite Inc.</v>
      </c>
      <c r="L2082" s="16">
        <v>2425.0</v>
      </c>
      <c r="M2082" s="16">
        <v>1744.0</v>
      </c>
      <c r="N2082" s="16">
        <v>106.0</v>
      </c>
      <c r="O2082" s="17"/>
      <c r="P2082" s="18">
        <v>40853.63997685185</v>
      </c>
      <c r="Q2082" s="1" t="s">
        <v>263</v>
      </c>
      <c r="R2082" s="1" t="s">
        <v>9598</v>
      </c>
      <c r="S2082" s="13" t="s">
        <v>9599</v>
      </c>
      <c r="T2082" s="14"/>
      <c r="U2082" s="19" t="str">
        <f>HYPERLINK("https://pbs.twimg.com/profile_images/728226310917607424/aW3mnsW7.jpg","View")</f>
        <v>View</v>
      </c>
      <c r="V2082" s="14"/>
      <c r="W2082" s="14"/>
      <c r="X2082" s="14"/>
      <c r="Y2082" s="14"/>
      <c r="Z2082" s="14"/>
    </row>
    <row r="2083">
      <c r="A2083" s="11">
        <v>43844.31921296296</v>
      </c>
      <c r="B2083" s="12" t="str">
        <f>HYPERLINK("https://twitter.com/DarrenGleeman","@DarrenGleeman")</f>
        <v>@DarrenGleeman</v>
      </c>
      <c r="C2083" s="1" t="s">
        <v>9600</v>
      </c>
      <c r="D2083" s="1" t="s">
        <v>9601</v>
      </c>
      <c r="E2083" s="12" t="str">
        <f>HYPERLINK("https://twitter.com/DarrenGleeman/status/1217063732804833280","1217063732804833280")</f>
        <v>1217063732804833280</v>
      </c>
      <c r="F2083" s="14"/>
      <c r="G2083" s="13" t="s">
        <v>9602</v>
      </c>
      <c r="H2083" s="14"/>
      <c r="I2083" s="15">
        <v>0.0</v>
      </c>
      <c r="J2083" s="15">
        <v>2.0</v>
      </c>
      <c r="K2083" s="12" t="str">
        <f t="shared" ref="K2083:K2084" si="211">HYPERLINK("http://twitter.com/download/iphone","Twitter for iPhone")</f>
        <v>Twitter for iPhone</v>
      </c>
      <c r="L2083" s="16">
        <v>19.0</v>
      </c>
      <c r="M2083" s="16">
        <v>43.0</v>
      </c>
      <c r="N2083" s="16">
        <v>0.0</v>
      </c>
      <c r="O2083" s="17"/>
      <c r="P2083" s="18">
        <v>40819.52909722222</v>
      </c>
      <c r="Q2083" s="14"/>
      <c r="R2083" s="14"/>
      <c r="S2083" s="14"/>
      <c r="T2083" s="14"/>
      <c r="U2083" s="19" t="str">
        <f>HYPERLINK("https://pbs.twimg.com/profile_images/1202345524839497729/rl1n6cRc.jpg","View")</f>
        <v>View</v>
      </c>
      <c r="V2083" s="14"/>
      <c r="W2083" s="14"/>
      <c r="X2083" s="14"/>
      <c r="Y2083" s="14"/>
      <c r="Z2083" s="14"/>
    </row>
    <row r="2084">
      <c r="A2084" s="11">
        <v>43844.31655092593</v>
      </c>
      <c r="B2084" s="12" t="str">
        <f>HYPERLINK("https://twitter.com/ClearviewMinds","@ClearviewMinds")</f>
        <v>@ClearviewMinds</v>
      </c>
      <c r="C2084" s="1" t="s">
        <v>3073</v>
      </c>
      <c r="D2084" s="1" t="s">
        <v>9603</v>
      </c>
      <c r="E2084" s="12" t="str">
        <f>HYPERLINK("https://twitter.com/ClearviewMinds/status/1217062769733795840","1217062769733795840")</f>
        <v>1217062769733795840</v>
      </c>
      <c r="F2084" s="14"/>
      <c r="G2084" s="13" t="s">
        <v>9604</v>
      </c>
      <c r="H2084" s="14"/>
      <c r="I2084" s="15">
        <v>1.0</v>
      </c>
      <c r="J2084" s="15">
        <v>1.0</v>
      </c>
      <c r="K2084" s="12" t="str">
        <f t="shared" si="211"/>
        <v>Twitter for iPhone</v>
      </c>
      <c r="L2084" s="16">
        <v>374.0</v>
      </c>
      <c r="M2084" s="16">
        <v>1068.0</v>
      </c>
      <c r="N2084" s="16">
        <v>5.0</v>
      </c>
      <c r="O2084" s="17"/>
      <c r="P2084" s="18">
        <v>42776.529178240744</v>
      </c>
      <c r="Q2084" s="1" t="s">
        <v>3077</v>
      </c>
      <c r="R2084" s="1" t="s">
        <v>3078</v>
      </c>
      <c r="S2084" s="13" t="s">
        <v>3079</v>
      </c>
      <c r="T2084" s="14"/>
      <c r="U2084" s="19" t="str">
        <f>HYPERLINK("https://pbs.twimg.com/profile_images/830110341946294272/9GN1kXKG.jpg","View")</f>
        <v>View</v>
      </c>
      <c r="V2084" s="14"/>
      <c r="W2084" s="14"/>
      <c r="X2084" s="14"/>
      <c r="Y2084" s="14"/>
      <c r="Z2084" s="14"/>
    </row>
    <row r="2085">
      <c r="A2085" s="11">
        <v>43844.31642361111</v>
      </c>
      <c r="B2085" s="12" t="str">
        <f>HYPERLINK("https://twitter.com/trafficjam_app","@trafficjam_app")</f>
        <v>@trafficjam_app</v>
      </c>
      <c r="C2085" s="1" t="s">
        <v>1251</v>
      </c>
      <c r="D2085" s="1" t="s">
        <v>9605</v>
      </c>
      <c r="E2085" s="12" t="str">
        <f>HYPERLINK("https://twitter.com/trafficjam_app/status/1217062723986644992","1217062723986644992")</f>
        <v>1217062723986644992</v>
      </c>
      <c r="F2085" s="13" t="s">
        <v>1253</v>
      </c>
      <c r="G2085" s="13" t="s">
        <v>9606</v>
      </c>
      <c r="H2085" s="14"/>
      <c r="I2085" s="15">
        <v>2.0</v>
      </c>
      <c r="J2085" s="15">
        <v>0.0</v>
      </c>
      <c r="K2085" s="12" t="str">
        <f>HYPERLINK("https://zapier.com/","Zapier.com")</f>
        <v>Zapier.com</v>
      </c>
      <c r="L2085" s="16">
        <v>113.0</v>
      </c>
      <c r="M2085" s="16">
        <v>50.0</v>
      </c>
      <c r="N2085" s="16">
        <v>1.0</v>
      </c>
      <c r="O2085" s="17"/>
      <c r="P2085" s="18">
        <v>42994.542708333334</v>
      </c>
      <c r="Q2085" s="1" t="s">
        <v>1255</v>
      </c>
      <c r="R2085" s="1" t="s">
        <v>1256</v>
      </c>
      <c r="S2085" s="13" t="s">
        <v>1257</v>
      </c>
      <c r="T2085" s="14"/>
      <c r="U2085" s="19" t="str">
        <f>HYPERLINK("https://pbs.twimg.com/profile_images/1020242156571766786/l1YKw5xD.jpg","View")</f>
        <v>View</v>
      </c>
      <c r="V2085" s="14"/>
      <c r="W2085" s="14"/>
      <c r="X2085" s="14"/>
      <c r="Y2085" s="14"/>
      <c r="Z2085" s="14"/>
    </row>
    <row r="2086">
      <c r="A2086" s="11">
        <v>43844.31454861111</v>
      </c>
      <c r="B2086" s="12" t="str">
        <f>HYPERLINK("https://twitter.com/NTS_Ag","@NTS_Ag")</f>
        <v>@NTS_Ag</v>
      </c>
      <c r="C2086" s="1" t="s">
        <v>9607</v>
      </c>
      <c r="D2086" s="1" t="s">
        <v>9608</v>
      </c>
      <c r="E2086" s="12" t="str">
        <f>HYPERLINK("https://twitter.com/NTS_Ag/status/1217062043901222917","1217062043901222917")</f>
        <v>1217062043901222917</v>
      </c>
      <c r="F2086" s="1" t="s">
        <v>9609</v>
      </c>
      <c r="G2086" s="13" t="s">
        <v>9610</v>
      </c>
      <c r="H2086" s="14"/>
      <c r="I2086" s="15">
        <v>4.0</v>
      </c>
      <c r="J2086" s="15">
        <v>2.0</v>
      </c>
      <c r="K2086" s="12" t="str">
        <f t="shared" ref="K2086:K2087" si="212">HYPERLINK("https://mobile.twitter.com","Twitter Web App")</f>
        <v>Twitter Web App</v>
      </c>
      <c r="L2086" s="16">
        <v>206.0</v>
      </c>
      <c r="M2086" s="16">
        <v>752.0</v>
      </c>
      <c r="N2086" s="16">
        <v>2.0</v>
      </c>
      <c r="O2086" s="17"/>
      <c r="P2086" s="18">
        <v>43129.29474537037</v>
      </c>
      <c r="Q2086" s="1" t="s">
        <v>9611</v>
      </c>
      <c r="R2086" s="1" t="s">
        <v>9612</v>
      </c>
      <c r="S2086" s="13" t="s">
        <v>9613</v>
      </c>
      <c r="T2086" s="14"/>
      <c r="U2086" s="19" t="str">
        <f>HYPERLINK("https://pbs.twimg.com/profile_images/957957575110221826/2hM7ffw7.jpg","View")</f>
        <v>View</v>
      </c>
      <c r="V2086" s="14"/>
      <c r="W2086" s="14"/>
      <c r="X2086" s="14"/>
      <c r="Y2086" s="14"/>
      <c r="Z2086" s="14"/>
    </row>
    <row r="2087">
      <c r="A2087" s="11">
        <v>43844.3141087963</v>
      </c>
      <c r="B2087" s="12" t="str">
        <f>HYPERLINK("https://twitter.com/ukhealthblogger","@ukhealthblogger")</f>
        <v>@ukhealthblogger</v>
      </c>
      <c r="C2087" s="1" t="s">
        <v>9614</v>
      </c>
      <c r="D2087" s="1" t="s">
        <v>9615</v>
      </c>
      <c r="E2087" s="12" t="str">
        <f>HYPERLINK("https://twitter.com/ukhealthblogger/status/1217061883393593345","1217061883393593345")</f>
        <v>1217061883393593345</v>
      </c>
      <c r="F2087" s="13" t="s">
        <v>9616</v>
      </c>
      <c r="G2087" s="13" t="s">
        <v>9617</v>
      </c>
      <c r="H2087" s="14"/>
      <c r="I2087" s="15">
        <v>0.0</v>
      </c>
      <c r="J2087" s="15">
        <v>0.0</v>
      </c>
      <c r="K2087" s="12" t="str">
        <f t="shared" si="212"/>
        <v>Twitter Web App</v>
      </c>
      <c r="L2087" s="16">
        <v>55.0</v>
      </c>
      <c r="M2087" s="16">
        <v>155.0</v>
      </c>
      <c r="N2087" s="16">
        <v>0.0</v>
      </c>
      <c r="O2087" s="17"/>
      <c r="P2087" s="18">
        <v>43759.64195601852</v>
      </c>
      <c r="Q2087" s="1" t="s">
        <v>263</v>
      </c>
      <c r="R2087" s="1" t="s">
        <v>9618</v>
      </c>
      <c r="S2087" s="13" t="s">
        <v>9619</v>
      </c>
      <c r="T2087" s="14"/>
      <c r="U2087" s="19" t="str">
        <f>HYPERLINK("https://pbs.twimg.com/profile_images/1215767850704691200/LfWup_QN.jpg","View")</f>
        <v>View</v>
      </c>
      <c r="V2087" s="14"/>
      <c r="W2087" s="14"/>
      <c r="X2087" s="14"/>
      <c r="Y2087" s="14"/>
      <c r="Z2087" s="14"/>
    </row>
    <row r="2088">
      <c r="A2088" s="11">
        <v>43844.313946759255</v>
      </c>
      <c r="B2088" s="12" t="str">
        <f>HYPERLINK("https://twitter.com/dpangeni38","@dpangeni38")</f>
        <v>@dpangeni38</v>
      </c>
      <c r="C2088" s="1" t="s">
        <v>9620</v>
      </c>
      <c r="D2088" s="1" t="s">
        <v>9621</v>
      </c>
      <c r="E2088" s="12" t="str">
        <f>HYPERLINK("https://twitter.com/dpangeni38/status/1217061822550827009","1217061822550827009")</f>
        <v>1217061822550827009</v>
      </c>
      <c r="F2088" s="14"/>
      <c r="G2088" s="14"/>
      <c r="H2088" s="14"/>
      <c r="I2088" s="15">
        <v>0.0</v>
      </c>
      <c r="J2088" s="15">
        <v>2.0</v>
      </c>
      <c r="K2088" s="12" t="str">
        <f>HYPERLINK("http://twitter.com/download/android","Twitter for Android")</f>
        <v>Twitter for Android</v>
      </c>
      <c r="L2088" s="16">
        <v>569.0</v>
      </c>
      <c r="M2088" s="16">
        <v>448.0</v>
      </c>
      <c r="N2088" s="16">
        <v>0.0</v>
      </c>
      <c r="O2088" s="17"/>
      <c r="P2088" s="18">
        <v>43167.879895833335</v>
      </c>
      <c r="Q2088" s="14"/>
      <c r="R2088" s="14"/>
      <c r="S2088" s="14"/>
      <c r="T2088" s="14"/>
      <c r="U2088" s="19" t="str">
        <f>HYPERLINK("https://pbs.twimg.com/profile_images/1158964648328044544/NSNglsd8.jpg","View")</f>
        <v>View</v>
      </c>
      <c r="V2088" s="14"/>
      <c r="W2088" s="14"/>
      <c r="X2088" s="14"/>
      <c r="Y2088" s="14"/>
      <c r="Z2088" s="14"/>
    </row>
    <row r="2089">
      <c r="A2089" s="11">
        <v>43844.308854166666</v>
      </c>
      <c r="B2089" s="12" t="str">
        <f>HYPERLINK("https://twitter.com/MummyMatters","@MummyMatters")</f>
        <v>@MummyMatters</v>
      </c>
      <c r="C2089" s="1" t="s">
        <v>7852</v>
      </c>
      <c r="D2089" s="1" t="s">
        <v>9622</v>
      </c>
      <c r="E2089" s="12" t="str">
        <f>HYPERLINK("https://twitter.com/MummyMatters/status/1217059980894973953","1217059980894973953")</f>
        <v>1217059980894973953</v>
      </c>
      <c r="F2089" s="13" t="s">
        <v>9623</v>
      </c>
      <c r="G2089" s="13" t="s">
        <v>9624</v>
      </c>
      <c r="H2089" s="14"/>
      <c r="I2089" s="15">
        <v>0.0</v>
      </c>
      <c r="J2089" s="15">
        <v>0.0</v>
      </c>
      <c r="K2089" s="12" t="str">
        <f>HYPERLINK("https://missinglettr.com","Missinglettr")</f>
        <v>Missinglettr</v>
      </c>
      <c r="L2089" s="16">
        <v>9904.0</v>
      </c>
      <c r="M2089" s="16">
        <v>1129.0</v>
      </c>
      <c r="N2089" s="16">
        <v>202.0</v>
      </c>
      <c r="O2089" s="17"/>
      <c r="P2089" s="18">
        <v>40067.37957175926</v>
      </c>
      <c r="Q2089" s="1" t="s">
        <v>7856</v>
      </c>
      <c r="R2089" s="1" t="s">
        <v>7857</v>
      </c>
      <c r="S2089" s="13" t="s">
        <v>7858</v>
      </c>
      <c r="T2089" s="14"/>
      <c r="U2089" s="19" t="str">
        <f>HYPERLINK("https://pbs.twimg.com/profile_images/830180040100966403/TiTdhw40.jpg","View")</f>
        <v>View</v>
      </c>
      <c r="V2089" s="14"/>
      <c r="W2089" s="14"/>
      <c r="X2089" s="14"/>
      <c r="Y2089" s="14"/>
      <c r="Z2089" s="14"/>
    </row>
    <row r="2090">
      <c r="A2090" s="11">
        <v>43844.304560185185</v>
      </c>
      <c r="B2090" s="12" t="str">
        <f>HYPERLINK("https://twitter.com/Dr_Koenigsberg","@Dr_Koenigsberg")</f>
        <v>@Dr_Koenigsberg</v>
      </c>
      <c r="C2090" s="1" t="s">
        <v>9625</v>
      </c>
      <c r="D2090" s="1" t="s">
        <v>9626</v>
      </c>
      <c r="E2090" s="12" t="str">
        <f>HYPERLINK("https://twitter.com/Dr_Koenigsberg/status/1217058422090358784","1217058422090358784")</f>
        <v>1217058422090358784</v>
      </c>
      <c r="F2090" s="14"/>
      <c r="G2090" s="13" t="s">
        <v>9627</v>
      </c>
      <c r="H2090" s="14"/>
      <c r="I2090" s="15">
        <v>0.0</v>
      </c>
      <c r="J2090" s="15">
        <v>0.0</v>
      </c>
      <c r="K2090" s="12" t="str">
        <f>HYPERLINK("https://mobile.twitter.com","Twitter Web App")</f>
        <v>Twitter Web App</v>
      </c>
      <c r="L2090" s="16">
        <v>54.0</v>
      </c>
      <c r="M2090" s="16">
        <v>249.0</v>
      </c>
      <c r="N2090" s="16">
        <v>0.0</v>
      </c>
      <c r="O2090" s="17"/>
      <c r="P2090" s="18">
        <v>42767.59626157407</v>
      </c>
      <c r="Q2090" s="1" t="s">
        <v>9628</v>
      </c>
      <c r="R2090" s="1" t="s">
        <v>9629</v>
      </c>
      <c r="S2090" s="14"/>
      <c r="T2090" s="14"/>
      <c r="U2090" s="19" t="str">
        <f>HYPERLINK("https://pbs.twimg.com/profile_images/826873121521156099/U2URX-gg.jpg","View")</f>
        <v>View</v>
      </c>
      <c r="V2090" s="14"/>
      <c r="W2090" s="14"/>
      <c r="X2090" s="14"/>
      <c r="Y2090" s="14"/>
      <c r="Z2090" s="14"/>
    </row>
    <row r="2091">
      <c r="A2091" s="11">
        <v>43844.298668981486</v>
      </c>
      <c r="B2091" s="12" t="str">
        <f>HYPERLINK("https://twitter.com/FamilyFlavours","@FamilyFlavours")</f>
        <v>@FamilyFlavours</v>
      </c>
      <c r="C2091" s="1" t="s">
        <v>9630</v>
      </c>
      <c r="D2091" s="1" t="s">
        <v>9631</v>
      </c>
      <c r="E2091" s="12" t="str">
        <f>HYPERLINK("https://twitter.com/FamilyFlavours/status/1217056286149435393","1217056286149435393")</f>
        <v>1217056286149435393</v>
      </c>
      <c r="F2091" s="13" t="s">
        <v>9632</v>
      </c>
      <c r="G2091" s="14"/>
      <c r="H2091" s="14"/>
      <c r="I2091" s="15">
        <v>1.0</v>
      </c>
      <c r="J2091" s="15">
        <v>0.0</v>
      </c>
      <c r="K2091" s="12" t="str">
        <f>HYPERLINK("https://www.hootsuite.com","Hootsuite Inc.")</f>
        <v>Hootsuite Inc.</v>
      </c>
      <c r="L2091" s="16">
        <v>1298.0</v>
      </c>
      <c r="M2091" s="16">
        <v>442.0</v>
      </c>
      <c r="N2091" s="16">
        <v>34.0</v>
      </c>
      <c r="O2091" s="17"/>
      <c r="P2091" s="18">
        <v>40405.29759259259</v>
      </c>
      <c r="Q2091" s="1" t="s">
        <v>9633</v>
      </c>
      <c r="R2091" s="1" t="s">
        <v>9634</v>
      </c>
      <c r="S2091" s="13" t="s">
        <v>9635</v>
      </c>
      <c r="T2091" s="14"/>
      <c r="U2091" s="19" t="str">
        <f>HYPERLINK("https://pbs.twimg.com/profile_images/1100355015313625088/00mkbMx7.png","View")</f>
        <v>View</v>
      </c>
      <c r="V2091" s="14"/>
      <c r="W2091" s="14"/>
      <c r="X2091" s="14"/>
      <c r="Y2091" s="14"/>
      <c r="Z2091" s="14"/>
    </row>
    <row r="2092">
      <c r="A2092" s="11">
        <v>43844.29791666666</v>
      </c>
      <c r="B2092" s="12" t="str">
        <f>HYPERLINK("https://twitter.com/mindinbexley","@mindinbexley")</f>
        <v>@mindinbexley</v>
      </c>
      <c r="C2092" s="1" t="s">
        <v>9636</v>
      </c>
      <c r="D2092" s="1" t="s">
        <v>9637</v>
      </c>
      <c r="E2092" s="12" t="str">
        <f>HYPERLINK("https://twitter.com/mindinbexley/status/1217056014262001666","1217056014262001666")</f>
        <v>1217056014262001666</v>
      </c>
      <c r="F2092" s="13" t="s">
        <v>9638</v>
      </c>
      <c r="G2092" s="13" t="s">
        <v>9639</v>
      </c>
      <c r="H2092" s="14"/>
      <c r="I2092" s="15">
        <v>0.0</v>
      </c>
      <c r="J2092" s="15">
        <v>2.0</v>
      </c>
      <c r="K2092" s="12" t="str">
        <f>HYPERLINK("https://about.twitter.com/products/tweetdeck","TweetDeck")</f>
        <v>TweetDeck</v>
      </c>
      <c r="L2092" s="16">
        <v>1105.0</v>
      </c>
      <c r="M2092" s="16">
        <v>806.0</v>
      </c>
      <c r="N2092" s="16">
        <v>38.0</v>
      </c>
      <c r="O2092" s="17"/>
      <c r="P2092" s="18">
        <v>40572.2309837963</v>
      </c>
      <c r="Q2092" s="1" t="s">
        <v>9640</v>
      </c>
      <c r="R2092" s="1" t="s">
        <v>9641</v>
      </c>
      <c r="S2092" s="13" t="s">
        <v>9642</v>
      </c>
      <c r="T2092" s="14"/>
      <c r="U2092" s="19" t="str">
        <f>HYPERLINK("https://pbs.twimg.com/profile_images/1218165667733671937/ldyvfn2u.jpg","View")</f>
        <v>View</v>
      </c>
      <c r="V2092" s="14"/>
      <c r="W2092" s="14"/>
      <c r="X2092" s="14"/>
      <c r="Y2092" s="14"/>
      <c r="Z2092" s="14"/>
    </row>
    <row r="2093">
      <c r="A2093" s="11">
        <v>43844.29717592592</v>
      </c>
      <c r="B2093" s="12" t="str">
        <f>HYPERLINK("https://twitter.com/drrashmishetty","@drrashmishetty")</f>
        <v>@drrashmishetty</v>
      </c>
      <c r="C2093" s="1" t="s">
        <v>9643</v>
      </c>
      <c r="D2093" s="1" t="s">
        <v>9644</v>
      </c>
      <c r="E2093" s="12" t="str">
        <f>HYPERLINK("https://twitter.com/drrashmishetty/status/1217055745067245568","1217055745067245568")</f>
        <v>1217055745067245568</v>
      </c>
      <c r="F2093" s="14"/>
      <c r="G2093" s="13" t="s">
        <v>9645</v>
      </c>
      <c r="H2093" s="14"/>
      <c r="I2093" s="15">
        <v>1.0</v>
      </c>
      <c r="J2093" s="15">
        <v>4.0</v>
      </c>
      <c r="K2093" s="12" t="str">
        <f>HYPERLINK("http://twitter.com/download/android","Twitter for Android")</f>
        <v>Twitter for Android</v>
      </c>
      <c r="L2093" s="16">
        <v>37441.0</v>
      </c>
      <c r="M2093" s="16">
        <v>94.0</v>
      </c>
      <c r="N2093" s="16">
        <v>45.0</v>
      </c>
      <c r="O2093" s="17"/>
      <c r="P2093" s="18">
        <v>40061.59462962963</v>
      </c>
      <c r="Q2093" s="1" t="s">
        <v>1472</v>
      </c>
      <c r="R2093" s="1" t="s">
        <v>9646</v>
      </c>
      <c r="S2093" s="13" t="s">
        <v>9647</v>
      </c>
      <c r="T2093" s="14"/>
      <c r="U2093" s="19" t="str">
        <f>HYPERLINK("https://pbs.twimg.com/profile_images/1103590797709099008/_nOI4Lwu.jpg","View")</f>
        <v>View</v>
      </c>
      <c r="V2093" s="14"/>
      <c r="W2093" s="14"/>
      <c r="X2093" s="14"/>
      <c r="Y2093" s="14"/>
      <c r="Z2093" s="14"/>
    </row>
    <row r="2094">
      <c r="A2094" s="11">
        <v>43844.29241898148</v>
      </c>
      <c r="B2094" s="12" t="str">
        <f>HYPERLINK("https://twitter.com/BIGCCONSULTANCY","@BIGCCONSULTANCY")</f>
        <v>@BIGCCONSULTANCY</v>
      </c>
      <c r="C2094" s="1" t="s">
        <v>9648</v>
      </c>
      <c r="D2094" s="1" t="s">
        <v>9649</v>
      </c>
      <c r="E2094" s="12" t="str">
        <f>HYPERLINK("https://twitter.com/BIGCCONSULTANCY/status/1217054022252756993","1217054022252756993")</f>
        <v>1217054022252756993</v>
      </c>
      <c r="F2094" s="13" t="s">
        <v>9650</v>
      </c>
      <c r="G2094" s="13" t="s">
        <v>9651</v>
      </c>
      <c r="H2094" s="14"/>
      <c r="I2094" s="15">
        <v>0.0</v>
      </c>
      <c r="J2094" s="15">
        <v>0.0</v>
      </c>
      <c r="K2094" s="12" t="str">
        <f>HYPERLINK("https://smarterqueue.com","SmarterQueue")</f>
        <v>SmarterQueue</v>
      </c>
      <c r="L2094" s="16">
        <v>5833.0</v>
      </c>
      <c r="M2094" s="16">
        <v>2387.0</v>
      </c>
      <c r="N2094" s="16">
        <v>408.0</v>
      </c>
      <c r="O2094" s="17"/>
      <c r="P2094" s="18">
        <v>40612.64212962963</v>
      </c>
      <c r="Q2094" s="21" t="s">
        <v>9652</v>
      </c>
      <c r="R2094" s="1" t="s">
        <v>9653</v>
      </c>
      <c r="S2094" s="13" t="s">
        <v>9654</v>
      </c>
      <c r="T2094" s="14"/>
      <c r="U2094" s="19" t="str">
        <f>HYPERLINK("https://pbs.twimg.com/profile_images/823842027855052800/eG6lc3Qn.jpg","View")</f>
        <v>View</v>
      </c>
      <c r="V2094" s="14"/>
      <c r="W2094" s="14"/>
      <c r="X2094" s="14"/>
      <c r="Y2094" s="14"/>
      <c r="Z2094" s="14"/>
    </row>
    <row r="2095">
      <c r="A2095" s="11">
        <v>43844.292175925926</v>
      </c>
      <c r="B2095" s="12" t="str">
        <f>HYPERLINK("https://twitter.com/NeuvanaLife","@NeuvanaLife")</f>
        <v>@NeuvanaLife</v>
      </c>
      <c r="C2095" s="1" t="s">
        <v>9655</v>
      </c>
      <c r="D2095" s="1" t="s">
        <v>9656</v>
      </c>
      <c r="E2095" s="12" t="str">
        <f>HYPERLINK("https://twitter.com/NeuvanaLife/status/1217053933203611648","1217053933203611648")</f>
        <v>1217053933203611648</v>
      </c>
      <c r="F2095" s="13" t="s">
        <v>9657</v>
      </c>
      <c r="G2095" s="13" t="s">
        <v>9658</v>
      </c>
      <c r="H2095" s="14"/>
      <c r="I2095" s="15">
        <v>0.0</v>
      </c>
      <c r="J2095" s="15">
        <v>1.0</v>
      </c>
      <c r="K2095" s="12" t="str">
        <f>HYPERLINK("http://www.reputationmailer.com/privacy/","Social Reputation")</f>
        <v>Social Reputation</v>
      </c>
      <c r="L2095" s="16">
        <v>619.0</v>
      </c>
      <c r="M2095" s="16">
        <v>58.0</v>
      </c>
      <c r="N2095" s="16">
        <v>17.0</v>
      </c>
      <c r="O2095" s="17"/>
      <c r="P2095" s="18">
        <v>42311.91045138889</v>
      </c>
      <c r="Q2095" s="1" t="s">
        <v>9659</v>
      </c>
      <c r="R2095" s="1" t="s">
        <v>9660</v>
      </c>
      <c r="S2095" s="13" t="s">
        <v>9661</v>
      </c>
      <c r="T2095" s="14"/>
      <c r="U2095" s="19" t="str">
        <f>HYPERLINK("https://pbs.twimg.com/profile_images/1176887123334639617/3gwiw0qc.jpg","View")</f>
        <v>View</v>
      </c>
      <c r="V2095" s="14"/>
      <c r="W2095" s="14"/>
      <c r="X2095" s="14"/>
      <c r="Y2095" s="14"/>
      <c r="Z2095" s="14"/>
    </row>
    <row r="2096">
      <c r="A2096" s="11">
        <v>43844.29166666667</v>
      </c>
      <c r="B2096" s="12" t="str">
        <f>HYPERLINK("https://twitter.com/spabreaks","@spabreaks")</f>
        <v>@spabreaks</v>
      </c>
      <c r="C2096" s="13" t="s">
        <v>9662</v>
      </c>
      <c r="D2096" s="1" t="s">
        <v>9663</v>
      </c>
      <c r="E2096" s="12" t="str">
        <f>HYPERLINK("https://twitter.com/spabreaks/status/1217053749849411584","1217053749849411584")</f>
        <v>1217053749849411584</v>
      </c>
      <c r="F2096" s="14"/>
      <c r="G2096" s="14"/>
      <c r="H2096" s="14"/>
      <c r="I2096" s="15">
        <v>0.0</v>
      </c>
      <c r="J2096" s="15">
        <v>4.0</v>
      </c>
      <c r="K2096" s="12" t="str">
        <f>HYPERLINK("https://ads-api.twitter.com","Twitter for Advertisers")</f>
        <v>Twitter for Advertisers</v>
      </c>
      <c r="L2096" s="16">
        <v>15049.0</v>
      </c>
      <c r="M2096" s="16">
        <v>3259.0</v>
      </c>
      <c r="N2096" s="16">
        <v>86.0</v>
      </c>
      <c r="O2096" s="17"/>
      <c r="P2096" s="18">
        <v>40226.42398148148</v>
      </c>
      <c r="Q2096" s="1" t="s">
        <v>3678</v>
      </c>
      <c r="R2096" s="1" t="s">
        <v>9664</v>
      </c>
      <c r="S2096" s="13" t="s">
        <v>9665</v>
      </c>
      <c r="T2096" s="14"/>
      <c r="U2096" s="19" t="str">
        <f>HYPERLINK("https://pbs.twimg.com/profile_images/930107177951428608/kNuLD03b.jpg","View")</f>
        <v>View</v>
      </c>
      <c r="V2096" s="14"/>
      <c r="W2096" s="14"/>
      <c r="X2096" s="14"/>
      <c r="Y2096" s="14"/>
      <c r="Z2096" s="14"/>
    </row>
    <row r="2097">
      <c r="A2097" s="11">
        <v>43844.288865740746</v>
      </c>
      <c r="B2097" s="12" t="str">
        <f>HYPERLINK("https://twitter.com/Travelingthrou1","@Travelingthrou1")</f>
        <v>@Travelingthrou1</v>
      </c>
      <c r="C2097" s="1" t="s">
        <v>123</v>
      </c>
      <c r="D2097" s="1" t="s">
        <v>124</v>
      </c>
      <c r="E2097" s="12" t="str">
        <f>HYPERLINK("https://twitter.com/Travelingthrou1/status/1217052735213899777","1217052735213899777")</f>
        <v>1217052735213899777</v>
      </c>
      <c r="F2097" s="13" t="s">
        <v>125</v>
      </c>
      <c r="G2097" s="14"/>
      <c r="H2097" s="14"/>
      <c r="I2097" s="15">
        <v>0.0</v>
      </c>
      <c r="J2097" s="15">
        <v>0.0</v>
      </c>
      <c r="K2097" s="12" t="str">
        <f>HYPERLINK("https://travelingthroughlifedaybyday.com","travelingthrou1")</f>
        <v>travelingthrou1</v>
      </c>
      <c r="L2097" s="16">
        <v>399.0</v>
      </c>
      <c r="M2097" s="16">
        <v>493.0</v>
      </c>
      <c r="N2097" s="16">
        <v>0.0</v>
      </c>
      <c r="O2097" s="17"/>
      <c r="P2097" s="18">
        <v>43318.04958333333</v>
      </c>
      <c r="Q2097" s="14"/>
      <c r="R2097" s="1" t="s">
        <v>126</v>
      </c>
      <c r="S2097" s="13" t="s">
        <v>127</v>
      </c>
      <c r="T2097" s="14"/>
      <c r="U2097" s="19" t="str">
        <f>HYPERLINK("https://pbs.twimg.com/profile_images/1027323887833546753/aj4OB3jB.jpg","View")</f>
        <v>View</v>
      </c>
      <c r="V2097" s="14"/>
      <c r="W2097" s="14"/>
      <c r="X2097" s="14"/>
      <c r="Y2097" s="14"/>
      <c r="Z2097" s="14"/>
    </row>
    <row r="2098">
      <c r="A2098" s="11">
        <v>43844.28803240741</v>
      </c>
      <c r="B2098" s="12" t="str">
        <f t="shared" ref="B2098:B2099" si="213">HYPERLINK("https://twitter.com/bestofmeNLP","@bestofmeNLP")</f>
        <v>@bestofmeNLP</v>
      </c>
      <c r="C2098" s="1" t="s">
        <v>7242</v>
      </c>
      <c r="D2098" s="1" t="s">
        <v>9666</v>
      </c>
      <c r="E2098" s="12" t="str">
        <f>HYPERLINK("https://twitter.com/bestofmeNLP/status/1217052434180210693","1217052434180210693")</f>
        <v>1217052434180210693</v>
      </c>
      <c r="F2098" s="14"/>
      <c r="G2098" s="13" t="s">
        <v>7245</v>
      </c>
      <c r="H2098" s="14"/>
      <c r="I2098" s="15">
        <v>2.0</v>
      </c>
      <c r="J2098" s="15">
        <v>2.0</v>
      </c>
      <c r="K2098" s="12" t="str">
        <f t="shared" ref="K2098:K2099" si="214">HYPERLINK("https://mobile.twitter.com","Twitter Web App")</f>
        <v>Twitter Web App</v>
      </c>
      <c r="L2098" s="16">
        <v>33.0</v>
      </c>
      <c r="M2098" s="16">
        <v>52.0</v>
      </c>
      <c r="N2098" s="16">
        <v>2.0</v>
      </c>
      <c r="O2098" s="17"/>
      <c r="P2098" s="18">
        <v>43315.42539351852</v>
      </c>
      <c r="Q2098" s="1" t="s">
        <v>268</v>
      </c>
      <c r="R2098" s="1" t="s">
        <v>7246</v>
      </c>
      <c r="S2098" s="13" t="s">
        <v>7247</v>
      </c>
      <c r="T2098" s="14"/>
      <c r="U2098" s="19" t="str">
        <f t="shared" ref="U2098:U2099" si="215">HYPERLINK("https://pbs.twimg.com/profile_images/1217053613698306048/hxqJNoE9.jpg","View")</f>
        <v>View</v>
      </c>
      <c r="V2098" s="14"/>
      <c r="W2098" s="14"/>
      <c r="X2098" s="14"/>
      <c r="Y2098" s="14"/>
      <c r="Z2098" s="14"/>
    </row>
    <row r="2099">
      <c r="A2099" s="11">
        <v>43844.28413194444</v>
      </c>
      <c r="B2099" s="12" t="str">
        <f t="shared" si="213"/>
        <v>@bestofmeNLP</v>
      </c>
      <c r="C2099" s="1" t="s">
        <v>7242</v>
      </c>
      <c r="D2099" s="1" t="s">
        <v>9667</v>
      </c>
      <c r="E2099" s="12" t="str">
        <f>HYPERLINK("https://twitter.com/bestofmeNLP/status/1217051019823210497","1217051019823210497")</f>
        <v>1217051019823210497</v>
      </c>
      <c r="F2099" s="1" t="s">
        <v>9668</v>
      </c>
      <c r="G2099" s="14"/>
      <c r="H2099" s="14"/>
      <c r="I2099" s="15">
        <v>0.0</v>
      </c>
      <c r="J2099" s="15">
        <v>0.0</v>
      </c>
      <c r="K2099" s="12" t="str">
        <f t="shared" si="214"/>
        <v>Twitter Web App</v>
      </c>
      <c r="L2099" s="16">
        <v>33.0</v>
      </c>
      <c r="M2099" s="16">
        <v>52.0</v>
      </c>
      <c r="N2099" s="16">
        <v>2.0</v>
      </c>
      <c r="O2099" s="17"/>
      <c r="P2099" s="18">
        <v>43315.42539351852</v>
      </c>
      <c r="Q2099" s="1" t="s">
        <v>268</v>
      </c>
      <c r="R2099" s="1" t="s">
        <v>7246</v>
      </c>
      <c r="S2099" s="13" t="s">
        <v>7247</v>
      </c>
      <c r="T2099" s="14"/>
      <c r="U2099" s="19" t="str">
        <f t="shared" si="215"/>
        <v>View</v>
      </c>
      <c r="V2099" s="14"/>
      <c r="W2099" s="14"/>
      <c r="X2099" s="14"/>
      <c r="Y2099" s="14"/>
      <c r="Z2099" s="14"/>
    </row>
    <row r="2100">
      <c r="A2100" s="11">
        <v>43844.28288194444</v>
      </c>
      <c r="B2100" s="12" t="str">
        <f>HYPERLINK("https://twitter.com/Charis_health","@Charis_health")</f>
        <v>@Charis_health</v>
      </c>
      <c r="C2100" s="1" t="s">
        <v>7688</v>
      </c>
      <c r="D2100" s="1" t="s">
        <v>9669</v>
      </c>
      <c r="E2100" s="12" t="str">
        <f>HYPERLINK("https://twitter.com/Charis_health/status/1217050566842560512","1217050566842560512")</f>
        <v>1217050566842560512</v>
      </c>
      <c r="F2100" s="14"/>
      <c r="G2100" s="13" t="s">
        <v>9670</v>
      </c>
      <c r="H2100" s="14"/>
      <c r="I2100" s="15">
        <v>0.0</v>
      </c>
      <c r="J2100" s="15">
        <v>2.0</v>
      </c>
      <c r="K2100" s="12" t="str">
        <f>HYPERLINK("http://twitter.com/download/android","Twitter for Android")</f>
        <v>Twitter for Android</v>
      </c>
      <c r="L2100" s="16">
        <v>22.0</v>
      </c>
      <c r="M2100" s="16">
        <v>63.0</v>
      </c>
      <c r="N2100" s="16">
        <v>0.0</v>
      </c>
      <c r="O2100" s="17"/>
      <c r="P2100" s="18">
        <v>43556.35070601852</v>
      </c>
      <c r="Q2100" s="1" t="s">
        <v>7691</v>
      </c>
      <c r="R2100" s="14"/>
      <c r="S2100" s="13" t="s">
        <v>7692</v>
      </c>
      <c r="T2100" s="14"/>
      <c r="U2100" s="19" t="str">
        <f>HYPERLINK("https://pbs.twimg.com/profile_images/1112700445426880513/1Dlz7915.jpg","View")</f>
        <v>View</v>
      </c>
      <c r="V2100" s="14"/>
      <c r="W2100" s="14"/>
      <c r="X2100" s="14"/>
      <c r="Y2100" s="14"/>
      <c r="Z2100" s="14"/>
    </row>
    <row r="2101">
      <c r="A2101" s="11">
        <v>43844.28134259259</v>
      </c>
      <c r="B2101" s="12" t="str">
        <f>HYPERLINK("https://twitter.com/EastWingRufford","@EastWingRufford")</f>
        <v>@EastWingRufford</v>
      </c>
      <c r="C2101" s="1" t="s">
        <v>1002</v>
      </c>
      <c r="D2101" s="1" t="s">
        <v>1003</v>
      </c>
      <c r="E2101" s="12" t="str">
        <f>HYPERLINK("https://twitter.com/EastWingRufford/status/1217050008840810496","1217050008840810496")</f>
        <v>1217050008840810496</v>
      </c>
      <c r="F2101" s="13" t="s">
        <v>1004</v>
      </c>
      <c r="G2101" s="13" t="s">
        <v>9671</v>
      </c>
      <c r="H2101" s="14"/>
      <c r="I2101" s="15">
        <v>0.0</v>
      </c>
      <c r="J2101" s="15">
        <v>1.0</v>
      </c>
      <c r="K2101" s="12" t="str">
        <f>HYPERLINK("https://socialposterfire.com","Social Poster Fire")</f>
        <v>Social Poster Fire</v>
      </c>
      <c r="L2101" s="16">
        <v>342.0</v>
      </c>
      <c r="M2101" s="16">
        <v>524.0</v>
      </c>
      <c r="N2101" s="16">
        <v>4.0</v>
      </c>
      <c r="O2101" s="17"/>
      <c r="P2101" s="18">
        <v>43141.54956018519</v>
      </c>
      <c r="Q2101" s="1" t="s">
        <v>1006</v>
      </c>
      <c r="R2101" s="1" t="s">
        <v>1007</v>
      </c>
      <c r="S2101" s="13" t="s">
        <v>1008</v>
      </c>
      <c r="T2101" s="14"/>
      <c r="U2101" s="19" t="str">
        <f>HYPERLINK("https://pbs.twimg.com/profile_images/962404982984241158/u2bomX09.jpg","View")</f>
        <v>View</v>
      </c>
      <c r="V2101" s="14"/>
      <c r="W2101" s="14"/>
      <c r="X2101" s="14"/>
      <c r="Y2101" s="14"/>
      <c r="Z2101" s="14"/>
    </row>
    <row r="2102">
      <c r="A2102" s="11">
        <v>43844.281319444446</v>
      </c>
      <c r="B2102" s="12" t="str">
        <f>HYPERLINK("https://twitter.com/BeBeautiful_In","@BeBeautiful_In")</f>
        <v>@BeBeautiful_In</v>
      </c>
      <c r="C2102" s="1" t="s">
        <v>9672</v>
      </c>
      <c r="D2102" s="1" t="s">
        <v>9673</v>
      </c>
      <c r="E2102" s="12" t="str">
        <f>HYPERLINK("https://twitter.com/BeBeautiful_In/status/1217050002083713024","1217050002083713024")</f>
        <v>1217050002083713024</v>
      </c>
      <c r="F2102" s="14"/>
      <c r="G2102" s="13" t="s">
        <v>9674</v>
      </c>
      <c r="H2102" s="14"/>
      <c r="I2102" s="15">
        <v>0.0</v>
      </c>
      <c r="J2102" s="15">
        <v>0.0</v>
      </c>
      <c r="K2102" s="12" t="str">
        <f>HYPERLINK("https://app.agorapulse.com","AgoraPulse Manager")</f>
        <v>AgoraPulse Manager</v>
      </c>
      <c r="L2102" s="16">
        <v>7232.0</v>
      </c>
      <c r="M2102" s="16">
        <v>675.0</v>
      </c>
      <c r="N2102" s="16">
        <v>143.0</v>
      </c>
      <c r="O2102" s="17"/>
      <c r="P2102" s="18">
        <v>40196.228738425925</v>
      </c>
      <c r="Q2102" s="14"/>
      <c r="R2102" s="1" t="s">
        <v>9675</v>
      </c>
      <c r="S2102" s="13" t="s">
        <v>9676</v>
      </c>
      <c r="T2102" s="14"/>
      <c r="U2102" s="19" t="str">
        <f>HYPERLINK("https://pbs.twimg.com/profile_images/877465884159115264/RrLh55kV.jpg","View")</f>
        <v>View</v>
      </c>
      <c r="V2102" s="14"/>
      <c r="W2102" s="14"/>
      <c r="X2102" s="14"/>
      <c r="Y2102" s="14"/>
      <c r="Z2102" s="14"/>
    </row>
    <row r="2103">
      <c r="A2103" s="11">
        <v>43844.27782407407</v>
      </c>
      <c r="B2103" s="12" t="str">
        <f>HYPERLINK("https://twitter.com/djemal_ua","@djemal_ua")</f>
        <v>@djemal_ua</v>
      </c>
      <c r="C2103" s="1" t="s">
        <v>2797</v>
      </c>
      <c r="D2103" s="1" t="s">
        <v>2798</v>
      </c>
      <c r="E2103" s="12" t="str">
        <f>HYPERLINK("https://twitter.com/djemal_ua/status/1217048733365538818","1217048733365538818")</f>
        <v>1217048733365538818</v>
      </c>
      <c r="F2103" s="13" t="s">
        <v>2799</v>
      </c>
      <c r="G2103" s="14"/>
      <c r="H2103" s="14"/>
      <c r="I2103" s="15">
        <v>0.0</v>
      </c>
      <c r="J2103" s="15">
        <v>1.0</v>
      </c>
      <c r="K2103" s="12" t="str">
        <f>HYPERLINK("https://www.hootsuite.com","Hootsuite Inc.")</f>
        <v>Hootsuite Inc.</v>
      </c>
      <c r="L2103" s="16">
        <v>5127.0</v>
      </c>
      <c r="M2103" s="16">
        <v>4724.0</v>
      </c>
      <c r="N2103" s="16">
        <v>60.0</v>
      </c>
      <c r="O2103" s="17"/>
      <c r="P2103" s="18">
        <v>43530.25729166667</v>
      </c>
      <c r="Q2103" s="1" t="s">
        <v>268</v>
      </c>
      <c r="R2103" s="1" t="s">
        <v>2800</v>
      </c>
      <c r="S2103" s="13" t="s">
        <v>2801</v>
      </c>
      <c r="T2103" s="14"/>
      <c r="U2103" s="19" t="str">
        <f>HYPERLINK("https://pbs.twimg.com/profile_images/1202978381106761728/aqUhVSTO.jpg","View")</f>
        <v>View</v>
      </c>
      <c r="V2103" s="14"/>
      <c r="W2103" s="14"/>
      <c r="X2103" s="14"/>
      <c r="Y2103" s="14"/>
      <c r="Z2103" s="14"/>
    </row>
    <row r="2104">
      <c r="A2104" s="11">
        <v>43844.270266203705</v>
      </c>
      <c r="B2104" s="12" t="str">
        <f>HYPERLINK("https://twitter.com/EFTTappingTips","@EFTTappingTips")</f>
        <v>@EFTTappingTips</v>
      </c>
      <c r="C2104" s="1" t="s">
        <v>2425</v>
      </c>
      <c r="D2104" s="1" t="s">
        <v>9677</v>
      </c>
      <c r="E2104" s="12" t="str">
        <f>HYPERLINK("https://twitter.com/EFTTappingTips/status/1217045996645113857","1217045996645113857")</f>
        <v>1217045996645113857</v>
      </c>
      <c r="F2104" s="14"/>
      <c r="G2104" s="14"/>
      <c r="H2104" s="14"/>
      <c r="I2104" s="15">
        <v>0.0</v>
      </c>
      <c r="J2104" s="15">
        <v>1.0</v>
      </c>
      <c r="K2104" s="12" t="str">
        <f>HYPERLINK("https://mobile.twitter.com","Twitter Web App")</f>
        <v>Twitter Web App</v>
      </c>
      <c r="L2104" s="16">
        <v>333.0</v>
      </c>
      <c r="M2104" s="16">
        <v>2169.0</v>
      </c>
      <c r="N2104" s="16">
        <v>1.0</v>
      </c>
      <c r="O2104" s="17"/>
      <c r="P2104" s="18">
        <v>43641.44410879629</v>
      </c>
      <c r="Q2104" s="14"/>
      <c r="R2104" s="1" t="s">
        <v>2427</v>
      </c>
      <c r="S2104" s="13" t="s">
        <v>2428</v>
      </c>
      <c r="T2104" s="14"/>
      <c r="U2104" s="19" t="str">
        <f>HYPERLINK("https://pbs.twimg.com/profile_images/1199778314271019008/bE3JK-MI.jpg","View")</f>
        <v>View</v>
      </c>
      <c r="V2104" s="14"/>
      <c r="W2104" s="14"/>
      <c r="X2104" s="14"/>
      <c r="Y2104" s="14"/>
      <c r="Z2104" s="14"/>
    </row>
    <row r="2105">
      <c r="A2105" s="11">
        <v>43844.26949074074</v>
      </c>
      <c r="B2105" s="12" t="str">
        <f>HYPERLINK("https://twitter.com/MummyFever","@MummyFever")</f>
        <v>@MummyFever</v>
      </c>
      <c r="C2105" s="1" t="s">
        <v>1242</v>
      </c>
      <c r="D2105" s="1" t="s">
        <v>1243</v>
      </c>
      <c r="E2105" s="12" t="str">
        <f>HYPERLINK("https://twitter.com/MummyFever/status/1217045714364137472","1217045714364137472")</f>
        <v>1217045714364137472</v>
      </c>
      <c r="F2105" s="13" t="s">
        <v>1244</v>
      </c>
      <c r="G2105" s="13" t="s">
        <v>9678</v>
      </c>
      <c r="H2105" s="14"/>
      <c r="I2105" s="15">
        <v>0.0</v>
      </c>
      <c r="J2105" s="15">
        <v>0.0</v>
      </c>
      <c r="K2105" s="12" t="str">
        <f>HYPERLINK("https://www.socialoomph.com","SocialOomph")</f>
        <v>SocialOomph</v>
      </c>
      <c r="L2105" s="16">
        <v>14129.0</v>
      </c>
      <c r="M2105" s="16">
        <v>9218.0</v>
      </c>
      <c r="N2105" s="16">
        <v>891.0</v>
      </c>
      <c r="O2105" s="17"/>
      <c r="P2105" s="18">
        <v>40742.228854166664</v>
      </c>
      <c r="Q2105" s="1" t="s">
        <v>1246</v>
      </c>
      <c r="R2105" s="1" t="s">
        <v>1247</v>
      </c>
      <c r="S2105" s="13" t="s">
        <v>1248</v>
      </c>
      <c r="T2105" s="14"/>
      <c r="U2105" s="19" t="str">
        <f>HYPERLINK("https://pbs.twimg.com/profile_images/672422566083084288/i27uCbEE.jpg","View")</f>
        <v>View</v>
      </c>
      <c r="V2105" s="14"/>
      <c r="W2105" s="14"/>
      <c r="X2105" s="14"/>
      <c r="Y2105" s="14"/>
      <c r="Z2105" s="14"/>
    </row>
    <row r="2106">
      <c r="A2106" s="11">
        <v>43844.26605324074</v>
      </c>
      <c r="B2106" s="12" t="str">
        <f>HYPERLINK("https://twitter.com/DronfieldCBT4U","@DronfieldCBT4U")</f>
        <v>@DronfieldCBT4U</v>
      </c>
      <c r="C2106" s="1" t="s">
        <v>9679</v>
      </c>
      <c r="D2106" s="1" t="s">
        <v>9680</v>
      </c>
      <c r="E2106" s="12" t="str">
        <f>HYPERLINK("https://twitter.com/DronfieldCBT4U/status/1217044470342004736","1217044470342004736")</f>
        <v>1217044470342004736</v>
      </c>
      <c r="F2106" s="14"/>
      <c r="G2106" s="13" t="s">
        <v>9681</v>
      </c>
      <c r="H2106" s="14"/>
      <c r="I2106" s="15">
        <v>1.0</v>
      </c>
      <c r="J2106" s="15">
        <v>2.0</v>
      </c>
      <c r="K2106" s="12" t="str">
        <f>HYPERLINK("https://www.hootsuite.com","Hootsuite Inc.")</f>
        <v>Hootsuite Inc.</v>
      </c>
      <c r="L2106" s="16">
        <v>403.0</v>
      </c>
      <c r="M2106" s="16">
        <v>647.0</v>
      </c>
      <c r="N2106" s="16">
        <v>16.0</v>
      </c>
      <c r="O2106" s="17"/>
      <c r="P2106" s="18">
        <v>42218.572430555556</v>
      </c>
      <c r="Q2106" s="1" t="s">
        <v>9682</v>
      </c>
      <c r="R2106" s="1" t="s">
        <v>9683</v>
      </c>
      <c r="S2106" s="13" t="s">
        <v>9684</v>
      </c>
      <c r="T2106" s="14"/>
      <c r="U2106" s="19" t="str">
        <f>HYPERLINK("https://pbs.twimg.com/profile_images/1148218899831410688/Vv_yflJV.png","View")</f>
        <v>View</v>
      </c>
      <c r="V2106" s="14"/>
      <c r="W2106" s="14"/>
      <c r="X2106" s="14"/>
      <c r="Y2106" s="14"/>
      <c r="Z2106" s="14"/>
    </row>
    <row r="2107">
      <c r="A2107" s="11">
        <v>43844.26239583333</v>
      </c>
      <c r="B2107" s="12" t="str">
        <f>HYPERLINK("https://twitter.com/antonia2708","@antonia2708")</f>
        <v>@antonia2708</v>
      </c>
      <c r="C2107" s="1" t="s">
        <v>9685</v>
      </c>
      <c r="D2107" s="1" t="s">
        <v>9686</v>
      </c>
      <c r="E2107" s="12" t="str">
        <f>HYPERLINK("https://twitter.com/antonia2708/status/1217043144270929920","1217043144270929920")</f>
        <v>1217043144270929920</v>
      </c>
      <c r="F2107" s="14"/>
      <c r="G2107" s="14"/>
      <c r="H2107" s="14"/>
      <c r="I2107" s="15">
        <v>0.0</v>
      </c>
      <c r="J2107" s="15">
        <v>3.0</v>
      </c>
      <c r="K2107" s="12" t="str">
        <f>HYPERLINK("http://twitter.com/download/android","Twitter for Android")</f>
        <v>Twitter for Android</v>
      </c>
      <c r="L2107" s="16">
        <v>372.0</v>
      </c>
      <c r="M2107" s="16">
        <v>869.0</v>
      </c>
      <c r="N2107" s="16">
        <v>5.0</v>
      </c>
      <c r="O2107" s="17"/>
      <c r="P2107" s="18">
        <v>40123.23834490741</v>
      </c>
      <c r="Q2107" s="14"/>
      <c r="R2107" s="1" t="s">
        <v>9687</v>
      </c>
      <c r="S2107" s="14"/>
      <c r="T2107" s="14"/>
      <c r="U2107" s="19" t="str">
        <f>HYPERLINK("https://pbs.twimg.com/profile_images/1106845372863967232/QLReEtxK.jpg","View")</f>
        <v>View</v>
      </c>
      <c r="V2107" s="14"/>
      <c r="W2107" s="14"/>
      <c r="X2107" s="14"/>
      <c r="Y2107" s="14"/>
      <c r="Z2107" s="14"/>
    </row>
    <row r="2108">
      <c r="A2108" s="11">
        <v>43844.25859953703</v>
      </c>
      <c r="B2108" s="12" t="str">
        <f>HYPERLINK("https://twitter.com/OxfordPublicity","@OxfordPublicity")</f>
        <v>@OxfordPublicity</v>
      </c>
      <c r="C2108" s="1" t="s">
        <v>9688</v>
      </c>
      <c r="D2108" s="1" t="s">
        <v>9689</v>
      </c>
      <c r="E2108" s="12" t="str">
        <f>HYPERLINK("https://twitter.com/OxfordPublicity/status/1217041767931031552","1217041767931031552")</f>
        <v>1217041767931031552</v>
      </c>
      <c r="F2108" s="14"/>
      <c r="G2108" s="13" t="s">
        <v>9690</v>
      </c>
      <c r="H2108" s="14"/>
      <c r="I2108" s="15">
        <v>2.0</v>
      </c>
      <c r="J2108" s="15">
        <v>3.0</v>
      </c>
      <c r="K2108" s="12" t="str">
        <f>HYPERLINK("https://mobile.twitter.com","Twitter Web App")</f>
        <v>Twitter Web App</v>
      </c>
      <c r="L2108" s="16">
        <v>535.0</v>
      </c>
      <c r="M2108" s="16">
        <v>473.0</v>
      </c>
      <c r="N2108" s="16">
        <v>57.0</v>
      </c>
      <c r="O2108" s="17"/>
      <c r="P2108" s="18">
        <v>40837.36555555556</v>
      </c>
      <c r="Q2108" s="1" t="s">
        <v>9691</v>
      </c>
      <c r="R2108" s="1" t="s">
        <v>9692</v>
      </c>
      <c r="S2108" s="13" t="s">
        <v>9693</v>
      </c>
      <c r="T2108" s="14"/>
      <c r="U2108" s="19" t="str">
        <f>HYPERLINK("https://pbs.twimg.com/profile_images/1599415899/OPP_logo_3_line_version_4.jpg","View")</f>
        <v>View</v>
      </c>
      <c r="V2108" s="14"/>
      <c r="W2108" s="14"/>
      <c r="X2108" s="14"/>
      <c r="Y2108" s="14"/>
      <c r="Z2108" s="14"/>
    </row>
    <row r="2109">
      <c r="A2109" s="11">
        <v>43844.25719907407</v>
      </c>
      <c r="B2109" s="12" t="str">
        <f>HYPERLINK("https://twitter.com/PunjabPoliceCPO","@PunjabPoliceCPO")</f>
        <v>@PunjabPoliceCPO</v>
      </c>
      <c r="C2109" s="1" t="s">
        <v>9694</v>
      </c>
      <c r="D2109" s="1" t="s">
        <v>9695</v>
      </c>
      <c r="E2109" s="12" t="str">
        <f>HYPERLINK("https://twitter.com/PunjabPoliceCPO/status/1217041258767667202","1217041258767667202")</f>
        <v>1217041258767667202</v>
      </c>
      <c r="F2109" s="14"/>
      <c r="G2109" s="13" t="s">
        <v>9696</v>
      </c>
      <c r="H2109" s="14"/>
      <c r="I2109" s="15">
        <v>7.0</v>
      </c>
      <c r="J2109" s="15">
        <v>28.0</v>
      </c>
      <c r="K2109" s="12" t="str">
        <f>HYPERLINK("http://twitter.com/download/android","Twitter for Android")</f>
        <v>Twitter for Android</v>
      </c>
      <c r="L2109" s="16">
        <v>1389.0</v>
      </c>
      <c r="M2109" s="16">
        <v>25.0</v>
      </c>
      <c r="N2109" s="16">
        <v>0.0</v>
      </c>
      <c r="O2109" s="17"/>
      <c r="P2109" s="18">
        <v>43802.09087962963</v>
      </c>
      <c r="Q2109" s="14"/>
      <c r="R2109" s="1" t="s">
        <v>9697</v>
      </c>
      <c r="S2109" s="13" t="s">
        <v>9698</v>
      </c>
      <c r="T2109" s="14"/>
      <c r="U2109" s="19" t="str">
        <f>HYPERLINK("https://pbs.twimg.com/profile_images/1203957234151153664/nl59OzA4.jpg","View")</f>
        <v>View</v>
      </c>
      <c r="V2109" s="14"/>
      <c r="W2109" s="14"/>
      <c r="X2109" s="14"/>
      <c r="Y2109" s="14"/>
      <c r="Z2109" s="14"/>
    </row>
    <row r="2110">
      <c r="A2110" s="11">
        <v>43844.25346064815</v>
      </c>
      <c r="B2110" s="12" t="str">
        <f>HYPERLINK("https://twitter.com/young_amo_kid","@young_amo_kid")</f>
        <v>@young_amo_kid</v>
      </c>
      <c r="C2110" s="1" t="s">
        <v>9699</v>
      </c>
      <c r="D2110" s="1" t="s">
        <v>9700</v>
      </c>
      <c r="E2110" s="12" t="str">
        <f>HYPERLINK("https://twitter.com/young_amo_kid/status/1217039905920110592","1217039905920110592")</f>
        <v>1217039905920110592</v>
      </c>
      <c r="F2110" s="13" t="s">
        <v>9701</v>
      </c>
      <c r="G2110" s="13" t="s">
        <v>9702</v>
      </c>
      <c r="H2110" s="14"/>
      <c r="I2110" s="15">
        <v>0.0</v>
      </c>
      <c r="J2110" s="15">
        <v>0.0</v>
      </c>
      <c r="K2110" s="12" t="str">
        <f>HYPERLINK("https://mobile.twitter.com","Twitter Web App")</f>
        <v>Twitter Web App</v>
      </c>
      <c r="L2110" s="16">
        <v>1834.0</v>
      </c>
      <c r="M2110" s="16">
        <v>3396.0</v>
      </c>
      <c r="N2110" s="16">
        <v>5.0</v>
      </c>
      <c r="O2110" s="17"/>
      <c r="P2110" s="18">
        <v>42137.55743055556</v>
      </c>
      <c r="Q2110" s="1" t="s">
        <v>9703</v>
      </c>
      <c r="R2110" s="13" t="s">
        <v>9704</v>
      </c>
      <c r="S2110" s="13" t="s">
        <v>9705</v>
      </c>
      <c r="T2110" s="14"/>
      <c r="U2110" s="19" t="str">
        <f>HYPERLINK("https://pbs.twimg.com/profile_images/741653810725179392/ewXc1Jpm.jpg","View")</f>
        <v>View</v>
      </c>
      <c r="V2110" s="14"/>
      <c r="W2110" s="14"/>
      <c r="X2110" s="14"/>
      <c r="Y2110" s="14"/>
      <c r="Z2110" s="14"/>
    </row>
    <row r="2111">
      <c r="A2111" s="11">
        <v>43844.251655092594</v>
      </c>
      <c r="B2111" s="12" t="str">
        <f>HYPERLINK("https://twitter.com/ScentFill","@ScentFill")</f>
        <v>@ScentFill</v>
      </c>
      <c r="C2111" s="1" t="s">
        <v>960</v>
      </c>
      <c r="D2111" s="1" t="s">
        <v>9706</v>
      </c>
      <c r="E2111" s="12" t="str">
        <f>HYPERLINK("https://twitter.com/ScentFill/status/1217039252573294592","1217039252573294592")</f>
        <v>1217039252573294592</v>
      </c>
      <c r="F2111" s="13" t="s">
        <v>8374</v>
      </c>
      <c r="G2111" s="13" t="s">
        <v>9707</v>
      </c>
      <c r="H2111" s="14"/>
      <c r="I2111" s="15">
        <v>0.0</v>
      </c>
      <c r="J2111" s="15">
        <v>1.0</v>
      </c>
      <c r="K2111" s="12" t="str">
        <f>HYPERLINK("https://www.socialoomph.com","SocialOomph")</f>
        <v>SocialOomph</v>
      </c>
      <c r="L2111" s="16">
        <v>1863.0</v>
      </c>
      <c r="M2111" s="16">
        <v>2105.0</v>
      </c>
      <c r="N2111" s="16">
        <v>25.0</v>
      </c>
      <c r="O2111" s="17"/>
      <c r="P2111" s="18">
        <v>42692.65809027778</v>
      </c>
      <c r="Q2111" s="14"/>
      <c r="R2111" s="1" t="s">
        <v>964</v>
      </c>
      <c r="S2111" s="13" t="s">
        <v>965</v>
      </c>
      <c r="T2111" s="14"/>
      <c r="U2111" s="19" t="str">
        <f>HYPERLINK("https://pbs.twimg.com/profile_images/799717698556956672/mdITl9zd.jpg","View")</f>
        <v>View</v>
      </c>
      <c r="V2111" s="14"/>
      <c r="W2111" s="14"/>
      <c r="X2111" s="14"/>
      <c r="Y2111" s="14"/>
      <c r="Z2111" s="14"/>
    </row>
    <row r="2112">
      <c r="A2112" s="11">
        <v>43844.25061342593</v>
      </c>
      <c r="B2112" s="12" t="str">
        <f>HYPERLINK("https://twitter.com/Health_Local","@Health_Local")</f>
        <v>@Health_Local</v>
      </c>
      <c r="C2112" s="13" t="s">
        <v>8244</v>
      </c>
      <c r="D2112" s="1" t="s">
        <v>9708</v>
      </c>
      <c r="E2112" s="12" t="str">
        <f>HYPERLINK("https://twitter.com/Health_Local/status/1217038874582683649","1217038874582683649")</f>
        <v>1217038874582683649</v>
      </c>
      <c r="F2112" s="13" t="s">
        <v>9709</v>
      </c>
      <c r="G2112" s="13" t="s">
        <v>9710</v>
      </c>
      <c r="H2112" s="14"/>
      <c r="I2112" s="15">
        <v>0.0</v>
      </c>
      <c r="J2112" s="15">
        <v>1.0</v>
      </c>
      <c r="K2112" s="12" t="str">
        <f>HYPERLINK("https://www.hootsuite.com","Hootsuite Inc.")</f>
        <v>Hootsuite Inc.</v>
      </c>
      <c r="L2112" s="16">
        <v>2494.0</v>
      </c>
      <c r="M2112" s="16">
        <v>2189.0</v>
      </c>
      <c r="N2112" s="16">
        <v>64.0</v>
      </c>
      <c r="O2112" s="17"/>
      <c r="P2112" s="18">
        <v>39981.66826388889</v>
      </c>
      <c r="Q2112" s="1" t="s">
        <v>8248</v>
      </c>
      <c r="R2112" s="1" t="s">
        <v>8249</v>
      </c>
      <c r="S2112" s="13" t="s">
        <v>8250</v>
      </c>
      <c r="T2112" s="14"/>
      <c r="U2112" s="19" t="str">
        <f>HYPERLINK("https://pbs.twimg.com/profile_images/863099797779210241/e04zgN6Y.jpg","View")</f>
        <v>View</v>
      </c>
      <c r="V2112" s="14"/>
      <c r="W2112" s="14"/>
      <c r="X2112" s="14"/>
      <c r="Y2112" s="14"/>
      <c r="Z2112" s="14"/>
    </row>
    <row r="2113">
      <c r="A2113" s="11">
        <v>43844.25011574074</v>
      </c>
      <c r="B2113" s="12" t="str">
        <f>HYPERLINK("https://twitter.com/STEVEBAILEY65","@STEVEBAILEY65")</f>
        <v>@STEVEBAILEY65</v>
      </c>
      <c r="C2113" s="1" t="s">
        <v>9711</v>
      </c>
      <c r="D2113" s="1" t="s">
        <v>9712</v>
      </c>
      <c r="E2113" s="12" t="str">
        <f>HYPERLINK("https://twitter.com/STEVEBAILEY65/status/1217038694051393541","1217038694051393541")</f>
        <v>1217038694051393541</v>
      </c>
      <c r="F2113" s="13" t="s">
        <v>9713</v>
      </c>
      <c r="G2113" s="13" t="s">
        <v>9714</v>
      </c>
      <c r="H2113" s="14"/>
      <c r="I2113" s="15">
        <v>0.0</v>
      </c>
      <c r="J2113" s="15">
        <v>0.0</v>
      </c>
      <c r="K2113" s="12" t="str">
        <f>HYPERLINK("https://www.contentcal.io","ContentCal Studio")</f>
        <v>ContentCal Studio</v>
      </c>
      <c r="L2113" s="16">
        <v>103.0</v>
      </c>
      <c r="M2113" s="16">
        <v>112.0</v>
      </c>
      <c r="N2113" s="16">
        <v>1.0</v>
      </c>
      <c r="O2113" s="17"/>
      <c r="P2113" s="18">
        <v>41576.757569444446</v>
      </c>
      <c r="Q2113" s="1" t="s">
        <v>9715</v>
      </c>
      <c r="R2113" s="1" t="s">
        <v>9716</v>
      </c>
      <c r="S2113" s="13" t="s">
        <v>9717</v>
      </c>
      <c r="T2113" s="14"/>
      <c r="U2113" s="19" t="str">
        <f>HYPERLINK("https://pbs.twimg.com/profile_images/891679596483096576/2EnsQhLY.jpg","View")</f>
        <v>View</v>
      </c>
      <c r="V2113" s="14"/>
      <c r="W2113" s="14"/>
      <c r="X2113" s="14"/>
      <c r="Y2113" s="14"/>
      <c r="Z2113" s="14"/>
    </row>
    <row r="2114">
      <c r="A2114" s="11">
        <v>43844.24390046296</v>
      </c>
      <c r="B2114" s="12" t="str">
        <f>HYPERLINK("https://twitter.com/StressAssist","@StressAssist")</f>
        <v>@StressAssist</v>
      </c>
      <c r="C2114" s="1" t="s">
        <v>9718</v>
      </c>
      <c r="D2114" s="1" t="s">
        <v>9719</v>
      </c>
      <c r="E2114" s="12" t="str">
        <f>HYPERLINK("https://twitter.com/StressAssist/status/1217036442125447169","1217036442125447169")</f>
        <v>1217036442125447169</v>
      </c>
      <c r="F2114" s="14"/>
      <c r="G2114" s="13" t="s">
        <v>9720</v>
      </c>
      <c r="H2114" s="14"/>
      <c r="I2114" s="15">
        <v>0.0</v>
      </c>
      <c r="J2114" s="15">
        <v>0.0</v>
      </c>
      <c r="K2114" s="12" t="str">
        <f>HYPERLINK("https://mobile.twitter.com","Twitter Web App")</f>
        <v>Twitter Web App</v>
      </c>
      <c r="L2114" s="16">
        <v>1184.0</v>
      </c>
      <c r="M2114" s="16">
        <v>1052.0</v>
      </c>
      <c r="N2114" s="16">
        <v>26.0</v>
      </c>
      <c r="O2114" s="17"/>
      <c r="P2114" s="18">
        <v>41018.3044212963</v>
      </c>
      <c r="Q2114" s="1" t="s">
        <v>9721</v>
      </c>
      <c r="R2114" s="1" t="s">
        <v>9722</v>
      </c>
      <c r="S2114" s="13" t="s">
        <v>9723</v>
      </c>
      <c r="T2114" s="14"/>
      <c r="U2114" s="19" t="str">
        <f>HYPERLINK("https://pbs.twimg.com/profile_images/1156932925537030144/bxvXLpQK.jpg","View")</f>
        <v>View</v>
      </c>
      <c r="V2114" s="14"/>
      <c r="W2114" s="14"/>
      <c r="X2114" s="14"/>
      <c r="Y2114" s="14"/>
      <c r="Z2114" s="14"/>
    </row>
    <row r="2115">
      <c r="A2115" s="11">
        <v>43844.242106481484</v>
      </c>
      <c r="B2115" s="12" t="str">
        <f>HYPERLINK("https://twitter.com/subhojit_sen91","@subhojit_sen91")</f>
        <v>@subhojit_sen91</v>
      </c>
      <c r="C2115" s="1" t="s">
        <v>9724</v>
      </c>
      <c r="D2115" s="1" t="s">
        <v>9725</v>
      </c>
      <c r="E2115" s="12" t="str">
        <f>HYPERLINK("https://twitter.com/subhojit_sen91/status/1217035789139230721","1217035789139230721")</f>
        <v>1217035789139230721</v>
      </c>
      <c r="F2115" s="14"/>
      <c r="G2115" s="14"/>
      <c r="H2115" s="14"/>
      <c r="I2115" s="15">
        <v>0.0</v>
      </c>
      <c r="J2115" s="15">
        <v>0.0</v>
      </c>
      <c r="K2115" s="12" t="str">
        <f>HYPERLINK("http://twitter.com/download/android","Twitter for Android")</f>
        <v>Twitter for Android</v>
      </c>
      <c r="L2115" s="16">
        <v>10.0</v>
      </c>
      <c r="M2115" s="16">
        <v>125.0</v>
      </c>
      <c r="N2115" s="16">
        <v>0.0</v>
      </c>
      <c r="O2115" s="17"/>
      <c r="P2115" s="18">
        <v>42151.35832175926</v>
      </c>
      <c r="Q2115" s="1" t="s">
        <v>1838</v>
      </c>
      <c r="R2115" s="1" t="s">
        <v>9726</v>
      </c>
      <c r="S2115" s="14"/>
      <c r="T2115" s="14"/>
      <c r="U2115" s="19" t="str">
        <f>HYPERLINK("https://pbs.twimg.com/profile_images/1163365865074520065/A6zRlnhG.jpg","View")</f>
        <v>View</v>
      </c>
      <c r="V2115" s="14"/>
      <c r="W2115" s="14"/>
      <c r="X2115" s="14"/>
      <c r="Y2115" s="14"/>
      <c r="Z2115" s="14"/>
    </row>
    <row r="2116">
      <c r="A2116" s="11">
        <v>43844.24086805555</v>
      </c>
      <c r="B2116" s="12" t="str">
        <f>HYPERLINK("https://twitter.com/SleepFairyDee","@SleepFairyDee")</f>
        <v>@SleepFairyDee</v>
      </c>
      <c r="C2116" s="1" t="s">
        <v>9727</v>
      </c>
      <c r="D2116" s="1" t="s">
        <v>9728</v>
      </c>
      <c r="E2116" s="12" t="str">
        <f>HYPERLINK("https://twitter.com/SleepFairyDee/status/1217035342924173313","1217035342924173313")</f>
        <v>1217035342924173313</v>
      </c>
      <c r="F2116" s="13" t="s">
        <v>9729</v>
      </c>
      <c r="G2116" s="13" t="s">
        <v>9730</v>
      </c>
      <c r="H2116" s="14"/>
      <c r="I2116" s="15">
        <v>0.0</v>
      </c>
      <c r="J2116" s="15">
        <v>0.0</v>
      </c>
      <c r="K2116" s="12" t="str">
        <f>HYPERLINK("https://mobile.twitter.com","Twitter Web App")</f>
        <v>Twitter Web App</v>
      </c>
      <c r="L2116" s="16">
        <v>463.0</v>
      </c>
      <c r="M2116" s="16">
        <v>569.0</v>
      </c>
      <c r="N2116" s="16">
        <v>13.0</v>
      </c>
      <c r="O2116" s="17"/>
      <c r="P2116" s="18">
        <v>40924.52141203704</v>
      </c>
      <c r="Q2116" s="1" t="s">
        <v>9731</v>
      </c>
      <c r="R2116" s="1" t="s">
        <v>9732</v>
      </c>
      <c r="S2116" s="13" t="s">
        <v>9733</v>
      </c>
      <c r="T2116" s="14"/>
      <c r="U2116" s="19" t="str">
        <f>HYPERLINK("https://pbs.twimg.com/profile_images/1211611309873217536/ZGIbUaYI.jpg","View")</f>
        <v>View</v>
      </c>
      <c r="V2116" s="14"/>
      <c r="W2116" s="14"/>
      <c r="X2116" s="14"/>
      <c r="Y2116" s="14"/>
      <c r="Z2116" s="14"/>
    </row>
    <row r="2117">
      <c r="A2117" s="11">
        <v>43844.23373842593</v>
      </c>
      <c r="B2117" s="12" t="str">
        <f>HYPERLINK("https://twitter.com/_weightloss284","@_weightloss284")</f>
        <v>@_weightloss284</v>
      </c>
      <c r="C2117" s="1" t="s">
        <v>1293</v>
      </c>
      <c r="D2117" s="1" t="s">
        <v>9734</v>
      </c>
      <c r="E2117" s="12" t="str">
        <f>HYPERLINK("https://twitter.com/_weightloss284/status/1217032759677530114","1217032759677530114")</f>
        <v>1217032759677530114</v>
      </c>
      <c r="F2117" s="13" t="s">
        <v>9735</v>
      </c>
      <c r="G2117" s="13" t="s">
        <v>9736</v>
      </c>
      <c r="H2117" s="14"/>
      <c r="I2117" s="15">
        <v>0.0</v>
      </c>
      <c r="J2117" s="15">
        <v>0.0</v>
      </c>
      <c r="K2117" s="12" t="str">
        <f>HYPERLINK("http://pachaworld.org/","Pachaworldmain")</f>
        <v>Pachaworldmain</v>
      </c>
      <c r="L2117" s="16">
        <v>30740.0</v>
      </c>
      <c r="M2117" s="16">
        <v>29150.0</v>
      </c>
      <c r="N2117" s="16">
        <v>648.0</v>
      </c>
      <c r="O2117" s="17"/>
      <c r="P2117" s="18">
        <v>40811.433842592596</v>
      </c>
      <c r="Q2117" s="1" t="s">
        <v>1297</v>
      </c>
      <c r="R2117" s="1" t="s">
        <v>1298</v>
      </c>
      <c r="S2117" s="13" t="s">
        <v>1299</v>
      </c>
      <c r="T2117" s="14"/>
      <c r="U2117" s="19" t="str">
        <f>HYPERLINK("https://pbs.twimg.com/profile_images/856213931802710018/G1Ag0eNK.jpg","View")</f>
        <v>View</v>
      </c>
      <c r="V2117" s="14"/>
      <c r="W2117" s="14"/>
      <c r="X2117" s="14"/>
      <c r="Y2117" s="14"/>
      <c r="Z2117" s="14"/>
    </row>
    <row r="2118">
      <c r="A2118" s="11">
        <v>43844.23061342593</v>
      </c>
      <c r="B2118" s="12" t="str">
        <f>HYPERLINK("https://twitter.com/DiabeticCyborgg","@DiabeticCyborgg")</f>
        <v>@DiabeticCyborgg</v>
      </c>
      <c r="C2118" s="1" t="s">
        <v>9737</v>
      </c>
      <c r="D2118" s="1" t="s">
        <v>9738</v>
      </c>
      <c r="E2118" s="12" t="str">
        <f>HYPERLINK("https://twitter.com/DiabeticCyborgg/status/1217031624421933058","1217031624421933058")</f>
        <v>1217031624421933058</v>
      </c>
      <c r="F2118" s="13" t="s">
        <v>9739</v>
      </c>
      <c r="G2118" s="14"/>
      <c r="H2118" s="14"/>
      <c r="I2118" s="15">
        <v>1.0</v>
      </c>
      <c r="J2118" s="15">
        <v>2.0</v>
      </c>
      <c r="K2118" s="12" t="str">
        <f>HYPERLINK("http://twitter.com","Twitter Web Client")</f>
        <v>Twitter Web Client</v>
      </c>
      <c r="L2118" s="16">
        <v>6287.0</v>
      </c>
      <c r="M2118" s="16">
        <v>4734.0</v>
      </c>
      <c r="N2118" s="16">
        <v>2054.0</v>
      </c>
      <c r="O2118" s="17"/>
      <c r="P2118" s="18">
        <v>39533.70361111111</v>
      </c>
      <c r="Q2118" s="1" t="s">
        <v>9740</v>
      </c>
      <c r="R2118" s="1" t="s">
        <v>9741</v>
      </c>
      <c r="S2118" s="13" t="s">
        <v>9742</v>
      </c>
      <c r="T2118" s="14"/>
      <c r="U2118" s="19" t="str">
        <f>HYPERLINK("https://pbs.twimg.com/profile_images/801142830525579265/UFmfigEW.jpg","View")</f>
        <v>View</v>
      </c>
      <c r="V2118" s="14"/>
      <c r="W2118" s="14"/>
      <c r="X2118" s="14"/>
      <c r="Y2118" s="14"/>
      <c r="Z2118" s="14"/>
    </row>
    <row r="2119">
      <c r="A2119" s="11">
        <v>43844.229212962964</v>
      </c>
      <c r="B2119" s="12" t="str">
        <f>HYPERLINK("https://twitter.com/CignaUKHB","@CignaUKHB")</f>
        <v>@CignaUKHB</v>
      </c>
      <c r="C2119" s="1" t="s">
        <v>9743</v>
      </c>
      <c r="D2119" s="1" t="s">
        <v>9744</v>
      </c>
      <c r="E2119" s="12" t="str">
        <f>HYPERLINK("https://twitter.com/CignaUKHB/status/1217031119545212928","1217031119545212928")</f>
        <v>1217031119545212928</v>
      </c>
      <c r="F2119" s="14"/>
      <c r="G2119" s="13" t="s">
        <v>9745</v>
      </c>
      <c r="H2119" s="14"/>
      <c r="I2119" s="15">
        <v>1.0</v>
      </c>
      <c r="J2119" s="15">
        <v>1.0</v>
      </c>
      <c r="K2119" s="12" t="str">
        <f>HYPERLINK("https://www.spredfast.com","Spredfast")</f>
        <v>Spredfast</v>
      </c>
      <c r="L2119" s="16">
        <v>764.0</v>
      </c>
      <c r="M2119" s="16">
        <v>583.0</v>
      </c>
      <c r="N2119" s="16">
        <v>37.0</v>
      </c>
      <c r="O2119" s="17"/>
      <c r="P2119" s="18">
        <v>41376.20337962963</v>
      </c>
      <c r="Q2119" s="1" t="s">
        <v>9746</v>
      </c>
      <c r="R2119" s="1" t="s">
        <v>9747</v>
      </c>
      <c r="S2119" s="13" t="s">
        <v>9748</v>
      </c>
      <c r="T2119" s="14"/>
      <c r="U2119" s="19" t="str">
        <f>HYPERLINK("https://pbs.twimg.com/profile_images/3510118530/beb214e8bfd9e47ca93c127f43ac98df.jpeg","View")</f>
        <v>View</v>
      </c>
      <c r="V2119" s="14"/>
      <c r="W2119" s="14"/>
      <c r="X2119" s="14"/>
      <c r="Y2119" s="14"/>
      <c r="Z2119" s="14"/>
    </row>
    <row r="2120">
      <c r="A2120" s="11">
        <v>43844.22916666667</v>
      </c>
      <c r="B2120" s="12" t="str">
        <f>HYPERLINK("https://twitter.com/HI_Daily","@HI_Daily")</f>
        <v>@HI_Daily</v>
      </c>
      <c r="C2120" s="1" t="s">
        <v>9749</v>
      </c>
      <c r="D2120" s="1" t="s">
        <v>9750</v>
      </c>
      <c r="E2120" s="12" t="str">
        <f>HYPERLINK("https://twitter.com/HI_Daily/status/1217031099836194816","1217031099836194816")</f>
        <v>1217031099836194816</v>
      </c>
      <c r="F2120" s="13" t="s">
        <v>9751</v>
      </c>
      <c r="G2120" s="14"/>
      <c r="H2120" s="14"/>
      <c r="I2120" s="15">
        <v>0.0</v>
      </c>
      <c r="J2120" s="15">
        <v>1.0</v>
      </c>
      <c r="K2120" s="12" t="str">
        <f>HYPERLINK("https://about.twitter.com/products/tweetdeck","TweetDeck")</f>
        <v>TweetDeck</v>
      </c>
      <c r="L2120" s="16">
        <v>3441.0</v>
      </c>
      <c r="M2120" s="16">
        <v>822.0</v>
      </c>
      <c r="N2120" s="16">
        <v>75.0</v>
      </c>
      <c r="O2120" s="17"/>
      <c r="P2120" s="18">
        <v>39883.26585648148</v>
      </c>
      <c r="Q2120" s="1" t="s">
        <v>342</v>
      </c>
      <c r="R2120" s="1" t="s">
        <v>9752</v>
      </c>
      <c r="S2120" s="13" t="s">
        <v>9753</v>
      </c>
      <c r="T2120" s="14"/>
      <c r="U2120" s="19" t="str">
        <f>HYPERLINK("https://pbs.twimg.com/profile_images/1126421476293382144/koVa9c65.png","View")</f>
        <v>View</v>
      </c>
      <c r="V2120" s="14"/>
      <c r="W2120" s="14"/>
      <c r="X2120" s="14"/>
      <c r="Y2120" s="14"/>
      <c r="Z2120" s="14"/>
    </row>
    <row r="2121">
      <c r="A2121" s="11">
        <v>43844.22709490741</v>
      </c>
      <c r="B2121" s="12" t="str">
        <f>HYPERLINK("https://twitter.com/CoachBrianCan","@CoachBrianCan")</f>
        <v>@CoachBrianCan</v>
      </c>
      <c r="C2121" s="1" t="s">
        <v>9754</v>
      </c>
      <c r="D2121" s="1" t="s">
        <v>9755</v>
      </c>
      <c r="E2121" s="12" t="str">
        <f>HYPERLINK("https://twitter.com/CoachBrianCan/status/1217030351236845568","1217030351236845568")</f>
        <v>1217030351236845568</v>
      </c>
      <c r="F2121" s="13" t="s">
        <v>9756</v>
      </c>
      <c r="G2121" s="13" t="s">
        <v>9757</v>
      </c>
      <c r="H2121" s="14"/>
      <c r="I2121" s="15">
        <v>0.0</v>
      </c>
      <c r="J2121" s="15">
        <v>1.0</v>
      </c>
      <c r="K2121" s="12" t="str">
        <f>HYPERLINK("https://buffer.com","Buffer")</f>
        <v>Buffer</v>
      </c>
      <c r="L2121" s="16">
        <v>1854.0</v>
      </c>
      <c r="M2121" s="16">
        <v>2260.0</v>
      </c>
      <c r="N2121" s="16">
        <v>85.0</v>
      </c>
      <c r="O2121" s="17"/>
      <c r="P2121" s="18">
        <v>41422.32916666666</v>
      </c>
      <c r="Q2121" s="1" t="s">
        <v>9758</v>
      </c>
      <c r="R2121" s="1" t="s">
        <v>9759</v>
      </c>
      <c r="S2121" s="13" t="s">
        <v>9760</v>
      </c>
      <c r="T2121" s="14"/>
      <c r="U2121" s="19" t="str">
        <f>HYPERLINK("https://pbs.twimg.com/profile_images/1146717746262097923/sHSBoEe2.png","View")</f>
        <v>View</v>
      </c>
      <c r="V2121" s="14"/>
      <c r="W2121" s="14"/>
      <c r="X2121" s="14"/>
      <c r="Y2121" s="14"/>
      <c r="Z2121" s="14"/>
    </row>
    <row r="2122">
      <c r="A2122" s="11">
        <v>43844.223020833335</v>
      </c>
      <c r="B2122" s="12" t="str">
        <f>HYPERLINK("https://twitter.com/gamza168","@gamza168")</f>
        <v>@gamza168</v>
      </c>
      <c r="C2122" s="1" t="s">
        <v>9761</v>
      </c>
      <c r="D2122" s="1" t="s">
        <v>9762</v>
      </c>
      <c r="E2122" s="12" t="str">
        <f>HYPERLINK("https://twitter.com/gamza168/status/1217028872606224384","1217028872606224384")</f>
        <v>1217028872606224384</v>
      </c>
      <c r="F2122" s="13" t="s">
        <v>9763</v>
      </c>
      <c r="G2122" s="14"/>
      <c r="H2122" s="14"/>
      <c r="I2122" s="15">
        <v>0.0</v>
      </c>
      <c r="J2122" s="15">
        <v>0.0</v>
      </c>
      <c r="K2122" s="12" t="str">
        <f>HYPERLINK("http://www.tweetcaster.com","TweetCaster for Android")</f>
        <v>TweetCaster for Android</v>
      </c>
      <c r="L2122" s="16">
        <v>131.0</v>
      </c>
      <c r="M2122" s="16">
        <v>86.0</v>
      </c>
      <c r="N2122" s="16">
        <v>26.0</v>
      </c>
      <c r="O2122" s="17"/>
      <c r="P2122" s="18">
        <v>40508.57054398148</v>
      </c>
      <c r="Q2122" s="14"/>
      <c r="R2122" s="1" t="s">
        <v>9764</v>
      </c>
      <c r="S2122" s="13" t="s">
        <v>9765</v>
      </c>
      <c r="T2122" s="14"/>
      <c r="U2122" s="19" t="str">
        <f>HYPERLINK("https://pbs.twimg.com/profile_images/1169348688617115648/TgolaJRo.jpg","View")</f>
        <v>View</v>
      </c>
      <c r="V2122" s="14"/>
      <c r="W2122" s="14"/>
      <c r="X2122" s="14"/>
      <c r="Y2122" s="14"/>
      <c r="Z2122" s="14"/>
    </row>
    <row r="2123">
      <c r="A2123" s="11">
        <v>43844.21763888889</v>
      </c>
      <c r="B2123" s="12" t="str">
        <f>HYPERLINK("https://twitter.com/Charis_health","@Charis_health")</f>
        <v>@Charis_health</v>
      </c>
      <c r="C2123" s="1" t="s">
        <v>7688</v>
      </c>
      <c r="D2123" s="1" t="s">
        <v>9766</v>
      </c>
      <c r="E2123" s="12" t="str">
        <f>HYPERLINK("https://twitter.com/Charis_health/status/1217026922644942849","1217026922644942849")</f>
        <v>1217026922644942849</v>
      </c>
      <c r="F2123" s="14"/>
      <c r="G2123" s="13" t="s">
        <v>9767</v>
      </c>
      <c r="H2123" s="14"/>
      <c r="I2123" s="15">
        <v>2.0</v>
      </c>
      <c r="J2123" s="15">
        <v>2.0</v>
      </c>
      <c r="K2123" s="12" t="str">
        <f>HYPERLINK("http://twitter.com/download/android","Twitter for Android")</f>
        <v>Twitter for Android</v>
      </c>
      <c r="L2123" s="16">
        <v>22.0</v>
      </c>
      <c r="M2123" s="16">
        <v>63.0</v>
      </c>
      <c r="N2123" s="16">
        <v>0.0</v>
      </c>
      <c r="O2123" s="17"/>
      <c r="P2123" s="18">
        <v>43556.35070601852</v>
      </c>
      <c r="Q2123" s="1" t="s">
        <v>7691</v>
      </c>
      <c r="R2123" s="14"/>
      <c r="S2123" s="13" t="s">
        <v>7692</v>
      </c>
      <c r="T2123" s="14"/>
      <c r="U2123" s="19" t="str">
        <f>HYPERLINK("https://pbs.twimg.com/profile_images/1112700445426880513/1Dlz7915.jpg","View")</f>
        <v>View</v>
      </c>
      <c r="V2123" s="14"/>
      <c r="W2123" s="14"/>
      <c r="X2123" s="14"/>
      <c r="Y2123" s="14"/>
      <c r="Z2123" s="14"/>
    </row>
    <row r="2124">
      <c r="A2124" s="11">
        <v>43844.21490740741</v>
      </c>
      <c r="B2124" s="12" t="str">
        <f>HYPERLINK("https://twitter.com/annetteyoung","@annetteyoung")</f>
        <v>@annetteyoung</v>
      </c>
      <c r="C2124" s="1" t="s">
        <v>7755</v>
      </c>
      <c r="D2124" s="1" t="s">
        <v>9768</v>
      </c>
      <c r="E2124" s="12" t="str">
        <f>HYPERLINK("https://twitter.com/annetteyoung/status/1217025932982214657","1217025932982214657")</f>
        <v>1217025932982214657</v>
      </c>
      <c r="F2124" s="13" t="s">
        <v>7757</v>
      </c>
      <c r="G2124" s="14"/>
      <c r="H2124" s="14"/>
      <c r="I2124" s="15">
        <v>1.0</v>
      </c>
      <c r="J2124" s="15">
        <v>0.0</v>
      </c>
      <c r="K2124" s="12" t="str">
        <f>HYPERLINK("https://bitly.com/","Bitly")</f>
        <v>Bitly</v>
      </c>
      <c r="L2124" s="16">
        <v>19383.0</v>
      </c>
      <c r="M2124" s="16">
        <v>19154.0</v>
      </c>
      <c r="N2124" s="16">
        <v>618.0</v>
      </c>
      <c r="O2124" s="17"/>
      <c r="P2124" s="18">
        <v>39797.20513888889</v>
      </c>
      <c r="Q2124" s="1" t="s">
        <v>2331</v>
      </c>
      <c r="R2124" s="1" t="s">
        <v>7758</v>
      </c>
      <c r="S2124" s="13" t="s">
        <v>7759</v>
      </c>
      <c r="T2124" s="14"/>
      <c r="U2124" s="19" t="str">
        <f>HYPERLINK("https://pbs.twimg.com/profile_images/1210950361097396230/sUiQvCIa.jpg","View")</f>
        <v>View</v>
      </c>
      <c r="V2124" s="14"/>
      <c r="W2124" s="14"/>
      <c r="X2124" s="14"/>
      <c r="Y2124" s="14"/>
      <c r="Z2124" s="14"/>
    </row>
    <row r="2125">
      <c r="A2125" s="11">
        <v>43844.21172453703</v>
      </c>
      <c r="B2125" s="12" t="str">
        <f>HYPERLINK("https://twitter.com/SCIE_sco","@SCIE_sco")</f>
        <v>@SCIE_sco</v>
      </c>
      <c r="C2125" s="1" t="s">
        <v>9769</v>
      </c>
      <c r="D2125" s="1" t="s">
        <v>9770</v>
      </c>
      <c r="E2125" s="12" t="str">
        <f>HYPERLINK("https://twitter.com/SCIE_sco/status/1217024781897359361","1217024781897359361")</f>
        <v>1217024781897359361</v>
      </c>
      <c r="F2125" s="13" t="s">
        <v>9771</v>
      </c>
      <c r="G2125" s="14"/>
      <c r="H2125" s="14"/>
      <c r="I2125" s="15">
        <v>0.0</v>
      </c>
      <c r="J2125" s="15">
        <v>0.0</v>
      </c>
      <c r="K2125" s="12" t="str">
        <f>HYPERLINK("http://twitter.com","Twitter Web Client")</f>
        <v>Twitter Web Client</v>
      </c>
      <c r="L2125" s="16">
        <v>2127.0</v>
      </c>
      <c r="M2125" s="16">
        <v>875.0</v>
      </c>
      <c r="N2125" s="16">
        <v>78.0</v>
      </c>
      <c r="O2125" s="17"/>
      <c r="P2125" s="18">
        <v>41781.42016203704</v>
      </c>
      <c r="Q2125" s="1" t="s">
        <v>342</v>
      </c>
      <c r="R2125" s="1" t="s">
        <v>9772</v>
      </c>
      <c r="S2125" s="13" t="s">
        <v>9773</v>
      </c>
      <c r="T2125" s="14"/>
      <c r="U2125" s="19" t="str">
        <f>HYPERLINK("https://pbs.twimg.com/profile_images/471607826553393152/ioeGs_2W.jpeg","View")</f>
        <v>View</v>
      </c>
      <c r="V2125" s="14"/>
      <c r="W2125" s="14"/>
      <c r="X2125" s="14"/>
      <c r="Y2125" s="14"/>
      <c r="Z2125" s="14"/>
    </row>
    <row r="2126">
      <c r="A2126" s="11">
        <v>43844.209074074075</v>
      </c>
      <c r="B2126" s="12" t="str">
        <f>HYPERLINK("https://twitter.com/COME_outreach","@COME_outreach")</f>
        <v>@COME_outreach</v>
      </c>
      <c r="C2126" s="1" t="s">
        <v>3408</v>
      </c>
      <c r="D2126" s="1" t="s">
        <v>9774</v>
      </c>
      <c r="E2126" s="12" t="str">
        <f>HYPERLINK("https://twitter.com/COME_outreach/status/1217023819799572480","1217023819799572480")</f>
        <v>1217023819799572480</v>
      </c>
      <c r="F2126" s="14"/>
      <c r="G2126" s="13" t="s">
        <v>9775</v>
      </c>
      <c r="H2126" s="14"/>
      <c r="I2126" s="15">
        <v>0.0</v>
      </c>
      <c r="J2126" s="15">
        <v>1.0</v>
      </c>
      <c r="K2126" s="12" t="str">
        <f>HYPERLINK("https://www.later.com","LaterMedia")</f>
        <v>LaterMedia</v>
      </c>
      <c r="L2126" s="16">
        <v>122.0</v>
      </c>
      <c r="M2126" s="16">
        <v>285.0</v>
      </c>
      <c r="N2126" s="16">
        <v>23.0</v>
      </c>
      <c r="O2126" s="17"/>
      <c r="P2126" s="18">
        <v>42603.736608796295</v>
      </c>
      <c r="Q2126" s="1" t="s">
        <v>3411</v>
      </c>
      <c r="R2126" s="1" t="s">
        <v>3412</v>
      </c>
      <c r="S2126" s="13" t="s">
        <v>3413</v>
      </c>
      <c r="T2126" s="14"/>
      <c r="U2126" s="19" t="str">
        <f>HYPERLINK("https://pbs.twimg.com/profile_images/1168633618807345152/1n9w7b3P.jpg","View")</f>
        <v>View</v>
      </c>
      <c r="V2126" s="14"/>
      <c r="W2126" s="14"/>
      <c r="X2126" s="14"/>
      <c r="Y2126" s="14"/>
      <c r="Z2126" s="14"/>
    </row>
    <row r="2127">
      <c r="A2127" s="11">
        <v>43844.20833333333</v>
      </c>
      <c r="B2127" s="12" t="str">
        <f>HYPERLINK("https://twitter.com/WeHearYouZA","@WeHearYouZA")</f>
        <v>@WeHearYouZA</v>
      </c>
      <c r="C2127" s="1" t="s">
        <v>2299</v>
      </c>
      <c r="D2127" s="1" t="s">
        <v>9776</v>
      </c>
      <c r="E2127" s="12" t="str">
        <f>HYPERLINK("https://twitter.com/WeHearYouZA/status/1217023550621732864","1217023550621732864")</f>
        <v>1217023550621732864</v>
      </c>
      <c r="F2127" s="14"/>
      <c r="G2127" s="13" t="s">
        <v>9777</v>
      </c>
      <c r="H2127" s="14"/>
      <c r="I2127" s="15">
        <v>0.0</v>
      </c>
      <c r="J2127" s="15">
        <v>0.0</v>
      </c>
      <c r="K2127" s="12" t="str">
        <f>HYPERLINK("https://about.twitter.com/products/tweetdeck","TweetDeck")</f>
        <v>TweetDeck</v>
      </c>
      <c r="L2127" s="16">
        <v>26.0</v>
      </c>
      <c r="M2127" s="16">
        <v>43.0</v>
      </c>
      <c r="N2127" s="16">
        <v>4.0</v>
      </c>
      <c r="O2127" s="17"/>
      <c r="P2127" s="18">
        <v>43661.22396990741</v>
      </c>
      <c r="Q2127" s="1" t="s">
        <v>2302</v>
      </c>
      <c r="R2127" s="1" t="s">
        <v>2303</v>
      </c>
      <c r="S2127" s="13" t="s">
        <v>2304</v>
      </c>
      <c r="T2127" s="14"/>
      <c r="U2127" s="19" t="str">
        <f>HYPERLINK("https://pbs.twimg.com/profile_images/1153562188415737856/1QVWKhWI.jpg","View")</f>
        <v>View</v>
      </c>
      <c r="V2127" s="14"/>
      <c r="W2127" s="14"/>
      <c r="X2127" s="14"/>
      <c r="Y2127" s="14"/>
      <c r="Z2127" s="14"/>
    </row>
    <row r="2128">
      <c r="A2128" s="11">
        <v>43844.20361111111</v>
      </c>
      <c r="B2128" s="12" t="str">
        <f>HYPERLINK("https://twitter.com/AcademyHum","@AcademyHum")</f>
        <v>@AcademyHum</v>
      </c>
      <c r="C2128" s="1" t="s">
        <v>9778</v>
      </c>
      <c r="D2128" s="1" t="s">
        <v>9779</v>
      </c>
      <c r="E2128" s="12" t="str">
        <f>HYPERLINK("https://twitter.com/AcademyHum/status/1217021838628466688","1217021838628466688")</f>
        <v>1217021838628466688</v>
      </c>
      <c r="F2128" s="13" t="s">
        <v>9780</v>
      </c>
      <c r="G2128" s="13" t="s">
        <v>9781</v>
      </c>
      <c r="H2128" s="14"/>
      <c r="I2128" s="15">
        <v>3.0</v>
      </c>
      <c r="J2128" s="15">
        <v>4.0</v>
      </c>
      <c r="K2128" s="12" t="str">
        <f>HYPERLINK("https://mobile.twitter.com","Twitter Web App")</f>
        <v>Twitter Web App</v>
      </c>
      <c r="L2128" s="16">
        <v>54219.0</v>
      </c>
      <c r="M2128" s="16">
        <v>2644.0</v>
      </c>
      <c r="N2128" s="16">
        <v>129.0</v>
      </c>
      <c r="O2128" s="20" t="s">
        <v>38</v>
      </c>
      <c r="P2128" s="18">
        <v>42079.89640046297</v>
      </c>
      <c r="Q2128" s="1" t="s">
        <v>691</v>
      </c>
      <c r="R2128" s="1" t="s">
        <v>9782</v>
      </c>
      <c r="S2128" s="13" t="s">
        <v>9783</v>
      </c>
      <c r="T2128" s="14"/>
      <c r="U2128" s="19" t="str">
        <f>HYPERLINK("https://pbs.twimg.com/profile_images/699514805548265472/vRrVw5kC.png","View")</f>
        <v>View</v>
      </c>
      <c r="V2128" s="14"/>
      <c r="W2128" s="14"/>
      <c r="X2128" s="14"/>
      <c r="Y2128" s="14"/>
      <c r="Z2128" s="14"/>
    </row>
    <row r="2129">
      <c r="A2129" s="11">
        <v>43844.20142361111</v>
      </c>
      <c r="B2129" s="12" t="str">
        <f>HYPERLINK("https://twitter.com/Rangewell_UK","@Rangewell_UK")</f>
        <v>@Rangewell_UK</v>
      </c>
      <c r="C2129" s="1" t="s">
        <v>9784</v>
      </c>
      <c r="D2129" s="1" t="s">
        <v>9785</v>
      </c>
      <c r="E2129" s="12" t="str">
        <f>HYPERLINK("https://twitter.com/Rangewell_UK/status/1217021049344348161","1217021049344348161")</f>
        <v>1217021049344348161</v>
      </c>
      <c r="F2129" s="13" t="s">
        <v>9786</v>
      </c>
      <c r="G2129" s="13" t="s">
        <v>9787</v>
      </c>
      <c r="H2129" s="14"/>
      <c r="I2129" s="15">
        <v>1.0</v>
      </c>
      <c r="J2129" s="15">
        <v>0.0</v>
      </c>
      <c r="K2129" s="12" t="str">
        <f>HYPERLINK("https://www.hootsuite.com","Hootsuite Inc.")</f>
        <v>Hootsuite Inc.</v>
      </c>
      <c r="L2129" s="16">
        <v>3226.0</v>
      </c>
      <c r="M2129" s="16">
        <v>3043.0</v>
      </c>
      <c r="N2129" s="16">
        <v>387.0</v>
      </c>
      <c r="O2129" s="17"/>
      <c r="P2129" s="18">
        <v>42008.679618055554</v>
      </c>
      <c r="Q2129" s="1" t="s">
        <v>263</v>
      </c>
      <c r="R2129" s="1" t="s">
        <v>9788</v>
      </c>
      <c r="S2129" s="13" t="s">
        <v>9789</v>
      </c>
      <c r="T2129" s="14"/>
      <c r="U2129" s="19" t="str">
        <f>HYPERLINK("https://pbs.twimg.com/profile_images/654282486311161856/FiDDRhgP.png","View")</f>
        <v>View</v>
      </c>
      <c r="V2129" s="14"/>
      <c r="W2129" s="14"/>
      <c r="X2129" s="14"/>
      <c r="Y2129" s="14"/>
      <c r="Z2129" s="14"/>
    </row>
    <row r="2130">
      <c r="A2130" s="11">
        <v>43844.20002314815</v>
      </c>
      <c r="B2130" s="12" t="str">
        <f>HYPERLINK("https://twitter.com/yreintegration","@yreintegration")</f>
        <v>@yreintegration</v>
      </c>
      <c r="C2130" s="1" t="s">
        <v>9790</v>
      </c>
      <c r="D2130" s="1" t="s">
        <v>9791</v>
      </c>
      <c r="E2130" s="12" t="str">
        <f>HYPERLINK("https://twitter.com/yreintegration/status/1217020540990509057","1217020540990509057")</f>
        <v>1217020540990509057</v>
      </c>
      <c r="F2130" s="13" t="s">
        <v>9792</v>
      </c>
      <c r="G2130" s="13" t="s">
        <v>9793</v>
      </c>
      <c r="H2130" s="14"/>
      <c r="I2130" s="15">
        <v>0.0</v>
      </c>
      <c r="J2130" s="15">
        <v>0.0</v>
      </c>
      <c r="K2130" s="12" t="str">
        <f>HYPERLINK("https://buffer.com","Buffer")</f>
        <v>Buffer</v>
      </c>
      <c r="L2130" s="16">
        <v>11231.0</v>
      </c>
      <c r="M2130" s="16">
        <v>11179.0</v>
      </c>
      <c r="N2130" s="16">
        <v>115.0</v>
      </c>
      <c r="O2130" s="17"/>
      <c r="P2130" s="18">
        <v>42610.27556712963</v>
      </c>
      <c r="Q2130" s="1" t="s">
        <v>3406</v>
      </c>
      <c r="R2130" s="1" t="s">
        <v>9794</v>
      </c>
      <c r="S2130" s="13" t="s">
        <v>9795</v>
      </c>
      <c r="T2130" s="14"/>
      <c r="U2130" s="19" t="str">
        <f>HYPERLINK("https://pbs.twimg.com/profile_images/931848710543298561/FTZGRWJz.jpg","View")</f>
        <v>View</v>
      </c>
      <c r="V2130" s="14"/>
      <c r="W2130" s="14"/>
      <c r="X2130" s="14"/>
      <c r="Y2130" s="14"/>
      <c r="Z2130" s="14"/>
    </row>
    <row r="2131">
      <c r="A2131" s="11">
        <v>43844.19474537037</v>
      </c>
      <c r="B2131" s="12" t="str">
        <f>HYPERLINK("https://twitter.com/karynpalminteri","@karynpalminteri")</f>
        <v>@karynpalminteri</v>
      </c>
      <c r="C2131" s="1" t="s">
        <v>9796</v>
      </c>
      <c r="D2131" s="1" t="s">
        <v>9797</v>
      </c>
      <c r="E2131" s="12" t="str">
        <f>HYPERLINK("https://twitter.com/karynpalminteri/status/1217018626500374528","1217018626500374528")</f>
        <v>1217018626500374528</v>
      </c>
      <c r="F2131" s="1" t="s">
        <v>9798</v>
      </c>
      <c r="G2131" s="14"/>
      <c r="H2131" s="14"/>
      <c r="I2131" s="15">
        <v>5.0</v>
      </c>
      <c r="J2131" s="15">
        <v>13.0</v>
      </c>
      <c r="K2131" s="12" t="str">
        <f t="shared" ref="K2131:K2132" si="216">HYPERLINK("https://mobile.twitter.com","Twitter Web App")</f>
        <v>Twitter Web App</v>
      </c>
      <c r="L2131" s="16">
        <v>1785.0</v>
      </c>
      <c r="M2131" s="16">
        <v>1183.0</v>
      </c>
      <c r="N2131" s="16">
        <v>237.0</v>
      </c>
      <c r="O2131" s="17"/>
      <c r="P2131" s="18">
        <v>40833.46119212963</v>
      </c>
      <c r="Q2131" s="1" t="s">
        <v>1214</v>
      </c>
      <c r="R2131" s="1" t="s">
        <v>9799</v>
      </c>
      <c r="S2131" s="14"/>
      <c r="T2131" s="14"/>
      <c r="U2131" s="19" t="str">
        <f>HYPERLINK("https://pbs.twimg.com/profile_images/575849792363851777/RyJt3AV4.jpeg","View")</f>
        <v>View</v>
      </c>
      <c r="V2131" s="14"/>
      <c r="W2131" s="14"/>
      <c r="X2131" s="14"/>
      <c r="Y2131" s="14"/>
      <c r="Z2131" s="14"/>
    </row>
    <row r="2132">
      <c r="A2132" s="11">
        <v>43844.191979166666</v>
      </c>
      <c r="B2132" s="12" t="str">
        <f>HYPERLINK("https://twitter.com/Frugaldom","@Frugaldom")</f>
        <v>@Frugaldom</v>
      </c>
      <c r="C2132" s="1" t="s">
        <v>9800</v>
      </c>
      <c r="D2132" s="1" t="s">
        <v>9801</v>
      </c>
      <c r="E2132" s="12" t="str">
        <f>HYPERLINK("https://twitter.com/Frugaldom/status/1217017622824394752","1217017622824394752")</f>
        <v>1217017622824394752</v>
      </c>
      <c r="F2132" s="1" t="s">
        <v>9802</v>
      </c>
      <c r="G2132" s="14"/>
      <c r="H2132" s="14"/>
      <c r="I2132" s="15">
        <v>0.0</v>
      </c>
      <c r="J2132" s="15">
        <v>0.0</v>
      </c>
      <c r="K2132" s="12" t="str">
        <f t="shared" si="216"/>
        <v>Twitter Web App</v>
      </c>
      <c r="L2132" s="16">
        <v>1938.0</v>
      </c>
      <c r="M2132" s="16">
        <v>394.0</v>
      </c>
      <c r="N2132" s="16">
        <v>163.0</v>
      </c>
      <c r="O2132" s="17"/>
      <c r="P2132" s="18">
        <v>40154.43107638889</v>
      </c>
      <c r="Q2132" s="1" t="s">
        <v>9803</v>
      </c>
      <c r="R2132" s="1" t="s">
        <v>9804</v>
      </c>
      <c r="S2132" s="13" t="s">
        <v>9805</v>
      </c>
      <c r="T2132" s="14"/>
      <c r="U2132" s="19" t="str">
        <f>HYPERLINK("https://pbs.twimg.com/profile_images/1117549365537718272/nx6siHMA.png","View")</f>
        <v>View</v>
      </c>
      <c r="V2132" s="14"/>
      <c r="W2132" s="14"/>
      <c r="X2132" s="14"/>
      <c r="Y2132" s="14"/>
      <c r="Z2132" s="14"/>
    </row>
    <row r="2133">
      <c r="A2133" s="11">
        <v>43844.19043981482</v>
      </c>
      <c r="B2133" s="12" t="str">
        <f>HYPERLINK("https://twitter.com/imsuc_campus","@imsuc_campus")</f>
        <v>@imsuc_campus</v>
      </c>
      <c r="C2133" s="1" t="s">
        <v>9806</v>
      </c>
      <c r="D2133" s="1" t="s">
        <v>9807</v>
      </c>
      <c r="E2133" s="12" t="str">
        <f>HYPERLINK("https://twitter.com/imsuc_campus/status/1217017068450529280","1217017068450529280")</f>
        <v>1217017068450529280</v>
      </c>
      <c r="F2133" s="14"/>
      <c r="G2133" s="13" t="s">
        <v>9808</v>
      </c>
      <c r="H2133" s="14"/>
      <c r="I2133" s="15">
        <v>13.0</v>
      </c>
      <c r="J2133" s="15">
        <v>22.0</v>
      </c>
      <c r="K2133" s="12" t="str">
        <f>HYPERLINK("http://twitter.com/download/android","Twitter for Android")</f>
        <v>Twitter for Android</v>
      </c>
      <c r="L2133" s="16">
        <v>510.0</v>
      </c>
      <c r="M2133" s="16">
        <v>9.0</v>
      </c>
      <c r="N2133" s="16">
        <v>1.0</v>
      </c>
      <c r="O2133" s="17"/>
      <c r="P2133" s="18">
        <v>41839.04076388889</v>
      </c>
      <c r="Q2133" s="1" t="s">
        <v>9809</v>
      </c>
      <c r="R2133" s="1" t="s">
        <v>9810</v>
      </c>
      <c r="S2133" s="13" t="s">
        <v>9811</v>
      </c>
      <c r="T2133" s="14"/>
      <c r="U2133" s="19" t="str">
        <f>HYPERLINK("https://pbs.twimg.com/profile_images/809307901550411776/YJNO6hQe.jpg","View")</f>
        <v>View</v>
      </c>
      <c r="V2133" s="14"/>
      <c r="W2133" s="14"/>
      <c r="X2133" s="14"/>
      <c r="Y2133" s="14"/>
      <c r="Z2133" s="14"/>
    </row>
    <row r="2134">
      <c r="A2134" s="11">
        <v>43844.18902777778</v>
      </c>
      <c r="B2134" s="12" t="str">
        <f>HYPERLINK("https://twitter.com/jumanaaltamimi","@jumanaaltamimi")</f>
        <v>@jumanaaltamimi</v>
      </c>
      <c r="C2134" s="1" t="s">
        <v>9812</v>
      </c>
      <c r="D2134" s="1" t="s">
        <v>9813</v>
      </c>
      <c r="E2134" s="12" t="str">
        <f>HYPERLINK("https://twitter.com/jumanaaltamimi/status/1217016557215395840","1217016557215395840")</f>
        <v>1217016557215395840</v>
      </c>
      <c r="F2134" s="13" t="s">
        <v>9814</v>
      </c>
      <c r="G2134" s="14"/>
      <c r="H2134" s="14"/>
      <c r="I2134" s="15">
        <v>0.0</v>
      </c>
      <c r="J2134" s="15">
        <v>0.0</v>
      </c>
      <c r="K2134" s="12" t="str">
        <f t="shared" ref="K2134:K2135" si="217">HYPERLINK("https://mobile.twitter.com","Twitter Web App")</f>
        <v>Twitter Web App</v>
      </c>
      <c r="L2134" s="16">
        <v>127.0</v>
      </c>
      <c r="M2134" s="16">
        <v>259.0</v>
      </c>
      <c r="N2134" s="16">
        <v>1.0</v>
      </c>
      <c r="O2134" s="17"/>
      <c r="P2134" s="18">
        <v>41529.280335648145</v>
      </c>
      <c r="Q2134" s="1" t="s">
        <v>8124</v>
      </c>
      <c r="R2134" s="1" t="s">
        <v>9815</v>
      </c>
      <c r="S2134" s="14"/>
      <c r="T2134" s="14"/>
      <c r="U2134" s="19" t="str">
        <f>HYPERLINK("https://pbs.twimg.com/profile_images/864518169364267008/uyA9i6th.jpg","View")</f>
        <v>View</v>
      </c>
      <c r="V2134" s="14"/>
      <c r="W2134" s="14"/>
      <c r="X2134" s="14"/>
      <c r="Y2134" s="14"/>
      <c r="Z2134" s="14"/>
    </row>
    <row r="2135">
      <c r="A2135" s="11">
        <v>43844.18902777778</v>
      </c>
      <c r="B2135" s="12" t="str">
        <f>HYPERLINK("https://twitter.com/Newcastlehypno","@Newcastlehypno")</f>
        <v>@Newcastlehypno</v>
      </c>
      <c r="C2135" s="1" t="s">
        <v>6712</v>
      </c>
      <c r="D2135" s="1" t="s">
        <v>9816</v>
      </c>
      <c r="E2135" s="12" t="str">
        <f>HYPERLINK("https://twitter.com/Newcastlehypno/status/1217016556691107843","1217016556691107843")</f>
        <v>1217016556691107843</v>
      </c>
      <c r="F2135" s="13" t="s">
        <v>9817</v>
      </c>
      <c r="G2135" s="14"/>
      <c r="H2135" s="14"/>
      <c r="I2135" s="15">
        <v>0.0</v>
      </c>
      <c r="J2135" s="15">
        <v>0.0</v>
      </c>
      <c r="K2135" s="12" t="str">
        <f t="shared" si="217"/>
        <v>Twitter Web App</v>
      </c>
      <c r="L2135" s="16">
        <v>25.0</v>
      </c>
      <c r="M2135" s="16">
        <v>130.0</v>
      </c>
      <c r="N2135" s="16">
        <v>0.0</v>
      </c>
      <c r="O2135" s="17"/>
      <c r="P2135" s="18">
        <v>43163.324849537035</v>
      </c>
      <c r="Q2135" s="1" t="s">
        <v>882</v>
      </c>
      <c r="R2135" s="14"/>
      <c r="S2135" s="13" t="s">
        <v>6716</v>
      </c>
      <c r="T2135" s="14"/>
      <c r="U2135" s="19" t="str">
        <f>HYPERLINK("https://pbs.twimg.com/profile_images/1059154711008501760/iHBeUJyw.jpg","View")</f>
        <v>View</v>
      </c>
      <c r="V2135" s="14"/>
      <c r="W2135" s="14"/>
      <c r="X2135" s="14"/>
      <c r="Y2135" s="14"/>
      <c r="Z2135" s="14"/>
    </row>
    <row r="2136">
      <c r="A2136" s="11">
        <v>43844.18744212963</v>
      </c>
      <c r="B2136" s="12" t="str">
        <f>HYPERLINK("https://twitter.com/isrgrajan","@isrgrajan")</f>
        <v>@isrgrajan</v>
      </c>
      <c r="C2136" s="1" t="s">
        <v>146</v>
      </c>
      <c r="D2136" s="1" t="s">
        <v>9818</v>
      </c>
      <c r="E2136" s="12" t="str">
        <f>HYPERLINK("https://twitter.com/isrgrajan/status/1217015982390071296","1217015982390071296")</f>
        <v>1217015982390071296</v>
      </c>
      <c r="F2136" s="13" t="s">
        <v>3786</v>
      </c>
      <c r="G2136" s="13" t="s">
        <v>9819</v>
      </c>
      <c r="H2136" s="14"/>
      <c r="I2136" s="15">
        <v>0.0</v>
      </c>
      <c r="J2136" s="15">
        <v>0.0</v>
      </c>
      <c r="K2136" s="12" t="str">
        <f>HYPERLINK("http://www.isrg.in/","Isrg")</f>
        <v>Isrg</v>
      </c>
      <c r="L2136" s="16">
        <v>3300.0</v>
      </c>
      <c r="M2136" s="16">
        <v>80.0</v>
      </c>
      <c r="N2136" s="16">
        <v>45.0</v>
      </c>
      <c r="O2136" s="17"/>
      <c r="P2136" s="18">
        <v>40108.413819444446</v>
      </c>
      <c r="Q2136" s="1" t="s">
        <v>150</v>
      </c>
      <c r="R2136" s="1" t="s">
        <v>151</v>
      </c>
      <c r="S2136" s="13" t="s">
        <v>152</v>
      </c>
      <c r="T2136" s="14"/>
      <c r="U2136" s="19" t="str">
        <f>HYPERLINK("https://pbs.twimg.com/profile_images/1190988064765743106/FJrzpCN1.jpg","View")</f>
        <v>View</v>
      </c>
      <c r="V2136" s="14"/>
      <c r="W2136" s="14"/>
      <c r="X2136" s="14"/>
      <c r="Y2136" s="14"/>
      <c r="Z2136" s="14"/>
    </row>
    <row r="2137">
      <c r="A2137" s="11">
        <v>43844.18597222222</v>
      </c>
      <c r="B2137" s="12" t="str">
        <f>HYPERLINK("https://twitter.com/MenteWellbeing","@MenteWellbeing")</f>
        <v>@MenteWellbeing</v>
      </c>
      <c r="C2137" s="1" t="s">
        <v>9820</v>
      </c>
      <c r="D2137" s="1" t="s">
        <v>9821</v>
      </c>
      <c r="E2137" s="12" t="str">
        <f>HYPERLINK("https://twitter.com/MenteWellbeing/status/1217015449298329600","1217015449298329600")</f>
        <v>1217015449298329600</v>
      </c>
      <c r="F2137" s="13" t="s">
        <v>9822</v>
      </c>
      <c r="G2137" s="14"/>
      <c r="H2137" s="14"/>
      <c r="I2137" s="15">
        <v>2.0</v>
      </c>
      <c r="J2137" s="15">
        <v>1.0</v>
      </c>
      <c r="K2137" s="12" t="str">
        <f>HYPERLINK("http://twitter.com/download/iphone","Twitter for iPhone")</f>
        <v>Twitter for iPhone</v>
      </c>
      <c r="L2137" s="16">
        <v>868.0</v>
      </c>
      <c r="M2137" s="16">
        <v>66.0</v>
      </c>
      <c r="N2137" s="16">
        <v>36.0</v>
      </c>
      <c r="O2137" s="17"/>
      <c r="P2137" s="18">
        <v>41968.44278935185</v>
      </c>
      <c r="Q2137" s="1" t="s">
        <v>263</v>
      </c>
      <c r="R2137" s="1" t="s">
        <v>9823</v>
      </c>
      <c r="S2137" s="13" t="s">
        <v>9824</v>
      </c>
      <c r="T2137" s="14"/>
      <c r="U2137" s="19" t="str">
        <f>HYPERLINK("https://pbs.twimg.com/profile_images/1103629619008335873/0IHu1a72.jpg","View")</f>
        <v>View</v>
      </c>
      <c r="V2137" s="14"/>
      <c r="W2137" s="14"/>
      <c r="X2137" s="14"/>
      <c r="Y2137" s="14"/>
      <c r="Z2137" s="14"/>
    </row>
    <row r="2138">
      <c r="A2138" s="11">
        <v>43844.17915509259</v>
      </c>
      <c r="B2138" s="12" t="str">
        <f>HYPERLINK("https://twitter.com/RecruitmentShp","@RecruitmentShp")</f>
        <v>@RecruitmentShp</v>
      </c>
      <c r="C2138" s="1" t="s">
        <v>9825</v>
      </c>
      <c r="D2138" s="1" t="s">
        <v>9826</v>
      </c>
      <c r="E2138" s="12" t="str">
        <f>HYPERLINK("https://twitter.com/RecruitmentShp/status/1217012977322397696","1217012977322397696")</f>
        <v>1217012977322397696</v>
      </c>
      <c r="F2138" s="13" t="s">
        <v>9827</v>
      </c>
      <c r="G2138" s="14"/>
      <c r="H2138" s="14"/>
      <c r="I2138" s="15">
        <v>0.0</v>
      </c>
      <c r="J2138" s="15">
        <v>0.0</v>
      </c>
      <c r="K2138" s="12" t="str">
        <f>HYPERLINK("https://mobile.twitter.com","Twitter Web App")</f>
        <v>Twitter Web App</v>
      </c>
      <c r="L2138" s="16">
        <v>180.0</v>
      </c>
      <c r="M2138" s="16">
        <v>129.0</v>
      </c>
      <c r="N2138" s="16">
        <v>14.0</v>
      </c>
      <c r="O2138" s="17"/>
      <c r="P2138" s="18">
        <v>40560.65692129629</v>
      </c>
      <c r="Q2138" s="1" t="s">
        <v>9828</v>
      </c>
      <c r="R2138" s="1" t="s">
        <v>9829</v>
      </c>
      <c r="S2138" s="13" t="s">
        <v>9830</v>
      </c>
      <c r="T2138" s="14"/>
      <c r="U2138" s="19" t="str">
        <f>HYPERLINK("https://pbs.twimg.com/profile_images/870607508980813825/vvE7DpR2.jpg","View")</f>
        <v>View</v>
      </c>
      <c r="V2138" s="14"/>
      <c r="W2138" s="14"/>
      <c r="X2138" s="14"/>
      <c r="Y2138" s="14"/>
      <c r="Z2138" s="14"/>
    </row>
    <row r="2139">
      <c r="A2139" s="11">
        <v>43844.17854166667</v>
      </c>
      <c r="B2139" s="12" t="str">
        <f>HYPERLINK("https://twitter.com/BrodiesLLP","@BrodiesLLP")</f>
        <v>@BrodiesLLP</v>
      </c>
      <c r="C2139" s="1" t="s">
        <v>9831</v>
      </c>
      <c r="D2139" s="1" t="s">
        <v>9832</v>
      </c>
      <c r="E2139" s="12" t="str">
        <f>HYPERLINK("https://twitter.com/BrodiesLLP/status/1217012756894887937","1217012756894887937")</f>
        <v>1217012756894887937</v>
      </c>
      <c r="F2139" s="13" t="s">
        <v>9833</v>
      </c>
      <c r="G2139" s="13" t="s">
        <v>9834</v>
      </c>
      <c r="H2139" s="14"/>
      <c r="I2139" s="15">
        <v>1.0</v>
      </c>
      <c r="J2139" s="15">
        <v>2.0</v>
      </c>
      <c r="K2139" s="12" t="str">
        <f>HYPERLINK("https://sproutsocial.com","Sprout Social")</f>
        <v>Sprout Social</v>
      </c>
      <c r="L2139" s="16">
        <v>7073.0</v>
      </c>
      <c r="M2139" s="16">
        <v>1921.0</v>
      </c>
      <c r="N2139" s="16">
        <v>187.0</v>
      </c>
      <c r="O2139" s="20" t="s">
        <v>38</v>
      </c>
      <c r="P2139" s="18">
        <v>40115.274675925924</v>
      </c>
      <c r="Q2139" s="1" t="s">
        <v>9721</v>
      </c>
      <c r="R2139" s="1" t="s">
        <v>9835</v>
      </c>
      <c r="S2139" s="13" t="s">
        <v>9836</v>
      </c>
      <c r="T2139" s="14"/>
      <c r="U2139" s="19" t="str">
        <f>HYPERLINK("https://pbs.twimg.com/profile_images/1159120265613385728/6am5zrml.jpg","View")</f>
        <v>View</v>
      </c>
      <c r="V2139" s="14"/>
      <c r="W2139" s="14"/>
      <c r="X2139" s="14"/>
      <c r="Y2139" s="14"/>
      <c r="Z2139" s="14"/>
    </row>
    <row r="2140">
      <c r="A2140" s="11">
        <v>43844.17854166667</v>
      </c>
      <c r="B2140" s="12" t="str">
        <f>HYPERLINK("https://twitter.com/HubFertility","@HubFertility")</f>
        <v>@HubFertility</v>
      </c>
      <c r="C2140" s="1" t="s">
        <v>9837</v>
      </c>
      <c r="D2140" s="1" t="s">
        <v>9838</v>
      </c>
      <c r="E2140" s="12" t="str">
        <f>HYPERLINK("https://twitter.com/HubFertility/status/1217012753380118528","1217012753380118528")</f>
        <v>1217012753380118528</v>
      </c>
      <c r="F2140" s="13" t="s">
        <v>9839</v>
      </c>
      <c r="G2140" s="13" t="s">
        <v>9840</v>
      </c>
      <c r="H2140" s="14"/>
      <c r="I2140" s="15">
        <v>1.0</v>
      </c>
      <c r="J2140" s="15">
        <v>1.0</v>
      </c>
      <c r="K2140" s="12" t="str">
        <f>HYPERLINK("http://twitter.com/download/iphone","Twitter for iPhone")</f>
        <v>Twitter for iPhone</v>
      </c>
      <c r="L2140" s="16">
        <v>535.0</v>
      </c>
      <c r="M2140" s="16">
        <v>2024.0</v>
      </c>
      <c r="N2140" s="16">
        <v>1.0</v>
      </c>
      <c r="O2140" s="17"/>
      <c r="P2140" s="18">
        <v>43543.460486111115</v>
      </c>
      <c r="Q2140" s="14"/>
      <c r="R2140" s="1" t="s">
        <v>9841</v>
      </c>
      <c r="S2140" s="14"/>
      <c r="T2140" s="14"/>
      <c r="U2140" s="19" t="str">
        <f>HYPERLINK("https://pbs.twimg.com/profile_images/1108021623548985344/ArSf6krN.jpg","View")</f>
        <v>View</v>
      </c>
      <c r="V2140" s="14"/>
      <c r="W2140" s="14"/>
      <c r="X2140" s="14"/>
      <c r="Y2140" s="14"/>
      <c r="Z2140" s="14"/>
    </row>
    <row r="2141">
      <c r="A2141" s="11">
        <v>43844.177719907406</v>
      </c>
      <c r="B2141" s="12" t="str">
        <f>HYPERLINK("https://twitter.com/drivers_norris","@drivers_norris")</f>
        <v>@drivers_norris</v>
      </c>
      <c r="C2141" s="1" t="s">
        <v>9842</v>
      </c>
      <c r="D2141" s="1" t="s">
        <v>9843</v>
      </c>
      <c r="E2141" s="12" t="str">
        <f>HYPERLINK("https://twitter.com/drivers_norris/status/1217012458176614400","1217012458176614400")</f>
        <v>1217012458176614400</v>
      </c>
      <c r="F2141" s="13" t="s">
        <v>9844</v>
      </c>
      <c r="G2141" s="13" t="s">
        <v>9845</v>
      </c>
      <c r="H2141" s="14"/>
      <c r="I2141" s="15">
        <v>14.0</v>
      </c>
      <c r="J2141" s="15">
        <v>11.0</v>
      </c>
      <c r="K2141" s="12" t="str">
        <f>HYPERLINK("https://mobile.twitter.com","Twitter Web App")</f>
        <v>Twitter Web App</v>
      </c>
      <c r="L2141" s="16">
        <v>1900.0</v>
      </c>
      <c r="M2141" s="16">
        <v>2407.0</v>
      </c>
      <c r="N2141" s="16">
        <v>24.0</v>
      </c>
      <c r="O2141" s="17"/>
      <c r="P2141" s="18">
        <v>40499.468310185184</v>
      </c>
      <c r="Q2141" s="1" t="s">
        <v>268</v>
      </c>
      <c r="R2141" s="1" t="s">
        <v>9846</v>
      </c>
      <c r="S2141" s="13" t="s">
        <v>9847</v>
      </c>
      <c r="T2141" s="14"/>
      <c r="U2141" s="19" t="str">
        <f>HYPERLINK("https://pbs.twimg.com/profile_images/1080440713546993665/2EoxTqR8.jpg","View")</f>
        <v>View</v>
      </c>
      <c r="V2141" s="14"/>
      <c r="W2141" s="14"/>
      <c r="X2141" s="14"/>
      <c r="Y2141" s="14"/>
      <c r="Z2141" s="14"/>
    </row>
    <row r="2142">
      <c r="A2142" s="11">
        <v>43844.17712962963</v>
      </c>
      <c r="B2142" s="12" t="str">
        <f>HYPERLINK("https://twitter.com/BTCSoftwareUK","@BTCSoftwareUK")</f>
        <v>@BTCSoftwareUK</v>
      </c>
      <c r="C2142" s="1" t="s">
        <v>9848</v>
      </c>
      <c r="D2142" s="1" t="s">
        <v>9849</v>
      </c>
      <c r="E2142" s="12" t="str">
        <f>HYPERLINK("https://twitter.com/BTCSoftwareUK/status/1217012241964457984","1217012241964457984")</f>
        <v>1217012241964457984</v>
      </c>
      <c r="F2142" s="13" t="s">
        <v>9850</v>
      </c>
      <c r="G2142" s="14"/>
      <c r="H2142" s="14"/>
      <c r="I2142" s="15">
        <v>0.0</v>
      </c>
      <c r="J2142" s="15">
        <v>0.0</v>
      </c>
      <c r="K2142" s="12" t="str">
        <f>HYPERLINK("https://www.hootsuite.com","Hootsuite Inc.")</f>
        <v>Hootsuite Inc.</v>
      </c>
      <c r="L2142" s="16">
        <v>1809.0</v>
      </c>
      <c r="M2142" s="16">
        <v>2215.0</v>
      </c>
      <c r="N2142" s="16">
        <v>35.0</v>
      </c>
      <c r="O2142" s="17"/>
      <c r="P2142" s="18">
        <v>40464.50572916667</v>
      </c>
      <c r="Q2142" s="1" t="s">
        <v>9851</v>
      </c>
      <c r="R2142" s="1" t="s">
        <v>9852</v>
      </c>
      <c r="S2142" s="13" t="s">
        <v>9853</v>
      </c>
      <c r="T2142" s="14"/>
      <c r="U2142" s="19" t="str">
        <f>HYPERLINK("https://pbs.twimg.com/profile_images/857209049158385664/65bKOyE9.jpg","View")</f>
        <v>View</v>
      </c>
      <c r="V2142" s="14"/>
      <c r="W2142" s="14"/>
      <c r="X2142" s="14"/>
      <c r="Y2142" s="14"/>
      <c r="Z2142" s="14"/>
    </row>
    <row r="2143">
      <c r="A2143" s="11">
        <v>43844.17709490741</v>
      </c>
      <c r="B2143" s="12" t="str">
        <f>HYPERLINK("https://twitter.com/DrMichaelMol","@DrMichaelMol")</f>
        <v>@DrMichaelMol</v>
      </c>
      <c r="C2143" s="1" t="s">
        <v>3682</v>
      </c>
      <c r="D2143" s="1" t="s">
        <v>9854</v>
      </c>
      <c r="E2143" s="12" t="str">
        <f>HYPERLINK("https://twitter.com/DrMichaelMol/status/1217012230107078657","1217012230107078657")</f>
        <v>1217012230107078657</v>
      </c>
      <c r="F2143" s="14"/>
      <c r="G2143" s="14"/>
      <c r="H2143" s="14"/>
      <c r="I2143" s="15">
        <v>0.0</v>
      </c>
      <c r="J2143" s="15">
        <v>2.0</v>
      </c>
      <c r="K2143" s="12" t="str">
        <f>HYPERLINK("https://buffer.com","Buffer")</f>
        <v>Buffer</v>
      </c>
      <c r="L2143" s="16">
        <v>25276.0</v>
      </c>
      <c r="M2143" s="16">
        <v>183.0</v>
      </c>
      <c r="N2143" s="16">
        <v>174.0</v>
      </c>
      <c r="O2143" s="17"/>
      <c r="P2143" s="18">
        <v>40058.460625</v>
      </c>
      <c r="Q2143" s="1" t="s">
        <v>1075</v>
      </c>
      <c r="R2143" s="1" t="s">
        <v>3684</v>
      </c>
      <c r="S2143" s="13" t="s">
        <v>3685</v>
      </c>
      <c r="T2143" s="14"/>
      <c r="U2143" s="19" t="str">
        <f>HYPERLINK("https://pbs.twimg.com/profile_images/715490855478562816/HNxFIbc2.jpg","View")</f>
        <v>View</v>
      </c>
      <c r="V2143" s="14"/>
      <c r="W2143" s="14"/>
      <c r="X2143" s="14"/>
      <c r="Y2143" s="14"/>
      <c r="Z2143" s="14"/>
    </row>
    <row r="2144">
      <c r="A2144" s="11">
        <v>43844.17377314815</v>
      </c>
      <c r="B2144" s="12" t="str">
        <f>HYPERLINK("https://twitter.com/JPartarrieu","@JPartarrieu")</f>
        <v>@JPartarrieu</v>
      </c>
      <c r="C2144" s="1" t="s">
        <v>9855</v>
      </c>
      <c r="D2144" s="1" t="s">
        <v>9856</v>
      </c>
      <c r="E2144" s="12" t="str">
        <f>HYPERLINK("https://twitter.com/JPartarrieu/status/1217011027524706304","1217011027524706304")</f>
        <v>1217011027524706304</v>
      </c>
      <c r="F2144" s="1" t="s">
        <v>9857</v>
      </c>
      <c r="G2144" s="14"/>
      <c r="H2144" s="14"/>
      <c r="I2144" s="15">
        <v>0.0</v>
      </c>
      <c r="J2144" s="15">
        <v>1.0</v>
      </c>
      <c r="K2144" s="12" t="str">
        <f>HYPERLINK("https://mobile.twitter.com","Twitter Web App")</f>
        <v>Twitter Web App</v>
      </c>
      <c r="L2144" s="16">
        <v>603.0</v>
      </c>
      <c r="M2144" s="16">
        <v>2551.0</v>
      </c>
      <c r="N2144" s="16">
        <v>72.0</v>
      </c>
      <c r="O2144" s="17"/>
      <c r="P2144" s="18">
        <v>40866.08125</v>
      </c>
      <c r="Q2144" s="14"/>
      <c r="R2144" s="1" t="s">
        <v>9858</v>
      </c>
      <c r="S2144" s="14"/>
      <c r="T2144" s="14"/>
      <c r="U2144" s="19" t="str">
        <f>HYPERLINK("https://pbs.twimg.com/profile_images/3247362351/b7c17fa46039459021405cfab748c707.png","View")</f>
        <v>View</v>
      </c>
      <c r="V2144" s="14"/>
      <c r="W2144" s="14"/>
      <c r="X2144" s="14"/>
      <c r="Y2144" s="14"/>
      <c r="Z2144" s="14"/>
    </row>
    <row r="2145">
      <c r="A2145" s="11">
        <v>43844.17364583333</v>
      </c>
      <c r="B2145" s="12" t="str">
        <f>HYPERLINK("https://twitter.com/TopLevelIncome","@TopLevelIncome")</f>
        <v>@TopLevelIncome</v>
      </c>
      <c r="C2145" s="1" t="s">
        <v>9859</v>
      </c>
      <c r="D2145" s="1" t="s">
        <v>967</v>
      </c>
      <c r="E2145" s="12" t="str">
        <f>HYPERLINK("https://twitter.com/TopLevelIncome/status/1217010979646644224","1217010979646644224")</f>
        <v>1217010979646644224</v>
      </c>
      <c r="F2145" s="13" t="s">
        <v>9860</v>
      </c>
      <c r="G2145" s="13" t="s">
        <v>9861</v>
      </c>
      <c r="H2145" s="14"/>
      <c r="I2145" s="15">
        <v>0.0</v>
      </c>
      <c r="J2145" s="15">
        <v>1.0</v>
      </c>
      <c r="K2145" s="12" t="str">
        <f>HYPERLINK("https://buffer.com","Buffer")</f>
        <v>Buffer</v>
      </c>
      <c r="L2145" s="16">
        <v>22.0</v>
      </c>
      <c r="M2145" s="16">
        <v>7.0</v>
      </c>
      <c r="N2145" s="16">
        <v>2.0</v>
      </c>
      <c r="O2145" s="17"/>
      <c r="P2145" s="18">
        <v>43621.93152777778</v>
      </c>
      <c r="Q2145" s="1" t="s">
        <v>51</v>
      </c>
      <c r="R2145" s="1" t="s">
        <v>9862</v>
      </c>
      <c r="S2145" s="13" t="s">
        <v>9863</v>
      </c>
      <c r="T2145" s="14"/>
      <c r="U2145" s="19" t="str">
        <f>HYPERLINK("https://pbs.twimg.com/profile_images/1136458735549730816/iFhuWg-5.png","View")</f>
        <v>View</v>
      </c>
      <c r="V2145" s="14"/>
      <c r="W2145" s="14"/>
      <c r="X2145" s="14"/>
      <c r="Y2145" s="14"/>
      <c r="Z2145" s="14"/>
    </row>
    <row r="2146">
      <c r="A2146" s="11">
        <v>43844.17189814815</v>
      </c>
      <c r="B2146" s="12" t="str">
        <f>HYPERLINK("https://twitter.com/JPartarrieu","@JPartarrieu")</f>
        <v>@JPartarrieu</v>
      </c>
      <c r="C2146" s="1" t="s">
        <v>9855</v>
      </c>
      <c r="D2146" s="1" t="s">
        <v>9864</v>
      </c>
      <c r="E2146" s="12" t="str">
        <f>HYPERLINK("https://twitter.com/JPartarrieu/status/1217010346197647360","1217010346197647360")</f>
        <v>1217010346197647360</v>
      </c>
      <c r="F2146" s="1" t="s">
        <v>9865</v>
      </c>
      <c r="G2146" s="13" t="s">
        <v>9866</v>
      </c>
      <c r="H2146" s="14"/>
      <c r="I2146" s="15">
        <v>1.0</v>
      </c>
      <c r="J2146" s="15">
        <v>3.0</v>
      </c>
      <c r="K2146" s="12" t="str">
        <f t="shared" ref="K2146:K2148" si="218">HYPERLINK("https://mobile.twitter.com","Twitter Web App")</f>
        <v>Twitter Web App</v>
      </c>
      <c r="L2146" s="16">
        <v>603.0</v>
      </c>
      <c r="M2146" s="16">
        <v>2551.0</v>
      </c>
      <c r="N2146" s="16">
        <v>72.0</v>
      </c>
      <c r="O2146" s="17"/>
      <c r="P2146" s="18">
        <v>40866.08125</v>
      </c>
      <c r="Q2146" s="14"/>
      <c r="R2146" s="1" t="s">
        <v>9858</v>
      </c>
      <c r="S2146" s="14"/>
      <c r="T2146" s="14"/>
      <c r="U2146" s="19" t="str">
        <f>HYPERLINK("https://pbs.twimg.com/profile_images/3247362351/b7c17fa46039459021405cfab748c707.png","View")</f>
        <v>View</v>
      </c>
      <c r="V2146" s="14"/>
      <c r="W2146" s="14"/>
      <c r="X2146" s="14"/>
      <c r="Y2146" s="14"/>
      <c r="Z2146" s="14"/>
    </row>
    <row r="2147">
      <c r="A2147" s="11">
        <v>43844.16909722222</v>
      </c>
      <c r="B2147" s="12" t="str">
        <f>HYPERLINK("https://twitter.com/allyfortis","@allyfortis")</f>
        <v>@allyfortis</v>
      </c>
      <c r="C2147" s="1" t="s">
        <v>9867</v>
      </c>
      <c r="D2147" s="1" t="s">
        <v>9868</v>
      </c>
      <c r="E2147" s="12" t="str">
        <f>HYPERLINK("https://twitter.com/allyfortis/status/1217009333625638912","1217009333625638912")</f>
        <v>1217009333625638912</v>
      </c>
      <c r="F2147" s="14"/>
      <c r="G2147" s="14"/>
      <c r="H2147" s="14"/>
      <c r="I2147" s="15">
        <v>0.0</v>
      </c>
      <c r="J2147" s="15">
        <v>0.0</v>
      </c>
      <c r="K2147" s="12" t="str">
        <f t="shared" si="218"/>
        <v>Twitter Web App</v>
      </c>
      <c r="L2147" s="16">
        <v>237.0</v>
      </c>
      <c r="M2147" s="16">
        <v>124.0</v>
      </c>
      <c r="N2147" s="16">
        <v>6.0</v>
      </c>
      <c r="O2147" s="17"/>
      <c r="P2147" s="18">
        <v>42781.85246527778</v>
      </c>
      <c r="Q2147" s="1" t="s">
        <v>691</v>
      </c>
      <c r="R2147" s="1" t="s">
        <v>9869</v>
      </c>
      <c r="S2147" s="13" t="s">
        <v>9870</v>
      </c>
      <c r="T2147" s="14"/>
      <c r="U2147" s="19" t="str">
        <f>HYPERLINK("https://pbs.twimg.com/profile_images/1182710795328741377/BDulxYik.jpg","View")</f>
        <v>View</v>
      </c>
      <c r="V2147" s="14"/>
      <c r="W2147" s="14"/>
      <c r="X2147" s="14"/>
      <c r="Y2147" s="14"/>
      <c r="Z2147" s="14"/>
    </row>
    <row r="2148">
      <c r="A2148" s="11">
        <v>43844.16883101852</v>
      </c>
      <c r="B2148" s="12" t="str">
        <f>HYPERLINK("https://twitter.com/SPSHospital","@SPSHospital")</f>
        <v>@SPSHospital</v>
      </c>
      <c r="C2148" s="1" t="s">
        <v>9871</v>
      </c>
      <c r="D2148" s="1" t="s">
        <v>9872</v>
      </c>
      <c r="E2148" s="12" t="str">
        <f>HYPERLINK("https://twitter.com/SPSHospital/status/1217009236778967040","1217009236778967040")</f>
        <v>1217009236778967040</v>
      </c>
      <c r="F2148" s="13" t="s">
        <v>9873</v>
      </c>
      <c r="G2148" s="13" t="s">
        <v>9874</v>
      </c>
      <c r="H2148" s="14"/>
      <c r="I2148" s="15">
        <v>0.0</v>
      </c>
      <c r="J2148" s="15">
        <v>0.0</v>
      </c>
      <c r="K2148" s="12" t="str">
        <f t="shared" si="218"/>
        <v>Twitter Web App</v>
      </c>
      <c r="L2148" s="16">
        <v>296.0</v>
      </c>
      <c r="M2148" s="16">
        <v>299.0</v>
      </c>
      <c r="N2148" s="16">
        <v>27.0</v>
      </c>
      <c r="O2148" s="17"/>
      <c r="P2148" s="18">
        <v>42367.44023148148</v>
      </c>
      <c r="Q2148" s="1" t="s">
        <v>9875</v>
      </c>
      <c r="R2148" s="1" t="s">
        <v>9876</v>
      </c>
      <c r="S2148" s="13" t="s">
        <v>9873</v>
      </c>
      <c r="T2148" s="14"/>
      <c r="U2148" s="19" t="str">
        <f>HYPERLINK("https://pbs.twimg.com/profile_images/1070180888682610693/sEnOu0wn.jpg","View")</f>
        <v>View</v>
      </c>
      <c r="V2148" s="14"/>
      <c r="W2148" s="14"/>
      <c r="X2148" s="14"/>
      <c r="Y2148" s="14"/>
      <c r="Z2148" s="14"/>
    </row>
    <row r="2149">
      <c r="A2149" s="11">
        <v>43844.16740740741</v>
      </c>
      <c r="B2149" s="12" t="str">
        <f>HYPERLINK("https://twitter.com/Uni_Croydon","@Uni_Croydon")</f>
        <v>@Uni_Croydon</v>
      </c>
      <c r="C2149" s="1" t="s">
        <v>3553</v>
      </c>
      <c r="D2149" s="1" t="s">
        <v>9877</v>
      </c>
      <c r="E2149" s="12" t="str">
        <f>HYPERLINK("https://twitter.com/Uni_Croydon/status/1217008719248216064","1217008719248216064")</f>
        <v>1217008719248216064</v>
      </c>
      <c r="F2149" s="14"/>
      <c r="G2149" s="14"/>
      <c r="H2149" s="14"/>
      <c r="I2149" s="15">
        <v>0.0</v>
      </c>
      <c r="J2149" s="15">
        <v>0.0</v>
      </c>
      <c r="K2149" s="12" t="str">
        <f t="shared" ref="K2149:K2151" si="219">HYPERLINK("https://www.hootsuite.com","Hootsuite Inc.")</f>
        <v>Hootsuite Inc.</v>
      </c>
      <c r="L2149" s="16">
        <v>207.0</v>
      </c>
      <c r="M2149" s="16">
        <v>128.0</v>
      </c>
      <c r="N2149" s="16">
        <v>6.0</v>
      </c>
      <c r="O2149" s="17"/>
      <c r="P2149" s="18">
        <v>41428.48604166666</v>
      </c>
      <c r="Q2149" s="1" t="s">
        <v>3555</v>
      </c>
      <c r="R2149" s="1" t="s">
        <v>3556</v>
      </c>
      <c r="S2149" s="13" t="s">
        <v>3557</v>
      </c>
      <c r="T2149" s="14"/>
      <c r="U2149" s="19" t="str">
        <f>HYPERLINK("https://pbs.twimg.com/profile_images/595592532446294016/MR5qiRqL.jpg","View")</f>
        <v>View</v>
      </c>
      <c r="V2149" s="14"/>
      <c r="W2149" s="14"/>
      <c r="X2149" s="14"/>
      <c r="Y2149" s="14"/>
      <c r="Z2149" s="14"/>
    </row>
    <row r="2150">
      <c r="A2150" s="11">
        <v>43844.167245370365</v>
      </c>
      <c r="B2150" s="12" t="str">
        <f>HYPERLINK("https://twitter.com/CroydonCollege","@CroydonCollege")</f>
        <v>@CroydonCollege</v>
      </c>
      <c r="C2150" s="1" t="s">
        <v>3558</v>
      </c>
      <c r="D2150" s="1" t="s">
        <v>9877</v>
      </c>
      <c r="E2150" s="12" t="str">
        <f>HYPERLINK("https://twitter.com/CroydonCollege/status/1217008662595735552","1217008662595735552")</f>
        <v>1217008662595735552</v>
      </c>
      <c r="F2150" s="14"/>
      <c r="G2150" s="14"/>
      <c r="H2150" s="14"/>
      <c r="I2150" s="15">
        <v>4.0</v>
      </c>
      <c r="J2150" s="15">
        <v>7.0</v>
      </c>
      <c r="K2150" s="12" t="str">
        <f t="shared" si="219"/>
        <v>Hootsuite Inc.</v>
      </c>
      <c r="L2150" s="16">
        <v>6286.0</v>
      </c>
      <c r="M2150" s="16">
        <v>597.0</v>
      </c>
      <c r="N2150" s="16">
        <v>183.0</v>
      </c>
      <c r="O2150" s="17"/>
      <c r="P2150" s="18">
        <v>40025.196377314816</v>
      </c>
      <c r="Q2150" s="1" t="s">
        <v>3559</v>
      </c>
      <c r="R2150" s="1" t="s">
        <v>3560</v>
      </c>
      <c r="S2150" s="13" t="s">
        <v>3561</v>
      </c>
      <c r="T2150" s="14"/>
      <c r="U2150" s="19" t="str">
        <f>HYPERLINK("https://pbs.twimg.com/profile_images/1044243274213576706/iEu7RzIt.jpg","View")</f>
        <v>View</v>
      </c>
      <c r="V2150" s="14"/>
      <c r="W2150" s="14"/>
      <c r="X2150" s="14"/>
      <c r="Y2150" s="14"/>
      <c r="Z2150" s="14"/>
    </row>
    <row r="2151">
      <c r="A2151" s="11">
        <v>43844.16700231482</v>
      </c>
      <c r="B2151" s="12" t="str">
        <f>HYPERLINK("https://twitter.com/TrissaTC","@TrissaTC")</f>
        <v>@TrissaTC</v>
      </c>
      <c r="C2151" s="1" t="s">
        <v>9878</v>
      </c>
      <c r="D2151" s="1" t="s">
        <v>2975</v>
      </c>
      <c r="E2151" s="12" t="str">
        <f>HYPERLINK("https://twitter.com/TrissaTC/status/1217008573617713153","1217008573617713153")</f>
        <v>1217008573617713153</v>
      </c>
      <c r="F2151" s="13" t="s">
        <v>9879</v>
      </c>
      <c r="G2151" s="14"/>
      <c r="H2151" s="14"/>
      <c r="I2151" s="15">
        <v>0.0</v>
      </c>
      <c r="J2151" s="15">
        <v>0.0</v>
      </c>
      <c r="K2151" s="12" t="str">
        <f t="shared" si="219"/>
        <v>Hootsuite Inc.</v>
      </c>
      <c r="L2151" s="16">
        <v>13686.0</v>
      </c>
      <c r="M2151" s="16">
        <v>12194.0</v>
      </c>
      <c r="N2151" s="16">
        <v>347.0</v>
      </c>
      <c r="O2151" s="17"/>
      <c r="P2151" s="18">
        <v>39911.429861111115</v>
      </c>
      <c r="Q2151" s="1" t="s">
        <v>9880</v>
      </c>
      <c r="R2151" s="1" t="s">
        <v>9881</v>
      </c>
      <c r="S2151" s="13" t="s">
        <v>9882</v>
      </c>
      <c r="T2151" s="14"/>
      <c r="U2151" s="19" t="str">
        <f>HYPERLINK("https://pbs.twimg.com/profile_images/601122299/img_0009_headshot.jpg","View")</f>
        <v>View</v>
      </c>
      <c r="V2151" s="14"/>
      <c r="W2151" s="14"/>
      <c r="X2151" s="14"/>
      <c r="Y2151" s="14"/>
      <c r="Z2151" s="14"/>
    </row>
    <row r="2152">
      <c r="A2152" s="11">
        <v>43844.16606481481</v>
      </c>
      <c r="B2152" s="12" t="str">
        <f>HYPERLINK("https://twitter.com/midyorkslibrary","@midyorkslibrary")</f>
        <v>@midyorkslibrary</v>
      </c>
      <c r="C2152" s="1" t="s">
        <v>9883</v>
      </c>
      <c r="D2152" s="1" t="s">
        <v>9884</v>
      </c>
      <c r="E2152" s="12" t="str">
        <f>HYPERLINK("https://twitter.com/midyorkslibrary/status/1217008234759888896","1217008234759888896")</f>
        <v>1217008234759888896</v>
      </c>
      <c r="F2152" s="13" t="s">
        <v>9885</v>
      </c>
      <c r="G2152" s="13" t="s">
        <v>9886</v>
      </c>
      <c r="H2152" s="14"/>
      <c r="I2152" s="15">
        <v>0.0</v>
      </c>
      <c r="J2152" s="15">
        <v>1.0</v>
      </c>
      <c r="K2152" s="12" t="str">
        <f>HYPERLINK("https://mobile.twitter.com","Twitter Web App")</f>
        <v>Twitter Web App</v>
      </c>
      <c r="L2152" s="16">
        <v>1757.0</v>
      </c>
      <c r="M2152" s="16">
        <v>3090.0</v>
      </c>
      <c r="N2152" s="16">
        <v>206.0</v>
      </c>
      <c r="O2152" s="17"/>
      <c r="P2152" s="18">
        <v>41648.432546296295</v>
      </c>
      <c r="Q2152" s="1" t="s">
        <v>9887</v>
      </c>
      <c r="R2152" s="1" t="s">
        <v>9888</v>
      </c>
      <c r="S2152" s="13" t="s">
        <v>9889</v>
      </c>
      <c r="T2152" s="14"/>
      <c r="U2152" s="19" t="str">
        <f>HYPERLINK("https://pbs.twimg.com/profile_images/1183750441823326208/pHKq8aJC.jpg","View")</f>
        <v>View</v>
      </c>
      <c r="V2152" s="14"/>
      <c r="W2152" s="14"/>
      <c r="X2152" s="14"/>
      <c r="Y2152" s="14"/>
      <c r="Z2152" s="14"/>
    </row>
    <row r="2153">
      <c r="A2153" s="11">
        <v>43844.159780092596</v>
      </c>
      <c r="B2153" s="12" t="str">
        <f>HYPERLINK("https://twitter.com/AmbitionsClub","@AmbitionsClub")</f>
        <v>@AmbitionsClub</v>
      </c>
      <c r="C2153" s="1" t="s">
        <v>9890</v>
      </c>
      <c r="D2153" s="1" t="s">
        <v>9891</v>
      </c>
      <c r="E2153" s="12" t="str">
        <f>HYPERLINK("https://twitter.com/AmbitionsClub/status/1217005957189963776","1217005957189963776")</f>
        <v>1217005957189963776</v>
      </c>
      <c r="F2153" s="13" t="s">
        <v>9892</v>
      </c>
      <c r="G2153" s="14"/>
      <c r="H2153" s="14"/>
      <c r="I2153" s="15">
        <v>1.0</v>
      </c>
      <c r="J2153" s="15">
        <v>0.0</v>
      </c>
      <c r="K2153" s="12" t="str">
        <f>HYPERLINK("https://www.hootsuite.com","Hootsuite Inc.")</f>
        <v>Hootsuite Inc.</v>
      </c>
      <c r="L2153" s="16">
        <v>324.0</v>
      </c>
      <c r="M2153" s="16">
        <v>282.0</v>
      </c>
      <c r="N2153" s="16">
        <v>69.0</v>
      </c>
      <c r="O2153" s="17"/>
      <c r="P2153" s="18">
        <v>41029.54725694445</v>
      </c>
      <c r="Q2153" s="1" t="s">
        <v>9893</v>
      </c>
      <c r="R2153" s="1" t="s">
        <v>9894</v>
      </c>
      <c r="S2153" s="13" t="s">
        <v>9895</v>
      </c>
      <c r="T2153" s="14"/>
      <c r="U2153" s="19" t="str">
        <f>HYPERLINK("https://pbs.twimg.com/profile_images/964072468385353728/DapUigAk.jpg","View")</f>
        <v>View</v>
      </c>
      <c r="V2153" s="14"/>
      <c r="W2153" s="14"/>
      <c r="X2153" s="14"/>
      <c r="Y2153" s="14"/>
      <c r="Z2153" s="14"/>
    </row>
    <row r="2154">
      <c r="A2154" s="11">
        <v>43844.15913194444</v>
      </c>
      <c r="B2154" s="12" t="str">
        <f>HYPERLINK("https://twitter.com/AwarenessLondon","@AwarenessLondon")</f>
        <v>@AwarenessLondon</v>
      </c>
      <c r="C2154" s="1" t="s">
        <v>9896</v>
      </c>
      <c r="D2154" s="1" t="s">
        <v>9897</v>
      </c>
      <c r="E2154" s="12" t="str">
        <f>HYPERLINK("https://twitter.com/AwarenessLondon/status/1217005721335758848","1217005721335758848")</f>
        <v>1217005721335758848</v>
      </c>
      <c r="F2154" s="13" t="s">
        <v>9898</v>
      </c>
      <c r="G2154" s="14"/>
      <c r="H2154" s="14"/>
      <c r="I2154" s="15">
        <v>0.0</v>
      </c>
      <c r="J2154" s="15">
        <v>0.0</v>
      </c>
      <c r="K2154" s="12" t="str">
        <f>HYPERLINK("http://twitter.com/download/android","Twitter for Android")</f>
        <v>Twitter for Android</v>
      </c>
      <c r="L2154" s="16">
        <v>1545.0</v>
      </c>
      <c r="M2154" s="16">
        <v>1309.0</v>
      </c>
      <c r="N2154" s="16">
        <v>60.0</v>
      </c>
      <c r="O2154" s="17"/>
      <c r="P2154" s="18">
        <v>40139.5721412037</v>
      </c>
      <c r="Q2154" s="1" t="s">
        <v>268</v>
      </c>
      <c r="R2154" s="1" t="s">
        <v>9899</v>
      </c>
      <c r="S2154" s="13" t="s">
        <v>9900</v>
      </c>
      <c r="T2154" s="14"/>
      <c r="U2154" s="19" t="str">
        <f>HYPERLINK("https://pbs.twimg.com/profile_images/1576595551/tactwit.jpg","View")</f>
        <v>View</v>
      </c>
      <c r="V2154" s="14"/>
      <c r="W2154" s="14"/>
      <c r="X2154" s="14"/>
      <c r="Y2154" s="14"/>
      <c r="Z2154" s="14"/>
    </row>
    <row r="2155">
      <c r="A2155" s="11">
        <v>43844.15629629629</v>
      </c>
      <c r="B2155" s="12" t="str">
        <f>HYPERLINK("https://twitter.com/thestressclinic","@thestressclinic")</f>
        <v>@thestressclinic</v>
      </c>
      <c r="C2155" s="1" t="s">
        <v>282</v>
      </c>
      <c r="D2155" s="1" t="s">
        <v>9901</v>
      </c>
      <c r="E2155" s="12" t="str">
        <f>HYPERLINK("https://twitter.com/thestressclinic/status/1217004695467757568","1217004695467757568")</f>
        <v>1217004695467757568</v>
      </c>
      <c r="F2155" s="14"/>
      <c r="G2155" s="14"/>
      <c r="H2155" s="14"/>
      <c r="I2155" s="15">
        <v>0.0</v>
      </c>
      <c r="J2155" s="15">
        <v>0.0</v>
      </c>
      <c r="K2155" s="12" t="str">
        <f>HYPERLINK("https://www.hootsuite.com","Hootsuite Inc.")</f>
        <v>Hootsuite Inc.</v>
      </c>
      <c r="L2155" s="16">
        <v>548.0</v>
      </c>
      <c r="M2155" s="16">
        <v>148.0</v>
      </c>
      <c r="N2155" s="16">
        <v>21.0</v>
      </c>
      <c r="O2155" s="17"/>
      <c r="P2155" s="18">
        <v>40837.51666666666</v>
      </c>
      <c r="Q2155" s="1" t="s">
        <v>284</v>
      </c>
      <c r="R2155" s="1" t="s">
        <v>285</v>
      </c>
      <c r="S2155" s="13" t="s">
        <v>286</v>
      </c>
      <c r="T2155" s="14"/>
      <c r="U2155" s="19" t="str">
        <f>HYPERLINK("https://pbs.twimg.com/profile_images/1786841943/RelaxButton.jpg","View")</f>
        <v>View</v>
      </c>
      <c r="V2155" s="14"/>
      <c r="W2155" s="14"/>
      <c r="X2155" s="14"/>
      <c r="Y2155" s="14"/>
      <c r="Z2155" s="14"/>
    </row>
    <row r="2156">
      <c r="A2156" s="11">
        <v>43844.14729166667</v>
      </c>
      <c r="B2156" s="12" t="str">
        <f>HYPERLINK("https://twitter.com/therawrainbow","@therawrainbow")</f>
        <v>@therawrainbow</v>
      </c>
      <c r="C2156" s="1" t="s">
        <v>1365</v>
      </c>
      <c r="D2156" s="1" t="s">
        <v>1366</v>
      </c>
      <c r="E2156" s="12" t="str">
        <f>HYPERLINK("https://twitter.com/therawrainbow/status/1217001431728869378","1217001431728869378")</f>
        <v>1217001431728869378</v>
      </c>
      <c r="F2156" s="13" t="s">
        <v>1367</v>
      </c>
      <c r="G2156" s="13" t="s">
        <v>9902</v>
      </c>
      <c r="H2156" s="14"/>
      <c r="I2156" s="15">
        <v>2.0</v>
      </c>
      <c r="J2156" s="15">
        <v>4.0</v>
      </c>
      <c r="K2156" s="12" t="str">
        <f t="shared" ref="K2156:K2157" si="220">HYPERLINK("http://twitter.com/download/iphone","Twitter for iPhone")</f>
        <v>Twitter for iPhone</v>
      </c>
      <c r="L2156" s="16">
        <v>150.0</v>
      </c>
      <c r="M2156" s="16">
        <v>17.0</v>
      </c>
      <c r="N2156" s="16">
        <v>112.0</v>
      </c>
      <c r="O2156" s="17"/>
      <c r="P2156" s="18">
        <v>42219.45300925926</v>
      </c>
      <c r="Q2156" s="1" t="s">
        <v>268</v>
      </c>
      <c r="R2156" s="1" t="s">
        <v>1369</v>
      </c>
      <c r="S2156" s="13" t="s">
        <v>1367</v>
      </c>
      <c r="T2156" s="14"/>
      <c r="U2156" s="19" t="str">
        <f>HYPERLINK("https://pbs.twimg.com/profile_images/628219046991908864/zKJx4dmP.jpg","View")</f>
        <v>View</v>
      </c>
      <c r="V2156" s="14"/>
      <c r="W2156" s="14"/>
      <c r="X2156" s="14"/>
      <c r="Y2156" s="14"/>
      <c r="Z2156" s="14"/>
    </row>
    <row r="2157">
      <c r="A2157" s="11">
        <v>43844.14708333333</v>
      </c>
      <c r="B2157" s="12" t="str">
        <f>HYPERLINK("https://twitter.com/rikidavies1","@rikidavies1")</f>
        <v>@rikidavies1</v>
      </c>
      <c r="C2157" s="1" t="s">
        <v>1372</v>
      </c>
      <c r="D2157" s="1" t="s">
        <v>1366</v>
      </c>
      <c r="E2157" s="12" t="str">
        <f>HYPERLINK("https://twitter.com/rikidavies1/status/1217001354541129728","1217001354541129728")</f>
        <v>1217001354541129728</v>
      </c>
      <c r="F2157" s="13" t="s">
        <v>1376</v>
      </c>
      <c r="G2157" s="13" t="s">
        <v>9903</v>
      </c>
      <c r="H2157" s="14"/>
      <c r="I2157" s="15">
        <v>2.0</v>
      </c>
      <c r="J2157" s="15">
        <v>2.0</v>
      </c>
      <c r="K2157" s="12" t="str">
        <f t="shared" si="220"/>
        <v>Twitter for iPhone</v>
      </c>
      <c r="L2157" s="16">
        <v>325.0</v>
      </c>
      <c r="M2157" s="16">
        <v>377.0</v>
      </c>
      <c r="N2157" s="16">
        <v>100.0</v>
      </c>
      <c r="O2157" s="17"/>
      <c r="P2157" s="18">
        <v>41072.61628472222</v>
      </c>
      <c r="Q2157" s="1" t="s">
        <v>342</v>
      </c>
      <c r="R2157" s="1" t="s">
        <v>1375</v>
      </c>
      <c r="S2157" s="13" t="s">
        <v>1376</v>
      </c>
      <c r="T2157" s="14"/>
      <c r="U2157" s="19" t="str">
        <f>HYPERLINK("https://pbs.twimg.com/profile_images/2302574368/b6tu6ogl3vs4m4f75y4o.png","View")</f>
        <v>View</v>
      </c>
      <c r="V2157" s="14"/>
      <c r="W2157" s="14"/>
      <c r="X2157" s="14"/>
      <c r="Y2157" s="14"/>
      <c r="Z2157" s="14"/>
    </row>
    <row r="2158">
      <c r="A2158" s="11">
        <v>43844.14591435185</v>
      </c>
      <c r="B2158" s="12" t="str">
        <f>HYPERLINK("https://twitter.com/FullersLaw","@FullersLaw")</f>
        <v>@FullersLaw</v>
      </c>
      <c r="C2158" s="1" t="s">
        <v>5434</v>
      </c>
      <c r="D2158" s="1" t="s">
        <v>9904</v>
      </c>
      <c r="E2158" s="12" t="str">
        <f>HYPERLINK("https://twitter.com/FullersLaw/status/1217000929440018432","1217000929440018432")</f>
        <v>1217000929440018432</v>
      </c>
      <c r="F2158" s="13" t="s">
        <v>9905</v>
      </c>
      <c r="G2158" s="13" t="s">
        <v>9906</v>
      </c>
      <c r="H2158" s="14"/>
      <c r="I2158" s="15">
        <v>0.0</v>
      </c>
      <c r="J2158" s="15">
        <v>0.0</v>
      </c>
      <c r="K2158" s="12" t="str">
        <f>HYPERLINK("https://www.hootsuite.com","Hootsuite Inc.")</f>
        <v>Hootsuite Inc.</v>
      </c>
      <c r="L2158" s="16">
        <v>885.0</v>
      </c>
      <c r="M2158" s="16">
        <v>1017.0</v>
      </c>
      <c r="N2158" s="16">
        <v>15.0</v>
      </c>
      <c r="O2158" s="17"/>
      <c r="P2158" s="18">
        <v>41340.3419212963</v>
      </c>
      <c r="Q2158" s="1" t="s">
        <v>5438</v>
      </c>
      <c r="R2158" s="1" t="s">
        <v>5439</v>
      </c>
      <c r="S2158" s="13" t="s">
        <v>5440</v>
      </c>
      <c r="T2158" s="14"/>
      <c r="U2158" s="19" t="str">
        <f>HYPERLINK("https://pbs.twimg.com/profile_images/1085864563373998080/v-UEDF7m.jpg","View")</f>
        <v>View</v>
      </c>
      <c r="V2158" s="14"/>
      <c r="W2158" s="14"/>
      <c r="X2158" s="14"/>
      <c r="Y2158" s="14"/>
      <c r="Z2158" s="14"/>
    </row>
    <row r="2159">
      <c r="A2159" s="11">
        <v>43844.142488425925</v>
      </c>
      <c r="B2159" s="12" t="str">
        <f>HYPERLINK("https://twitter.com/renascencemusic","@renascencemusic")</f>
        <v>@renascencemusic</v>
      </c>
      <c r="C2159" s="1" t="s">
        <v>247</v>
      </c>
      <c r="D2159" s="1" t="s">
        <v>576</v>
      </c>
      <c r="E2159" s="12" t="str">
        <f>HYPERLINK("https://twitter.com/renascencemusic/status/1216999688366411779","1216999688366411779")</f>
        <v>1216999688366411779</v>
      </c>
      <c r="F2159" s="13" t="s">
        <v>577</v>
      </c>
      <c r="G2159" s="13" t="s">
        <v>9907</v>
      </c>
      <c r="H2159" s="14"/>
      <c r="I2159" s="15">
        <v>0.0</v>
      </c>
      <c r="J2159" s="15">
        <v>0.0</v>
      </c>
      <c r="K2159" s="12" t="str">
        <f>HYPERLINK("https://www.socialoomph.com","SocialOomph")</f>
        <v>SocialOomph</v>
      </c>
      <c r="L2159" s="16">
        <v>13031.0</v>
      </c>
      <c r="M2159" s="16">
        <v>11650.0</v>
      </c>
      <c r="N2159" s="16">
        <v>219.0</v>
      </c>
      <c r="O2159" s="17"/>
      <c r="P2159" s="18">
        <v>42470.67052083333</v>
      </c>
      <c r="Q2159" s="1" t="s">
        <v>251</v>
      </c>
      <c r="R2159" s="1" t="s">
        <v>252</v>
      </c>
      <c r="S2159" s="13" t="s">
        <v>253</v>
      </c>
      <c r="T2159" s="14"/>
      <c r="U2159" s="19" t="str">
        <f>HYPERLINK("https://pbs.twimg.com/profile_images/1123407512743612416/g721ra2J.png","View")</f>
        <v>View</v>
      </c>
      <c r="V2159" s="14"/>
      <c r="W2159" s="14"/>
      <c r="X2159" s="14"/>
      <c r="Y2159" s="14"/>
      <c r="Z2159" s="14"/>
    </row>
    <row r="2160">
      <c r="A2160" s="11">
        <v>43844.14209490741</v>
      </c>
      <c r="B2160" s="12" t="str">
        <f>HYPERLINK("https://twitter.com/JayneMCox","@JayneMCox")</f>
        <v>@JayneMCox</v>
      </c>
      <c r="C2160" s="1" t="s">
        <v>9908</v>
      </c>
      <c r="D2160" s="1" t="s">
        <v>9909</v>
      </c>
      <c r="E2160" s="12" t="str">
        <f>HYPERLINK("https://twitter.com/JayneMCox/status/1216999549354565633","1216999549354565633")</f>
        <v>1216999549354565633</v>
      </c>
      <c r="F2160" s="1" t="s">
        <v>9910</v>
      </c>
      <c r="G2160" s="14"/>
      <c r="H2160" s="14"/>
      <c r="I2160" s="15">
        <v>0.0</v>
      </c>
      <c r="J2160" s="15">
        <v>1.0</v>
      </c>
      <c r="K2160" s="12" t="str">
        <f>HYPERLINK("http://twitter.com/download/iphone","Twitter for iPhone")</f>
        <v>Twitter for iPhone</v>
      </c>
      <c r="L2160" s="16">
        <v>3386.0</v>
      </c>
      <c r="M2160" s="16">
        <v>1933.0</v>
      </c>
      <c r="N2160" s="16">
        <v>185.0</v>
      </c>
      <c r="O2160" s="17"/>
      <c r="P2160" s="18">
        <v>40315.6196875</v>
      </c>
      <c r="Q2160" s="1" t="s">
        <v>9911</v>
      </c>
      <c r="R2160" s="1" t="s">
        <v>9912</v>
      </c>
      <c r="S2160" s="13" t="s">
        <v>9913</v>
      </c>
      <c r="T2160" s="14"/>
      <c r="U2160" s="19" t="str">
        <f>HYPERLINK("https://pbs.twimg.com/profile_images/961727098065956866/YMUPpaP5.jpg","View")</f>
        <v>View</v>
      </c>
      <c r="V2160" s="14"/>
      <c r="W2160" s="14"/>
      <c r="X2160" s="14"/>
      <c r="Y2160" s="14"/>
      <c r="Z2160" s="14"/>
    </row>
    <row r="2161">
      <c r="A2161" s="11">
        <v>43844.13892361111</v>
      </c>
      <c r="B2161" s="12" t="str">
        <f>HYPERLINK("https://twitter.com/FUSIONspaces","@FUSIONspaces")</f>
        <v>@FUSIONspaces</v>
      </c>
      <c r="C2161" s="1" t="s">
        <v>3236</v>
      </c>
      <c r="D2161" s="1" t="s">
        <v>9914</v>
      </c>
      <c r="E2161" s="12" t="str">
        <f>HYPERLINK("https://twitter.com/FUSIONspaces/status/1216998396931792896","1216998396931792896")</f>
        <v>1216998396931792896</v>
      </c>
      <c r="F2161" s="13" t="s">
        <v>9915</v>
      </c>
      <c r="G2161" s="14"/>
      <c r="H2161" s="14"/>
      <c r="I2161" s="15">
        <v>0.0</v>
      </c>
      <c r="J2161" s="15">
        <v>2.0</v>
      </c>
      <c r="K2161" s="12" t="str">
        <f>HYPERLINK("https://www.hootsuite.com","Hootsuite Inc.")</f>
        <v>Hootsuite Inc.</v>
      </c>
      <c r="L2161" s="16">
        <v>472.0</v>
      </c>
      <c r="M2161" s="16">
        <v>955.0</v>
      </c>
      <c r="N2161" s="16">
        <v>32.0</v>
      </c>
      <c r="O2161" s="17"/>
      <c r="P2161" s="18">
        <v>42329.19001157407</v>
      </c>
      <c r="Q2161" s="1" t="s">
        <v>3239</v>
      </c>
      <c r="R2161" s="1" t="s">
        <v>3240</v>
      </c>
      <c r="S2161" s="13" t="s">
        <v>3241</v>
      </c>
      <c r="T2161" s="14"/>
      <c r="U2161" s="19" t="str">
        <f>HYPERLINK("https://pbs.twimg.com/profile_images/691304209321451521/ecW_wCpH.jpg","View")</f>
        <v>View</v>
      </c>
      <c r="V2161" s="14"/>
      <c r="W2161" s="14"/>
      <c r="X2161" s="14"/>
      <c r="Y2161" s="14"/>
      <c r="Z2161" s="14"/>
    </row>
    <row r="2162">
      <c r="A2162" s="11">
        <v>43844.13689814815</v>
      </c>
      <c r="B2162" s="12" t="str">
        <f>HYPERLINK("https://twitter.com/HelenOakwater","@HelenOakwater")</f>
        <v>@HelenOakwater</v>
      </c>
      <c r="C2162" s="1" t="s">
        <v>9916</v>
      </c>
      <c r="D2162" s="1" t="s">
        <v>9917</v>
      </c>
      <c r="E2162" s="12" t="str">
        <f>HYPERLINK("https://twitter.com/HelenOakwater/status/1216997665352953856","1216997665352953856")</f>
        <v>1216997665352953856</v>
      </c>
      <c r="F2162" s="13" t="s">
        <v>9918</v>
      </c>
      <c r="G2162" s="14"/>
      <c r="H2162" s="14"/>
      <c r="I2162" s="15">
        <v>3.0</v>
      </c>
      <c r="J2162" s="15">
        <v>6.0</v>
      </c>
      <c r="K2162" s="12" t="str">
        <f>HYPERLINK("http://twitter.com/#!/download/ipad","Twitter for iPad")</f>
        <v>Twitter for iPad</v>
      </c>
      <c r="L2162" s="16">
        <v>2148.0</v>
      </c>
      <c r="M2162" s="16">
        <v>1123.0</v>
      </c>
      <c r="N2162" s="16">
        <v>41.0</v>
      </c>
      <c r="O2162" s="17"/>
      <c r="P2162" s="18">
        <v>40978.09119212963</v>
      </c>
      <c r="Q2162" s="1" t="s">
        <v>268</v>
      </c>
      <c r="R2162" s="1" t="s">
        <v>9919</v>
      </c>
      <c r="S2162" s="13" t="s">
        <v>9920</v>
      </c>
      <c r="T2162" s="14"/>
      <c r="U2162" s="19" t="str">
        <f>HYPERLINK("https://pbs.twimg.com/profile_images/428634189471023105/xzGA1Rjj.jpeg","View")</f>
        <v>View</v>
      </c>
      <c r="V2162" s="14"/>
      <c r="W2162" s="14"/>
      <c r="X2162" s="14"/>
      <c r="Y2162" s="14"/>
      <c r="Z2162" s="14"/>
    </row>
    <row r="2163">
      <c r="A2163" s="11">
        <v>43844.13556712963</v>
      </c>
      <c r="B2163" s="12" t="str">
        <f>HYPERLINK("https://twitter.com/rhiannon_ford","@rhiannon_ford")</f>
        <v>@rhiannon_ford</v>
      </c>
      <c r="C2163" s="1" t="s">
        <v>9921</v>
      </c>
      <c r="D2163" s="1" t="s">
        <v>9922</v>
      </c>
      <c r="E2163" s="12" t="str">
        <f>HYPERLINK("https://twitter.com/rhiannon_ford/status/1216997180008992768","1216997180008992768")</f>
        <v>1216997180008992768</v>
      </c>
      <c r="F2163" s="13" t="s">
        <v>9923</v>
      </c>
      <c r="G2163" s="13" t="s">
        <v>9924</v>
      </c>
      <c r="H2163" s="14"/>
      <c r="I2163" s="15">
        <v>0.0</v>
      </c>
      <c r="J2163" s="15">
        <v>1.0</v>
      </c>
      <c r="K2163" s="12" t="str">
        <f>HYPERLINK("https://app.agorapulse.com","AgoraPulse Manager")</f>
        <v>AgoraPulse Manager</v>
      </c>
      <c r="L2163" s="16">
        <v>1832.0</v>
      </c>
      <c r="M2163" s="16">
        <v>2167.0</v>
      </c>
      <c r="N2163" s="16">
        <v>82.0</v>
      </c>
      <c r="O2163" s="17"/>
      <c r="P2163" s="18">
        <v>40765.24700231481</v>
      </c>
      <c r="Q2163" s="1" t="s">
        <v>9925</v>
      </c>
      <c r="R2163" s="1" t="s">
        <v>9926</v>
      </c>
      <c r="S2163" s="13" t="s">
        <v>9927</v>
      </c>
      <c r="T2163" s="14"/>
      <c r="U2163" s="19" t="str">
        <f>HYPERLINK("https://pbs.twimg.com/profile_images/1017484939523223555/MIy9KFnY.jpg","View")</f>
        <v>View</v>
      </c>
      <c r="V2163" s="14"/>
      <c r="W2163" s="14"/>
      <c r="X2163" s="14"/>
      <c r="Y2163" s="14"/>
      <c r="Z2163" s="14"/>
    </row>
    <row r="2164">
      <c r="A2164" s="11">
        <v>43844.13541666667</v>
      </c>
      <c r="B2164" s="12" t="str">
        <f>HYPERLINK("https://twitter.com/TrainingMindful","@TrainingMindful")</f>
        <v>@TrainingMindful</v>
      </c>
      <c r="C2164" s="1" t="s">
        <v>94</v>
      </c>
      <c r="D2164" s="1" t="s">
        <v>9928</v>
      </c>
      <c r="E2164" s="12" t="str">
        <f>HYPERLINK("https://twitter.com/TrainingMindful/status/1216997126653300736","1216997126653300736")</f>
        <v>1216997126653300736</v>
      </c>
      <c r="F2164" s="13" t="s">
        <v>501</v>
      </c>
      <c r="G2164" s="14"/>
      <c r="H2164" s="14"/>
      <c r="I2164" s="15">
        <v>0.0</v>
      </c>
      <c r="J2164" s="15">
        <v>3.0</v>
      </c>
      <c r="K2164" s="12" t="str">
        <f>HYPERLINK("https://www.socialoomph.com","SocialOomph")</f>
        <v>SocialOomph</v>
      </c>
      <c r="L2164" s="16">
        <v>185303.0</v>
      </c>
      <c r="M2164" s="16">
        <v>43980.0</v>
      </c>
      <c r="N2164" s="16">
        <v>2800.0</v>
      </c>
      <c r="O2164" s="17"/>
      <c r="P2164" s="18">
        <v>41286.039305555554</v>
      </c>
      <c r="Q2164" s="1" t="s">
        <v>97</v>
      </c>
      <c r="R2164" s="1" t="s">
        <v>98</v>
      </c>
      <c r="S2164" s="13" t="s">
        <v>99</v>
      </c>
      <c r="T2164" s="14"/>
      <c r="U2164" s="19" t="str">
        <f>HYPERLINK("https://pbs.twimg.com/profile_images/566526924059459584/gdMxDA9x.jpeg","View")</f>
        <v>View</v>
      </c>
      <c r="V2164" s="14"/>
      <c r="W2164" s="14"/>
      <c r="X2164" s="14"/>
      <c r="Y2164" s="14"/>
      <c r="Z2164" s="14"/>
    </row>
    <row r="2165">
      <c r="A2165" s="11">
        <v>43844.12918981482</v>
      </c>
      <c r="B2165" s="12" t="str">
        <f>HYPERLINK("https://twitter.com/Zoomlybitesized","@Zoomlybitesized")</f>
        <v>@Zoomlybitesized</v>
      </c>
      <c r="C2165" s="1" t="s">
        <v>9929</v>
      </c>
      <c r="D2165" s="1" t="s">
        <v>9930</v>
      </c>
      <c r="E2165" s="12" t="str">
        <f>HYPERLINK("https://twitter.com/Zoomlybitesized/status/1216994871438905344","1216994871438905344")</f>
        <v>1216994871438905344</v>
      </c>
      <c r="F2165" s="13" t="s">
        <v>9931</v>
      </c>
      <c r="G2165" s="13" t="s">
        <v>9932</v>
      </c>
      <c r="H2165" s="14"/>
      <c r="I2165" s="15">
        <v>0.0</v>
      </c>
      <c r="J2165" s="15">
        <v>0.0</v>
      </c>
      <c r="K2165" s="12" t="str">
        <f>HYPERLINK("https://buffer.com","Buffer")</f>
        <v>Buffer</v>
      </c>
      <c r="L2165" s="16">
        <v>429.0</v>
      </c>
      <c r="M2165" s="16">
        <v>567.0</v>
      </c>
      <c r="N2165" s="16">
        <v>39.0</v>
      </c>
      <c r="O2165" s="17"/>
      <c r="P2165" s="18">
        <v>41305.57842592592</v>
      </c>
      <c r="Q2165" s="14"/>
      <c r="R2165" s="1" t="s">
        <v>9933</v>
      </c>
      <c r="S2165" s="13" t="s">
        <v>9934</v>
      </c>
      <c r="T2165" s="14"/>
      <c r="U2165" s="19" t="str">
        <f>HYPERLINK("https://pbs.twimg.com/profile_images/433205257963728896/nqAEbNeN.jpeg","View")</f>
        <v>View</v>
      </c>
      <c r="V2165" s="14"/>
      <c r="W2165" s="14"/>
      <c r="X2165" s="14"/>
      <c r="Y2165" s="14"/>
      <c r="Z2165" s="14"/>
    </row>
    <row r="2166">
      <c r="A2166" s="11">
        <v>43844.125127314815</v>
      </c>
      <c r="B2166" s="12" t="str">
        <f>HYPERLINK("https://twitter.com/margaritamadrid","@margaritamadrid")</f>
        <v>@margaritamadrid</v>
      </c>
      <c r="C2166" s="1" t="s">
        <v>1144</v>
      </c>
      <c r="D2166" s="1" t="s">
        <v>9935</v>
      </c>
      <c r="E2166" s="12" t="str">
        <f>HYPERLINK("https://twitter.com/margaritamadrid/status/1216993400207167488","1216993400207167488")</f>
        <v>1216993400207167488</v>
      </c>
      <c r="F2166" s="13" t="s">
        <v>9936</v>
      </c>
      <c r="G2166" s="14"/>
      <c r="H2166" s="14"/>
      <c r="I2166" s="15">
        <v>0.0</v>
      </c>
      <c r="J2166" s="15">
        <v>0.0</v>
      </c>
      <c r="K2166" s="12" t="str">
        <f>HYPERLINK("https://www.socialoomph.com","SocialOomph")</f>
        <v>SocialOomph</v>
      </c>
      <c r="L2166" s="16">
        <v>254.0</v>
      </c>
      <c r="M2166" s="16">
        <v>643.0</v>
      </c>
      <c r="N2166" s="16">
        <v>4.0</v>
      </c>
      <c r="O2166" s="17"/>
      <c r="P2166" s="18">
        <v>40112.46216435185</v>
      </c>
      <c r="Q2166" s="1" t="s">
        <v>1147</v>
      </c>
      <c r="R2166" s="1" t="s">
        <v>1148</v>
      </c>
      <c r="S2166" s="13" t="s">
        <v>1149</v>
      </c>
      <c r="T2166" s="14"/>
      <c r="U2166" s="19" t="str">
        <f>HYPERLINK("https://pbs.twimg.com/profile_images/622001850796146689/O3Arqw9X.jpg","View")</f>
        <v>View</v>
      </c>
      <c r="V2166" s="14"/>
      <c r="W2166" s="14"/>
      <c r="X2166" s="14"/>
      <c r="Y2166" s="14"/>
      <c r="Z2166" s="14"/>
    </row>
    <row r="2167">
      <c r="A2167" s="11">
        <v>43844.12504629629</v>
      </c>
      <c r="B2167" s="12" t="str">
        <f>HYPERLINK("https://twitter.com/stresscoachuk","@stresscoachuk")</f>
        <v>@stresscoachuk</v>
      </c>
      <c r="C2167" s="1" t="s">
        <v>9937</v>
      </c>
      <c r="D2167" s="1" t="s">
        <v>9938</v>
      </c>
      <c r="E2167" s="12" t="str">
        <f>HYPERLINK("https://twitter.com/stresscoachuk/status/1216993369970413570","1216993369970413570")</f>
        <v>1216993369970413570</v>
      </c>
      <c r="F2167" s="13" t="s">
        <v>9939</v>
      </c>
      <c r="G2167" s="13" t="s">
        <v>9940</v>
      </c>
      <c r="H2167" s="14"/>
      <c r="I2167" s="15">
        <v>1.0</v>
      </c>
      <c r="J2167" s="15">
        <v>3.0</v>
      </c>
      <c r="K2167" s="12" t="str">
        <f>HYPERLINK("https://socialbee.io/","SocialBee.io v2")</f>
        <v>SocialBee.io v2</v>
      </c>
      <c r="L2167" s="16">
        <v>2858.0</v>
      </c>
      <c r="M2167" s="16">
        <v>2683.0</v>
      </c>
      <c r="N2167" s="16">
        <v>175.0</v>
      </c>
      <c r="O2167" s="17"/>
      <c r="P2167" s="18">
        <v>41698.68938657407</v>
      </c>
      <c r="Q2167" s="1" t="s">
        <v>7532</v>
      </c>
      <c r="R2167" s="1" t="s">
        <v>9941</v>
      </c>
      <c r="S2167" s="13" t="s">
        <v>9939</v>
      </c>
      <c r="T2167" s="14"/>
      <c r="U2167" s="19" t="str">
        <f>HYPERLINK("https://pbs.twimg.com/profile_images/1100287440814854145/7t5N3EWe.png","View")</f>
        <v>View</v>
      </c>
      <c r="V2167" s="14"/>
      <c r="W2167" s="14"/>
      <c r="X2167" s="14"/>
      <c r="Y2167" s="14"/>
      <c r="Z2167" s="14"/>
    </row>
    <row r="2168">
      <c r="A2168" s="11">
        <v>43844.12239583333</v>
      </c>
      <c r="B2168" s="12" t="str">
        <f>HYPERLINK("https://twitter.com/byChristineH","@byChristineH")</f>
        <v>@byChristineH</v>
      </c>
      <c r="C2168" s="1" t="s">
        <v>9942</v>
      </c>
      <c r="D2168" s="1" t="s">
        <v>9943</v>
      </c>
      <c r="E2168" s="12" t="str">
        <f>HYPERLINK("https://twitter.com/byChristineH/status/1216992408363245568","1216992408363245568")</f>
        <v>1216992408363245568</v>
      </c>
      <c r="F2168" s="13" t="s">
        <v>9944</v>
      </c>
      <c r="G2168" s="13" t="s">
        <v>9945</v>
      </c>
      <c r="H2168" s="14"/>
      <c r="I2168" s="15">
        <v>0.0</v>
      </c>
      <c r="J2168" s="15">
        <v>0.0</v>
      </c>
      <c r="K2168" s="12" t="str">
        <f>HYPERLINK("https://missinglettr.com","Missinglettr")</f>
        <v>Missinglettr</v>
      </c>
      <c r="L2168" s="16">
        <v>6285.0</v>
      </c>
      <c r="M2168" s="16">
        <v>5352.0</v>
      </c>
      <c r="N2168" s="16">
        <v>142.0</v>
      </c>
      <c r="O2168" s="17"/>
      <c r="P2168" s="18">
        <v>42174.56855324074</v>
      </c>
      <c r="Q2168" s="1" t="s">
        <v>9946</v>
      </c>
      <c r="R2168" s="1" t="s">
        <v>9947</v>
      </c>
      <c r="S2168" s="13" t="s">
        <v>9948</v>
      </c>
      <c r="T2168" s="14"/>
      <c r="U2168" s="19" t="str">
        <f>HYPERLINK("https://pbs.twimg.com/profile_images/1056113158853722112/MajCM98j.jpg","View")</f>
        <v>View</v>
      </c>
      <c r="V2168" s="14"/>
      <c r="W2168" s="14"/>
      <c r="X2168" s="14"/>
      <c r="Y2168" s="14"/>
      <c r="Z2168" s="14"/>
    </row>
    <row r="2169">
      <c r="A2169" s="11">
        <v>43844.11461805555</v>
      </c>
      <c r="B2169" s="12" t="str">
        <f>HYPERLINK("https://twitter.com/LouLagganCoach","@LouLagganCoach")</f>
        <v>@LouLagganCoach</v>
      </c>
      <c r="C2169" s="1" t="s">
        <v>380</v>
      </c>
      <c r="D2169" s="1" t="s">
        <v>9949</v>
      </c>
      <c r="E2169" s="12" t="str">
        <f>HYPERLINK("https://twitter.com/LouLagganCoach/status/1216989591946891265","1216989591946891265")</f>
        <v>1216989591946891265</v>
      </c>
      <c r="F2169" s="13" t="s">
        <v>9950</v>
      </c>
      <c r="G2169" s="14"/>
      <c r="H2169" s="14"/>
      <c r="I2169" s="15">
        <v>0.0</v>
      </c>
      <c r="J2169" s="15">
        <v>0.0</v>
      </c>
      <c r="K2169" s="12" t="str">
        <f>HYPERLINK("https://www.hootsuite.com","Hootsuite Inc.")</f>
        <v>Hootsuite Inc.</v>
      </c>
      <c r="L2169" s="16">
        <v>402.0</v>
      </c>
      <c r="M2169" s="16">
        <v>533.0</v>
      </c>
      <c r="N2169" s="16">
        <v>7.0</v>
      </c>
      <c r="O2169" s="17"/>
      <c r="P2169" s="18">
        <v>42465.223773148144</v>
      </c>
      <c r="Q2169" s="14"/>
      <c r="R2169" s="1" t="s">
        <v>383</v>
      </c>
      <c r="S2169" s="13" t="s">
        <v>384</v>
      </c>
      <c r="T2169" s="14"/>
      <c r="U2169" s="19" t="str">
        <f>HYPERLINK("https://pbs.twimg.com/profile_images/849569953137274880/WR6ZTgRv.jpg","View")</f>
        <v>View</v>
      </c>
      <c r="V2169" s="14"/>
      <c r="W2169" s="14"/>
      <c r="X2169" s="14"/>
      <c r="Y2169" s="14"/>
      <c r="Z2169" s="14"/>
    </row>
    <row r="2170">
      <c r="A2170" s="11">
        <v>43844.11461805555</v>
      </c>
      <c r="B2170" s="12" t="str">
        <f>HYPERLINK("https://twitter.com/RuthLRandall","@RuthLRandall")</f>
        <v>@RuthLRandall</v>
      </c>
      <c r="C2170" s="1" t="s">
        <v>6816</v>
      </c>
      <c r="D2170" s="1" t="s">
        <v>6817</v>
      </c>
      <c r="E2170" s="12" t="str">
        <f>HYPERLINK("https://twitter.com/RuthLRandall/status/1216989588364853250","1216989588364853250")</f>
        <v>1216989588364853250</v>
      </c>
      <c r="F2170" s="13" t="s">
        <v>6818</v>
      </c>
      <c r="G2170" s="13" t="s">
        <v>9951</v>
      </c>
      <c r="H2170" s="14"/>
      <c r="I2170" s="15">
        <v>0.0</v>
      </c>
      <c r="J2170" s="15">
        <v>1.0</v>
      </c>
      <c r="K2170" s="12" t="str">
        <f>HYPERLINK("https://buffer.com","Buffer")</f>
        <v>Buffer</v>
      </c>
      <c r="L2170" s="16">
        <v>1436.0</v>
      </c>
      <c r="M2170" s="16">
        <v>520.0</v>
      </c>
      <c r="N2170" s="16">
        <v>70.0</v>
      </c>
      <c r="O2170" s="17"/>
      <c r="P2170" s="18">
        <v>41286.73605324074</v>
      </c>
      <c r="Q2170" s="1" t="s">
        <v>6820</v>
      </c>
      <c r="R2170" s="1" t="s">
        <v>6821</v>
      </c>
      <c r="S2170" s="13" t="s">
        <v>6822</v>
      </c>
      <c r="T2170" s="14"/>
      <c r="U2170" s="19" t="str">
        <f>HYPERLINK("https://pbs.twimg.com/profile_images/1113875416236818433/-zI83n8e.png","View")</f>
        <v>View</v>
      </c>
      <c r="V2170" s="14"/>
      <c r="W2170" s="14"/>
      <c r="X2170" s="14"/>
      <c r="Y2170" s="14"/>
      <c r="Z2170" s="14"/>
    </row>
    <row r="2171">
      <c r="A2171" s="11">
        <v>43844.11446759259</v>
      </c>
      <c r="B2171" s="12" t="str">
        <f>HYPERLINK("https://twitter.com/OilscienceS","@OilscienceS")</f>
        <v>@OilscienceS</v>
      </c>
      <c r="C2171" s="1" t="s">
        <v>9952</v>
      </c>
      <c r="D2171" s="1" t="s">
        <v>9953</v>
      </c>
      <c r="E2171" s="12" t="str">
        <f>HYPERLINK("https://twitter.com/OilscienceS/status/1216989535969607680","1216989535969607680")</f>
        <v>1216989535969607680</v>
      </c>
      <c r="F2171" s="13" t="s">
        <v>9954</v>
      </c>
      <c r="G2171" s="13" t="s">
        <v>9955</v>
      </c>
      <c r="H2171" s="14"/>
      <c r="I2171" s="15">
        <v>1.0</v>
      </c>
      <c r="J2171" s="15">
        <v>0.0</v>
      </c>
      <c r="K2171" s="12" t="str">
        <f>HYPERLINK("http://twitter.com/download/iphone","Twitter for iPhone")</f>
        <v>Twitter for iPhone</v>
      </c>
      <c r="L2171" s="16">
        <v>34.0</v>
      </c>
      <c r="M2171" s="16">
        <v>45.0</v>
      </c>
      <c r="N2171" s="16">
        <v>0.0</v>
      </c>
      <c r="O2171" s="17"/>
      <c r="P2171" s="18">
        <v>43735.34574074074</v>
      </c>
      <c r="Q2171" s="1" t="s">
        <v>7998</v>
      </c>
      <c r="R2171" s="1" t="s">
        <v>9956</v>
      </c>
      <c r="S2171" s="13" t="s">
        <v>9954</v>
      </c>
      <c r="T2171" s="14"/>
      <c r="U2171" s="19" t="str">
        <f>HYPERLINK("https://pbs.twimg.com/profile_images/1184797490849165312/rtcPdHiK.jpg","View")</f>
        <v>View</v>
      </c>
      <c r="V2171" s="14"/>
      <c r="W2171" s="14"/>
      <c r="X2171" s="14"/>
      <c r="Y2171" s="14"/>
      <c r="Z2171" s="14"/>
    </row>
    <row r="2172">
      <c r="A2172" s="11">
        <v>43844.0968287037</v>
      </c>
      <c r="B2172" s="12" t="str">
        <f>HYPERLINK("https://twitter.com/thecrowdview","@thecrowdview")</f>
        <v>@thecrowdview</v>
      </c>
      <c r="C2172" s="1" t="s">
        <v>178</v>
      </c>
      <c r="D2172" s="1" t="s">
        <v>1964</v>
      </c>
      <c r="E2172" s="12" t="str">
        <f>HYPERLINK("https://twitter.com/thecrowdview/status/1216983141333647362","1216983141333647362")</f>
        <v>1216983141333647362</v>
      </c>
      <c r="F2172" s="13" t="s">
        <v>1965</v>
      </c>
      <c r="G2172" s="14"/>
      <c r="H2172" s="14"/>
      <c r="I2172" s="15">
        <v>0.0</v>
      </c>
      <c r="J2172" s="15">
        <v>0.0</v>
      </c>
      <c r="K2172" s="12" t="str">
        <f>HYPERLINK("http://www.thecrowdview.com","thecrowdview")</f>
        <v>thecrowdview</v>
      </c>
      <c r="L2172" s="16">
        <v>4272.0</v>
      </c>
      <c r="M2172" s="16">
        <v>1051.0</v>
      </c>
      <c r="N2172" s="16">
        <v>126.0</v>
      </c>
      <c r="O2172" s="17"/>
      <c r="P2172" s="18">
        <v>41470.69158564815</v>
      </c>
      <c r="Q2172" s="14"/>
      <c r="R2172" s="1" t="s">
        <v>181</v>
      </c>
      <c r="S2172" s="14"/>
      <c r="T2172" s="14"/>
      <c r="U2172" s="19" t="str">
        <f>HYPERLINK("https://pbs.twimg.com/profile_images/923017387221270529/WH_TgSUD.jpg","View")</f>
        <v>View</v>
      </c>
      <c r="V2172" s="14"/>
      <c r="W2172" s="14"/>
      <c r="X2172" s="14"/>
      <c r="Y2172" s="14"/>
      <c r="Z2172" s="14"/>
    </row>
    <row r="2173">
      <c r="A2173" s="11">
        <v>43844.09599537037</v>
      </c>
      <c r="B2173" s="12" t="str">
        <f>HYPERLINK("https://twitter.com/PurchasingCoach","@PurchasingCoach")</f>
        <v>@PurchasingCoach</v>
      </c>
      <c r="C2173" s="1" t="s">
        <v>9957</v>
      </c>
      <c r="D2173" s="1" t="s">
        <v>9958</v>
      </c>
      <c r="E2173" s="12" t="str">
        <f>HYPERLINK("https://twitter.com/PurchasingCoach/status/1216982842049269760","1216982842049269760")</f>
        <v>1216982842049269760</v>
      </c>
      <c r="F2173" s="1" t="s">
        <v>9959</v>
      </c>
      <c r="G2173" s="13" t="s">
        <v>9960</v>
      </c>
      <c r="H2173" s="14"/>
      <c r="I2173" s="15">
        <v>0.0</v>
      </c>
      <c r="J2173" s="15">
        <v>0.0</v>
      </c>
      <c r="K2173" s="12" t="str">
        <f>HYPERLINK("http://twitter.com/#!/download/ipad","Twitter for iPad")</f>
        <v>Twitter for iPad</v>
      </c>
      <c r="L2173" s="16">
        <v>1990.0</v>
      </c>
      <c r="M2173" s="16">
        <v>2188.0</v>
      </c>
      <c r="N2173" s="16">
        <v>109.0</v>
      </c>
      <c r="O2173" s="17"/>
      <c r="P2173" s="18">
        <v>41046.514710648145</v>
      </c>
      <c r="Q2173" s="1" t="s">
        <v>9961</v>
      </c>
      <c r="R2173" s="1" t="s">
        <v>9962</v>
      </c>
      <c r="S2173" s="13" t="s">
        <v>9963</v>
      </c>
      <c r="T2173" s="14"/>
      <c r="U2173" s="19" t="str">
        <f>HYPERLINK("https://pbs.twimg.com/profile_images/1128380778906361856/F4qiO5-Q.jpg","View")</f>
        <v>View</v>
      </c>
      <c r="V2173" s="14"/>
      <c r="W2173" s="14"/>
      <c r="X2173" s="14"/>
      <c r="Y2173" s="14"/>
      <c r="Z2173" s="14"/>
    </row>
    <row r="2174">
      <c r="A2174" s="11">
        <v>43844.094571759255</v>
      </c>
      <c r="B2174" s="12" t="str">
        <f>HYPERLINK("https://twitter.com/TheSportyKing","@TheSportyKing")</f>
        <v>@TheSportyKing</v>
      </c>
      <c r="C2174" s="1" t="s">
        <v>4705</v>
      </c>
      <c r="D2174" s="1" t="s">
        <v>9964</v>
      </c>
      <c r="E2174" s="12" t="str">
        <f>HYPERLINK("https://twitter.com/TheSportyKing/status/1216982324371447809","1216982324371447809")</f>
        <v>1216982324371447809</v>
      </c>
      <c r="F2174" s="14"/>
      <c r="G2174" s="13" t="s">
        <v>9965</v>
      </c>
      <c r="H2174" s="14"/>
      <c r="I2174" s="15">
        <v>0.0</v>
      </c>
      <c r="J2174" s="15">
        <v>1.0</v>
      </c>
      <c r="K2174" s="12" t="str">
        <f t="shared" ref="K2174:K2175" si="221">HYPERLINK("https://mobile.twitter.com","Twitter Web App")</f>
        <v>Twitter Web App</v>
      </c>
      <c r="L2174" s="16">
        <v>1238.0</v>
      </c>
      <c r="M2174" s="16">
        <v>1491.0</v>
      </c>
      <c r="N2174" s="16">
        <v>61.0</v>
      </c>
      <c r="O2174" s="17"/>
      <c r="P2174" s="18">
        <v>40265.58565972222</v>
      </c>
      <c r="Q2174" s="1" t="s">
        <v>719</v>
      </c>
      <c r="R2174" s="1" t="s">
        <v>4708</v>
      </c>
      <c r="S2174" s="13" t="s">
        <v>4709</v>
      </c>
      <c r="T2174" s="14"/>
      <c r="U2174" s="19" t="str">
        <f>HYPERLINK("https://pbs.twimg.com/profile_images/711691854496989184/4Jx32ljp.jpg","View")</f>
        <v>View</v>
      </c>
      <c r="V2174" s="14"/>
      <c r="W2174" s="14"/>
      <c r="X2174" s="14"/>
      <c r="Y2174" s="14"/>
      <c r="Z2174" s="14"/>
    </row>
    <row r="2175">
      <c r="A2175" s="11">
        <v>43844.091099537036</v>
      </c>
      <c r="B2175" s="12" t="str">
        <f>HYPERLINK("https://twitter.com/Studywithjoanne","@Studywithjoanne")</f>
        <v>@Studywithjoanne</v>
      </c>
      <c r="C2175" s="1" t="s">
        <v>3732</v>
      </c>
      <c r="D2175" s="1" t="s">
        <v>9966</v>
      </c>
      <c r="E2175" s="12" t="str">
        <f>HYPERLINK("https://twitter.com/Studywithjoanne/status/1216981067871051777","1216981067871051777")</f>
        <v>1216981067871051777</v>
      </c>
      <c r="F2175" s="13" t="s">
        <v>8016</v>
      </c>
      <c r="G2175" s="13" t="s">
        <v>9967</v>
      </c>
      <c r="H2175" s="14"/>
      <c r="I2175" s="15">
        <v>0.0</v>
      </c>
      <c r="J2175" s="15">
        <v>0.0</v>
      </c>
      <c r="K2175" s="12" t="str">
        <f t="shared" si="221"/>
        <v>Twitter Web App</v>
      </c>
      <c r="L2175" s="16">
        <v>86.0</v>
      </c>
      <c r="M2175" s="16">
        <v>100.0</v>
      </c>
      <c r="N2175" s="16">
        <v>0.0</v>
      </c>
      <c r="O2175" s="17"/>
      <c r="P2175" s="18">
        <v>43365.56454861111</v>
      </c>
      <c r="Q2175" s="1" t="s">
        <v>727</v>
      </c>
      <c r="R2175" s="1" t="s">
        <v>3736</v>
      </c>
      <c r="S2175" s="13" t="s">
        <v>3737</v>
      </c>
      <c r="T2175" s="14"/>
      <c r="U2175" s="19" t="str">
        <f>HYPERLINK("https://pbs.twimg.com/profile_images/1043553978045292544/kZrhFvvR.jpg","View")</f>
        <v>View</v>
      </c>
      <c r="V2175" s="14"/>
      <c r="W2175" s="14"/>
      <c r="X2175" s="14"/>
      <c r="Y2175" s="14"/>
      <c r="Z2175" s="14"/>
    </row>
    <row r="2176">
      <c r="A2176" s="11">
        <v>43844.08479166667</v>
      </c>
      <c r="B2176" s="12" t="str">
        <f>HYPERLINK("https://twitter.com/sostostress","@sostostress")</f>
        <v>@sostostress</v>
      </c>
      <c r="C2176" s="1" t="s">
        <v>1042</v>
      </c>
      <c r="D2176" s="1" t="s">
        <v>1477</v>
      </c>
      <c r="E2176" s="12" t="str">
        <f>HYPERLINK("https://twitter.com/sostostress/status/1216978779932938240","1216978779932938240")</f>
        <v>1216978779932938240</v>
      </c>
      <c r="F2176" s="13" t="s">
        <v>9968</v>
      </c>
      <c r="G2176" s="14"/>
      <c r="H2176" s="14"/>
      <c r="I2176" s="15">
        <v>1.0</v>
      </c>
      <c r="J2176" s="15">
        <v>0.0</v>
      </c>
      <c r="K2176" s="12" t="str">
        <f>HYPERLINK("http://www.podbean.com","Podbean Podcast")</f>
        <v>Podbean Podcast</v>
      </c>
      <c r="L2176" s="16">
        <v>333.0</v>
      </c>
      <c r="M2176" s="16">
        <v>171.0</v>
      </c>
      <c r="N2176" s="16">
        <v>46.0</v>
      </c>
      <c r="O2176" s="17"/>
      <c r="P2176" s="18">
        <v>40529.642071759255</v>
      </c>
      <c r="Q2176" s="1" t="s">
        <v>143</v>
      </c>
      <c r="R2176" s="1" t="s">
        <v>1046</v>
      </c>
      <c r="S2176" s="13" t="s">
        <v>1047</v>
      </c>
      <c r="T2176" s="14"/>
      <c r="U2176" s="19" t="str">
        <f>HYPERLINK("https://pbs.twimg.com/profile_images/1192953737/image006_pp_-_2__2_.jpg","View")</f>
        <v>View</v>
      </c>
      <c r="V2176" s="14"/>
      <c r="W2176" s="14"/>
      <c r="X2176" s="14"/>
      <c r="Y2176" s="14"/>
      <c r="Z2176" s="14"/>
    </row>
    <row r="2177">
      <c r="A2177" s="11">
        <v>43844.07976851852</v>
      </c>
      <c r="B2177" s="12" t="str">
        <f>HYPERLINK("https://twitter.com/DanielleSwanW","@DanielleSwanW")</f>
        <v>@DanielleSwanW</v>
      </c>
      <c r="C2177" s="1" t="s">
        <v>9969</v>
      </c>
      <c r="D2177" s="1" t="s">
        <v>9970</v>
      </c>
      <c r="E2177" s="12" t="str">
        <f>HYPERLINK("https://twitter.com/DanielleSwanW/status/1216976960380985344","1216976960380985344")</f>
        <v>1216976960380985344</v>
      </c>
      <c r="F2177" s="13" t="s">
        <v>9971</v>
      </c>
      <c r="G2177" s="14"/>
      <c r="H2177" s="14"/>
      <c r="I2177" s="15">
        <v>0.0</v>
      </c>
      <c r="J2177" s="15">
        <v>0.0</v>
      </c>
      <c r="K2177" s="12" t="str">
        <f>HYPERLINK("http://publicize.wp.com/","WordPress.com")</f>
        <v>WordPress.com</v>
      </c>
      <c r="L2177" s="16">
        <v>35.0</v>
      </c>
      <c r="M2177" s="16">
        <v>39.0</v>
      </c>
      <c r="N2177" s="16">
        <v>0.0</v>
      </c>
      <c r="O2177" s="17"/>
      <c r="P2177" s="18">
        <v>40361.85186342592</v>
      </c>
      <c r="Q2177" s="1" t="s">
        <v>1969</v>
      </c>
      <c r="R2177" s="1" t="s">
        <v>9972</v>
      </c>
      <c r="S2177" s="13" t="s">
        <v>9973</v>
      </c>
      <c r="T2177" s="14"/>
      <c r="U2177" s="19" t="str">
        <f>HYPERLINK("https://pbs.twimg.com/profile_images/1211639973855846402/brEnmr2z.jpg","View")</f>
        <v>View</v>
      </c>
      <c r="V2177" s="14"/>
      <c r="W2177" s="14"/>
      <c r="X2177" s="14"/>
      <c r="Y2177" s="14"/>
      <c r="Z2177" s="14"/>
    </row>
    <row r="2178">
      <c r="A2178" s="11">
        <v>43844.07642361111</v>
      </c>
      <c r="B2178" s="12" t="str">
        <f>HYPERLINK("https://twitter.com/HeadWorry","@HeadWorry")</f>
        <v>@HeadWorry</v>
      </c>
      <c r="C2178" s="1" t="s">
        <v>3431</v>
      </c>
      <c r="D2178" s="1" t="s">
        <v>3432</v>
      </c>
      <c r="E2178" s="12" t="str">
        <f>HYPERLINK("https://twitter.com/HeadWorry/status/1216975748839493639","1216975748839493639")</f>
        <v>1216975748839493639</v>
      </c>
      <c r="F2178" s="13" t="s">
        <v>3433</v>
      </c>
      <c r="G2178" s="13" t="s">
        <v>9974</v>
      </c>
      <c r="H2178" s="14"/>
      <c r="I2178" s="15">
        <v>0.0</v>
      </c>
      <c r="J2178" s="15">
        <v>0.0</v>
      </c>
      <c r="K2178" s="12" t="str">
        <f>HYPERLINK("https://social.zoho.com","Zoho Social")</f>
        <v>Zoho Social</v>
      </c>
      <c r="L2178" s="16">
        <v>33.0</v>
      </c>
      <c r="M2178" s="16">
        <v>176.0</v>
      </c>
      <c r="N2178" s="16">
        <v>0.0</v>
      </c>
      <c r="O2178" s="17"/>
      <c r="P2178" s="18">
        <v>43660.53381944445</v>
      </c>
      <c r="Q2178" s="1" t="s">
        <v>342</v>
      </c>
      <c r="R2178" s="1" t="s">
        <v>3435</v>
      </c>
      <c r="S2178" s="13" t="s">
        <v>3436</v>
      </c>
      <c r="T2178" s="14"/>
      <c r="U2178" s="19" t="str">
        <f>HYPERLINK("https://pbs.twimg.com/profile_images/1161663750950330379/ZVB_Rs9b.jpg","View")</f>
        <v>View</v>
      </c>
      <c r="V2178" s="14"/>
      <c r="W2178" s="14"/>
      <c r="X2178" s="14"/>
      <c r="Y2178" s="14"/>
      <c r="Z2178" s="14"/>
    </row>
    <row r="2179">
      <c r="A2179" s="11">
        <v>43844.06741898148</v>
      </c>
      <c r="B2179" s="12" t="str">
        <f>HYPERLINK("https://twitter.com/ThePathOfMe","@ThePathOfMe")</f>
        <v>@ThePathOfMe</v>
      </c>
      <c r="C2179" s="1" t="s">
        <v>931</v>
      </c>
      <c r="D2179" s="1" t="s">
        <v>9975</v>
      </c>
      <c r="E2179" s="12" t="str">
        <f>HYPERLINK("https://twitter.com/ThePathOfMe/status/1216972487331848192","1216972487331848192")</f>
        <v>1216972487331848192</v>
      </c>
      <c r="F2179" s="13" t="s">
        <v>1292</v>
      </c>
      <c r="G2179" s="14"/>
      <c r="H2179" s="14"/>
      <c r="I2179" s="15">
        <v>0.0</v>
      </c>
      <c r="J2179" s="15">
        <v>1.0</v>
      </c>
      <c r="K2179" s="12" t="str">
        <f>HYPERLINK("https://www.socialoomph.com","SocialOomph")</f>
        <v>SocialOomph</v>
      </c>
      <c r="L2179" s="16">
        <v>13129.0</v>
      </c>
      <c r="M2179" s="16">
        <v>11638.0</v>
      </c>
      <c r="N2179" s="16">
        <v>580.0</v>
      </c>
      <c r="O2179" s="17"/>
      <c r="P2179" s="18">
        <v>41567.04141203704</v>
      </c>
      <c r="Q2179" s="1" t="s">
        <v>934</v>
      </c>
      <c r="R2179" s="1" t="s">
        <v>935</v>
      </c>
      <c r="S2179" s="13" t="s">
        <v>936</v>
      </c>
      <c r="T2179" s="14"/>
      <c r="U2179" s="19" t="str">
        <f>HYPERLINK("https://pbs.twimg.com/profile_images/1088560942126952449/0WtZpiss.jpg","View")</f>
        <v>View</v>
      </c>
      <c r="V2179" s="14"/>
      <c r="W2179" s="14"/>
      <c r="X2179" s="14"/>
      <c r="Y2179" s="14"/>
      <c r="Z2179" s="14"/>
    </row>
    <row r="2180">
      <c r="A2180" s="11">
        <v>43844.06628472223</v>
      </c>
      <c r="B2180" s="12" t="str">
        <f>HYPERLINK("https://twitter.com/dad_hal","@dad_hal")</f>
        <v>@dad_hal</v>
      </c>
      <c r="C2180" s="1" t="s">
        <v>9976</v>
      </c>
      <c r="D2180" s="1" t="s">
        <v>9977</v>
      </c>
      <c r="E2180" s="12" t="str">
        <f>HYPERLINK("https://twitter.com/dad_hal/status/1216972076717879296","1216972076717879296")</f>
        <v>1216972076717879296</v>
      </c>
      <c r="F2180" s="14"/>
      <c r="G2180" s="14"/>
      <c r="H2180" s="14"/>
      <c r="I2180" s="15">
        <v>0.0</v>
      </c>
      <c r="J2180" s="15">
        <v>2.0</v>
      </c>
      <c r="K2180" s="12" t="str">
        <f>HYPERLINK("http://twitter.com/download/iphone","Twitter for iPhone")</f>
        <v>Twitter for iPhone</v>
      </c>
      <c r="L2180" s="16">
        <v>214.0</v>
      </c>
      <c r="M2180" s="16">
        <v>63.0</v>
      </c>
      <c r="N2180" s="16">
        <v>19.0</v>
      </c>
      <c r="O2180" s="17"/>
      <c r="P2180" s="18">
        <v>41247.37546296296</v>
      </c>
      <c r="Q2180" s="1" t="s">
        <v>9978</v>
      </c>
      <c r="R2180" s="1" t="s">
        <v>9979</v>
      </c>
      <c r="S2180" s="14"/>
      <c r="T2180" s="14"/>
      <c r="U2180" s="19" t="str">
        <f>HYPERLINK("https://pbs.twimg.com/profile_images/666021057111924736/TIaLxFrl.jpg","View")</f>
        <v>View</v>
      </c>
      <c r="V2180" s="14"/>
      <c r="W2180" s="14"/>
      <c r="X2180" s="14"/>
      <c r="Y2180" s="14"/>
      <c r="Z2180" s="14"/>
    </row>
    <row r="2181">
      <c r="A2181" s="11">
        <v>43844.06388888889</v>
      </c>
      <c r="B2181" s="12" t="str">
        <f>HYPERLINK("https://twitter.com/BugSpeaks","@BugSpeaks")</f>
        <v>@BugSpeaks</v>
      </c>
      <c r="C2181" s="1" t="s">
        <v>8064</v>
      </c>
      <c r="D2181" s="1" t="s">
        <v>9980</v>
      </c>
      <c r="E2181" s="12" t="str">
        <f>HYPERLINK("https://twitter.com/BugSpeaks/status/1216971207683100674","1216971207683100674")</f>
        <v>1216971207683100674</v>
      </c>
      <c r="F2181" s="13" t="s">
        <v>9981</v>
      </c>
      <c r="G2181" s="14"/>
      <c r="H2181" s="14"/>
      <c r="I2181" s="15">
        <v>3.0</v>
      </c>
      <c r="J2181" s="15">
        <v>0.0</v>
      </c>
      <c r="K2181" s="12" t="str">
        <f>HYPERLINK("https://drumup.io","drumup.io")</f>
        <v>drumup.io</v>
      </c>
      <c r="L2181" s="16">
        <v>183.0</v>
      </c>
      <c r="M2181" s="16">
        <v>140.0</v>
      </c>
      <c r="N2181" s="16">
        <v>2.0</v>
      </c>
      <c r="O2181" s="17"/>
      <c r="P2181" s="18">
        <v>43248.53090277778</v>
      </c>
      <c r="Q2181" s="1" t="s">
        <v>72</v>
      </c>
      <c r="R2181" s="1" t="s">
        <v>8067</v>
      </c>
      <c r="S2181" s="13" t="s">
        <v>8068</v>
      </c>
      <c r="T2181" s="14"/>
      <c r="U2181" s="19" t="str">
        <f>HYPERLINK("https://pbs.twimg.com/profile_images/1098533980926763008/lSi9rJM5.png","View")</f>
        <v>View</v>
      </c>
      <c r="V2181" s="14"/>
      <c r="W2181" s="14"/>
      <c r="X2181" s="14"/>
      <c r="Y2181" s="14"/>
      <c r="Z2181" s="14"/>
    </row>
    <row r="2182">
      <c r="A2182" s="11">
        <v>43844.0603587963</v>
      </c>
      <c r="B2182" s="12" t="str">
        <f>HYPERLINK("https://twitter.com/RandomAlaskan","@RandomAlaskan")</f>
        <v>@RandomAlaskan</v>
      </c>
      <c r="C2182" s="1" t="s">
        <v>9982</v>
      </c>
      <c r="D2182" s="1" t="s">
        <v>9983</v>
      </c>
      <c r="E2182" s="12" t="str">
        <f>HYPERLINK("https://twitter.com/RandomAlaskan/status/1216969926964961280","1216969926964961280")</f>
        <v>1216969926964961280</v>
      </c>
      <c r="F2182" s="14"/>
      <c r="G2182" s="14"/>
      <c r="H2182" s="14"/>
      <c r="I2182" s="15">
        <v>0.0</v>
      </c>
      <c r="J2182" s="15">
        <v>4.0</v>
      </c>
      <c r="K2182" s="12" t="str">
        <f>HYPERLINK("http://twitter.com/download/iphone","Twitter for iPhone")</f>
        <v>Twitter for iPhone</v>
      </c>
      <c r="L2182" s="16">
        <v>665.0</v>
      </c>
      <c r="M2182" s="16">
        <v>1308.0</v>
      </c>
      <c r="N2182" s="16">
        <v>38.0</v>
      </c>
      <c r="O2182" s="17"/>
      <c r="P2182" s="18">
        <v>40039.110543981486</v>
      </c>
      <c r="Q2182" s="1" t="s">
        <v>9984</v>
      </c>
      <c r="R2182" s="1" t="s">
        <v>9985</v>
      </c>
      <c r="S2182" s="14"/>
      <c r="T2182" s="14"/>
      <c r="U2182" s="19" t="str">
        <f>HYPERLINK("https://pbs.twimg.com/profile_images/1164538506/Back_of_Head.jpg","View")</f>
        <v>View</v>
      </c>
      <c r="V2182" s="14"/>
      <c r="W2182" s="14"/>
      <c r="X2182" s="14"/>
      <c r="Y2182" s="14"/>
      <c r="Z2182" s="14"/>
    </row>
    <row r="2183">
      <c r="A2183" s="11">
        <v>43844.055625</v>
      </c>
      <c r="B2183" s="12" t="str">
        <f>HYPERLINK("https://twitter.com/jennyrappbefree","@jennyrappbefree")</f>
        <v>@jennyrappbefree</v>
      </c>
      <c r="C2183" s="1" t="s">
        <v>9066</v>
      </c>
      <c r="D2183" s="1" t="s">
        <v>9067</v>
      </c>
      <c r="E2183" s="12" t="str">
        <f>HYPERLINK("https://twitter.com/jennyrappbefree/status/1216968210035236864","1216968210035236864")</f>
        <v>1216968210035236864</v>
      </c>
      <c r="F2183" s="1" t="s">
        <v>9068</v>
      </c>
      <c r="G2183" s="13" t="s">
        <v>9986</v>
      </c>
      <c r="H2183" s="14"/>
      <c r="I2183" s="15">
        <v>0.0</v>
      </c>
      <c r="J2183" s="15">
        <v>0.0</v>
      </c>
      <c r="K2183" s="12" t="str">
        <f>HYPERLINK("https://mobile.twitter.com","Twitter Web App")</f>
        <v>Twitter Web App</v>
      </c>
      <c r="L2183" s="16">
        <v>22.0</v>
      </c>
      <c r="M2183" s="16">
        <v>0.0</v>
      </c>
      <c r="N2183" s="16">
        <v>0.0</v>
      </c>
      <c r="O2183" s="17"/>
      <c r="P2183" s="18">
        <v>43300.684687500005</v>
      </c>
      <c r="Q2183" s="1" t="s">
        <v>9070</v>
      </c>
      <c r="R2183" s="1" t="s">
        <v>9071</v>
      </c>
      <c r="S2183" s="13" t="s">
        <v>9072</v>
      </c>
      <c r="T2183" s="14"/>
      <c r="U2183" s="19" t="str">
        <f>HYPERLINK("https://pbs.twimg.com/profile_images/1025668755005812736/AVzOLBsl.jpg","View")</f>
        <v>View</v>
      </c>
      <c r="V2183" s="14"/>
      <c r="W2183" s="14"/>
      <c r="X2183" s="14"/>
      <c r="Y2183" s="14"/>
      <c r="Z2183" s="14"/>
    </row>
    <row r="2184">
      <c r="A2184" s="11">
        <v>43844.052256944444</v>
      </c>
      <c r="B2184" s="12" t="str">
        <f>HYPERLINK("https://twitter.com/KarenDocter","@KarenDocter")</f>
        <v>@KarenDocter</v>
      </c>
      <c r="C2184" s="1" t="s">
        <v>9987</v>
      </c>
      <c r="D2184" s="1" t="s">
        <v>9988</v>
      </c>
      <c r="E2184" s="12" t="str">
        <f>HYPERLINK("https://twitter.com/KarenDocter/status/1216966992516784133","1216966992516784133")</f>
        <v>1216966992516784133</v>
      </c>
      <c r="F2184" s="13" t="s">
        <v>9989</v>
      </c>
      <c r="G2184" s="14"/>
      <c r="H2184" s="14"/>
      <c r="I2184" s="15">
        <v>0.0</v>
      </c>
      <c r="J2184" s="15">
        <v>0.0</v>
      </c>
      <c r="K2184" s="12" t="str">
        <f>HYPERLINK("https://www.socialjukebox.com","The Social Jukebox")</f>
        <v>The Social Jukebox</v>
      </c>
      <c r="L2184" s="16">
        <v>13214.0</v>
      </c>
      <c r="M2184" s="16">
        <v>8867.0</v>
      </c>
      <c r="N2184" s="16">
        <v>562.0</v>
      </c>
      <c r="O2184" s="17"/>
      <c r="P2184" s="18">
        <v>40663.9597337963</v>
      </c>
      <c r="Q2184" s="1" t="s">
        <v>9990</v>
      </c>
      <c r="R2184" s="1" t="s">
        <v>9991</v>
      </c>
      <c r="S2184" s="13" t="s">
        <v>9992</v>
      </c>
      <c r="T2184" s="14"/>
      <c r="U2184" s="19" t="str">
        <f>HYPERLINK("https://pbs.twimg.com/profile_images/643470886222196736/BY5kg-2Q.jpg","View")</f>
        <v>View</v>
      </c>
      <c r="V2184" s="14"/>
      <c r="W2184" s="14"/>
      <c r="X2184" s="14"/>
      <c r="Y2184" s="14"/>
      <c r="Z2184" s="14"/>
    </row>
    <row r="2185">
      <c r="A2185" s="11">
        <v>43844.05158564815</v>
      </c>
      <c r="B2185" s="12" t="str">
        <f>HYPERLINK("https://twitter.com/____hak__","@____hak__")</f>
        <v>@____hak__</v>
      </c>
      <c r="C2185" s="1" t="s">
        <v>9993</v>
      </c>
      <c r="D2185" s="1" t="s">
        <v>9994</v>
      </c>
      <c r="E2185" s="12" t="str">
        <f>HYPERLINK("https://twitter.com/____hak__/status/1216966745967284224","1216966745967284224")</f>
        <v>1216966745967284224</v>
      </c>
      <c r="F2185" s="14"/>
      <c r="G2185" s="14"/>
      <c r="H2185" s="14"/>
      <c r="I2185" s="15">
        <v>0.0</v>
      </c>
      <c r="J2185" s="15">
        <v>0.0</v>
      </c>
      <c r="K2185" s="12" t="str">
        <f>HYPERLINK("http://twitter.com/download/iphone","Twitter for iPhone")</f>
        <v>Twitter for iPhone</v>
      </c>
      <c r="L2185" s="16">
        <v>1982.0</v>
      </c>
      <c r="M2185" s="16">
        <v>1460.0</v>
      </c>
      <c r="N2185" s="16">
        <v>10.0</v>
      </c>
      <c r="O2185" s="17"/>
      <c r="P2185" s="18">
        <v>41730.89004629629</v>
      </c>
      <c r="Q2185" s="1" t="s">
        <v>9995</v>
      </c>
      <c r="R2185" s="1" t="s">
        <v>9996</v>
      </c>
      <c r="S2185" s="13" t="s">
        <v>9997</v>
      </c>
      <c r="T2185" s="14"/>
      <c r="U2185" s="19" t="str">
        <f>HYPERLINK("https://pbs.twimg.com/profile_images/1209268914787667968/T23q7BB2.jpg","View")</f>
        <v>View</v>
      </c>
      <c r="V2185" s="14"/>
      <c r="W2185" s="14"/>
      <c r="X2185" s="14"/>
      <c r="Y2185" s="14"/>
      <c r="Z2185" s="14"/>
    </row>
    <row r="2186">
      <c r="A2186" s="11">
        <v>43844.04400462963</v>
      </c>
      <c r="B2186" s="12" t="str">
        <f>HYPERLINK("https://twitter.com/tanyajpeterson1","@tanyajpeterson1")</f>
        <v>@tanyajpeterson1</v>
      </c>
      <c r="C2186" s="1" t="s">
        <v>9998</v>
      </c>
      <c r="D2186" s="1" t="s">
        <v>9999</v>
      </c>
      <c r="E2186" s="12" t="str">
        <f>HYPERLINK("https://twitter.com/tanyajpeterson1/status/1216964000111583233","1216964000111583233")</f>
        <v>1216964000111583233</v>
      </c>
      <c r="F2186" s="13" t="s">
        <v>10000</v>
      </c>
      <c r="G2186" s="13" t="s">
        <v>10001</v>
      </c>
      <c r="H2186" s="14"/>
      <c r="I2186" s="15">
        <v>0.0</v>
      </c>
      <c r="J2186" s="15">
        <v>0.0</v>
      </c>
      <c r="K2186" s="12" t="str">
        <f>HYPERLINK("https://www.socialoomph.com","SocialOomph")</f>
        <v>SocialOomph</v>
      </c>
      <c r="L2186" s="16">
        <v>6234.0</v>
      </c>
      <c r="M2186" s="16">
        <v>6099.0</v>
      </c>
      <c r="N2186" s="16">
        <v>428.0</v>
      </c>
      <c r="O2186" s="17"/>
      <c r="P2186" s="18">
        <v>40541.95980324074</v>
      </c>
      <c r="Q2186" s="1" t="s">
        <v>10002</v>
      </c>
      <c r="R2186" s="1" t="s">
        <v>10003</v>
      </c>
      <c r="S2186" s="13" t="s">
        <v>10004</v>
      </c>
      <c r="T2186" s="14"/>
      <c r="U2186" s="19" t="str">
        <f>HYPERLINK("https://pbs.twimg.com/profile_images/938253562437550080/Qqz0uxJN.jpg","View")</f>
        <v>View</v>
      </c>
      <c r="V2186" s="14"/>
      <c r="W2186" s="14"/>
      <c r="X2186" s="14"/>
      <c r="Y2186" s="14"/>
      <c r="Z2186" s="14"/>
    </row>
    <row r="2187">
      <c r="A2187" s="11">
        <v>43844.04252314815</v>
      </c>
      <c r="B2187" s="12" t="str">
        <f>HYPERLINK("https://twitter.com/asliverarrow","@asliverarrow")</f>
        <v>@asliverarrow</v>
      </c>
      <c r="C2187" s="1" t="s">
        <v>10005</v>
      </c>
      <c r="D2187" s="1" t="s">
        <v>10006</v>
      </c>
      <c r="E2187" s="12" t="str">
        <f>HYPERLINK("https://twitter.com/asliverarrow/status/1216963463223726082","1216963463223726082")</f>
        <v>1216963463223726082</v>
      </c>
      <c r="F2187" s="14"/>
      <c r="G2187" s="14"/>
      <c r="H2187" s="14"/>
      <c r="I2187" s="15">
        <v>0.0</v>
      </c>
      <c r="J2187" s="15">
        <v>0.0</v>
      </c>
      <c r="K2187" s="12" t="str">
        <f>HYPERLINK("http://twitter.com/download/iphone","Twitter for iPhone")</f>
        <v>Twitter for iPhone</v>
      </c>
      <c r="L2187" s="16">
        <v>60.0</v>
      </c>
      <c r="M2187" s="16">
        <v>3.0</v>
      </c>
      <c r="N2187" s="16">
        <v>2.0</v>
      </c>
      <c r="O2187" s="17"/>
      <c r="P2187" s="18">
        <v>40253.924675925926</v>
      </c>
      <c r="Q2187" s="1" t="s">
        <v>10007</v>
      </c>
      <c r="R2187" s="1" t="s">
        <v>10008</v>
      </c>
      <c r="S2187" s="14"/>
      <c r="T2187" s="14"/>
      <c r="U2187" s="19" t="str">
        <f>HYPERLINK("https://pbs.twimg.com/profile_images/1191051458348638209/4MCD0B7h.jpg","View")</f>
        <v>View</v>
      </c>
      <c r="V2187" s="14"/>
      <c r="W2187" s="14"/>
      <c r="X2187" s="14"/>
      <c r="Y2187" s="14"/>
      <c r="Z2187" s="14"/>
    </row>
    <row r="2188">
      <c r="A2188" s="11">
        <v>43844.038888888885</v>
      </c>
      <c r="B2188" s="12" t="str">
        <f>HYPERLINK("https://twitter.com/asterbangalore","@asterbangalore")</f>
        <v>@asterbangalore</v>
      </c>
      <c r="C2188" s="1" t="s">
        <v>10009</v>
      </c>
      <c r="D2188" s="1" t="s">
        <v>10010</v>
      </c>
      <c r="E2188" s="12" t="str">
        <f>HYPERLINK("https://twitter.com/asterbangalore/status/1216962148573667329","1216962148573667329")</f>
        <v>1216962148573667329</v>
      </c>
      <c r="F2188" s="14"/>
      <c r="G2188" s="13" t="s">
        <v>10011</v>
      </c>
      <c r="H2188" s="14"/>
      <c r="I2188" s="15">
        <v>0.0</v>
      </c>
      <c r="J2188" s="15">
        <v>0.0</v>
      </c>
      <c r="K2188" s="12" t="str">
        <f t="shared" ref="K2188:K2189" si="222">HYPERLINK("https://mobile.twitter.com","Twitter Web App")</f>
        <v>Twitter Web App</v>
      </c>
      <c r="L2188" s="16">
        <v>254.0</v>
      </c>
      <c r="M2188" s="16">
        <v>19.0</v>
      </c>
      <c r="N2188" s="16">
        <v>15.0</v>
      </c>
      <c r="O2188" s="17"/>
      <c r="P2188" s="18">
        <v>42506.212106481486</v>
      </c>
      <c r="Q2188" s="1" t="s">
        <v>72</v>
      </c>
      <c r="R2188" s="1" t="s">
        <v>10012</v>
      </c>
      <c r="S2188" s="13" t="s">
        <v>10013</v>
      </c>
      <c r="T2188" s="14"/>
      <c r="U2188" s="19" t="str">
        <f>HYPERLINK("https://pbs.twimg.com/profile_images/1155801140757291010/38WoMJts.png","View")</f>
        <v>View</v>
      </c>
      <c r="V2188" s="14"/>
      <c r="W2188" s="14"/>
      <c r="X2188" s="14"/>
      <c r="Y2188" s="14"/>
      <c r="Z2188" s="14"/>
    </row>
    <row r="2189">
      <c r="A2189" s="11">
        <v>43844.03818287037</v>
      </c>
      <c r="B2189" s="12" t="str">
        <f>HYPERLINK("https://twitter.com/YatanAyurveda","@YatanAyurveda")</f>
        <v>@YatanAyurveda</v>
      </c>
      <c r="C2189" s="1" t="s">
        <v>10014</v>
      </c>
      <c r="D2189" s="1" t="s">
        <v>10015</v>
      </c>
      <c r="E2189" s="12" t="str">
        <f>HYPERLINK("https://twitter.com/YatanAyurveda/status/1216961892138094594","1216961892138094594")</f>
        <v>1216961892138094594</v>
      </c>
      <c r="F2189" s="13" t="s">
        <v>10016</v>
      </c>
      <c r="G2189" s="13" t="s">
        <v>10017</v>
      </c>
      <c r="H2189" s="14"/>
      <c r="I2189" s="15">
        <v>0.0</v>
      </c>
      <c r="J2189" s="15">
        <v>1.0</v>
      </c>
      <c r="K2189" s="12" t="str">
        <f t="shared" si="222"/>
        <v>Twitter Web App</v>
      </c>
      <c r="L2189" s="16">
        <v>3042.0</v>
      </c>
      <c r="M2189" s="16">
        <v>1912.0</v>
      </c>
      <c r="N2189" s="16">
        <v>33.0</v>
      </c>
      <c r="O2189" s="17"/>
      <c r="P2189" s="18">
        <v>40459.30556712963</v>
      </c>
      <c r="Q2189" s="1" t="s">
        <v>33</v>
      </c>
      <c r="R2189" s="1" t="s">
        <v>10018</v>
      </c>
      <c r="S2189" s="13" t="s">
        <v>10019</v>
      </c>
      <c r="T2189" s="14"/>
      <c r="U2189" s="19" t="str">
        <f>HYPERLINK("https://pbs.twimg.com/profile_images/2795690306/010ba0945a52d89479b512d161e6e79d.jpeg","View")</f>
        <v>View</v>
      </c>
      <c r="V2189" s="14"/>
      <c r="W2189" s="14"/>
      <c r="X2189" s="14"/>
      <c r="Y2189" s="14"/>
      <c r="Z2189" s="14"/>
    </row>
    <row r="2190">
      <c r="A2190" s="11">
        <v>43844.027337962965</v>
      </c>
      <c r="B2190" s="12" t="str">
        <f>HYPERLINK("https://twitter.com/natural_rem","@natural_rem")</f>
        <v>@natural_rem</v>
      </c>
      <c r="C2190" s="1" t="s">
        <v>10020</v>
      </c>
      <c r="D2190" s="1" t="s">
        <v>10021</v>
      </c>
      <c r="E2190" s="12" t="str">
        <f>HYPERLINK("https://twitter.com/natural_rem/status/1216957960901091330","1216957960901091330")</f>
        <v>1216957960901091330</v>
      </c>
      <c r="F2190" s="1" t="s">
        <v>10022</v>
      </c>
      <c r="G2190" s="13" t="s">
        <v>10023</v>
      </c>
      <c r="H2190" s="14"/>
      <c r="I2190" s="15">
        <v>3.0</v>
      </c>
      <c r="J2190" s="15">
        <v>2.0</v>
      </c>
      <c r="K2190" s="12" t="str">
        <f>HYPERLINK("https://zefiroplatform.com/","TheSocialGagev2")</f>
        <v>TheSocialGagev2</v>
      </c>
      <c r="L2190" s="16">
        <v>1308.0</v>
      </c>
      <c r="M2190" s="16">
        <v>2697.0</v>
      </c>
      <c r="N2190" s="16">
        <v>38.0</v>
      </c>
      <c r="O2190" s="17"/>
      <c r="P2190" s="18">
        <v>42619.50521990741</v>
      </c>
      <c r="Q2190" s="1" t="s">
        <v>10024</v>
      </c>
      <c r="R2190" s="1" t="s">
        <v>10025</v>
      </c>
      <c r="S2190" s="13" t="s">
        <v>10026</v>
      </c>
      <c r="T2190" s="14"/>
      <c r="U2190" s="19" t="str">
        <f>HYPERLINK("https://pbs.twimg.com/profile_images/773210038747951104/zL4AANGP.jpg","View")</f>
        <v>View</v>
      </c>
      <c r="V2190" s="14"/>
      <c r="W2190" s="14"/>
      <c r="X2190" s="14"/>
      <c r="Y2190" s="14"/>
      <c r="Z2190" s="14"/>
    </row>
    <row r="2191">
      <c r="A2191" s="11">
        <v>43844.0264699074</v>
      </c>
      <c r="B2191" s="12" t="str">
        <f>HYPERLINK("https://twitter.com/renascencemusic","@renascencemusic")</f>
        <v>@renascencemusic</v>
      </c>
      <c r="C2191" s="1" t="s">
        <v>247</v>
      </c>
      <c r="D2191" s="1" t="s">
        <v>10027</v>
      </c>
      <c r="E2191" s="12" t="str">
        <f>HYPERLINK("https://twitter.com/renascencemusic/status/1216957645711724544","1216957645711724544")</f>
        <v>1216957645711724544</v>
      </c>
      <c r="F2191" s="13" t="s">
        <v>2487</v>
      </c>
      <c r="G2191" s="13" t="s">
        <v>10028</v>
      </c>
      <c r="H2191" s="14"/>
      <c r="I2191" s="15">
        <v>0.0</v>
      </c>
      <c r="J2191" s="15">
        <v>0.0</v>
      </c>
      <c r="K2191" s="12" t="str">
        <f>HYPERLINK("https://www.socialoomph.com","SocialOomph")</f>
        <v>SocialOomph</v>
      </c>
      <c r="L2191" s="16">
        <v>13031.0</v>
      </c>
      <c r="M2191" s="16">
        <v>11650.0</v>
      </c>
      <c r="N2191" s="16">
        <v>219.0</v>
      </c>
      <c r="O2191" s="17"/>
      <c r="P2191" s="18">
        <v>42470.67052083333</v>
      </c>
      <c r="Q2191" s="1" t="s">
        <v>251</v>
      </c>
      <c r="R2191" s="1" t="s">
        <v>252</v>
      </c>
      <c r="S2191" s="13" t="s">
        <v>253</v>
      </c>
      <c r="T2191" s="14"/>
      <c r="U2191" s="19" t="str">
        <f>HYPERLINK("https://pbs.twimg.com/profile_images/1123407512743612416/g721ra2J.png","View")</f>
        <v>View</v>
      </c>
      <c r="V2191" s="14"/>
      <c r="W2191" s="14"/>
      <c r="X2191" s="14"/>
      <c r="Y2191" s="14"/>
      <c r="Z2191" s="14"/>
    </row>
    <row r="2192">
      <c r="A2192" s="11">
        <v>43844.02515046296</v>
      </c>
      <c r="B2192" s="12" t="str">
        <f>HYPERLINK("https://twitter.com/IncomeRoute","@IncomeRoute")</f>
        <v>@IncomeRoute</v>
      </c>
      <c r="C2192" s="1" t="s">
        <v>5763</v>
      </c>
      <c r="D2192" s="1" t="s">
        <v>1427</v>
      </c>
      <c r="E2192" s="12" t="str">
        <f>HYPERLINK("https://twitter.com/IncomeRoute/status/1216957167019995136","1216957167019995136")</f>
        <v>1216957167019995136</v>
      </c>
      <c r="F2192" s="13" t="s">
        <v>1428</v>
      </c>
      <c r="G2192" s="13" t="s">
        <v>10029</v>
      </c>
      <c r="H2192" s="14"/>
      <c r="I2192" s="15">
        <v>0.0</v>
      </c>
      <c r="J2192" s="15">
        <v>0.0</v>
      </c>
      <c r="K2192" s="12" t="str">
        <f>HYPERLINK("https://www.socialjukebox.com","The Social Jukebox")</f>
        <v>The Social Jukebox</v>
      </c>
      <c r="L2192" s="16">
        <v>652.0</v>
      </c>
      <c r="M2192" s="16">
        <v>2570.0</v>
      </c>
      <c r="N2192" s="16">
        <v>8.0</v>
      </c>
      <c r="O2192" s="17"/>
      <c r="P2192" s="18">
        <v>40764.78619212963</v>
      </c>
      <c r="Q2192" s="1" t="s">
        <v>5765</v>
      </c>
      <c r="R2192" s="1" t="s">
        <v>5766</v>
      </c>
      <c r="S2192" s="13" t="s">
        <v>5767</v>
      </c>
      <c r="T2192" s="14"/>
      <c r="U2192" s="19" t="str">
        <f>HYPERLINK("https://pbs.twimg.com/profile_images/1215053368370003970/m2uEHDtP.jpg","View")</f>
        <v>View</v>
      </c>
      <c r="V2192" s="14"/>
      <c r="W2192" s="14"/>
      <c r="X2192" s="14"/>
      <c r="Y2192" s="14"/>
      <c r="Z2192" s="14"/>
    </row>
    <row r="2193">
      <c r="A2193" s="11">
        <v>43844.02085648148</v>
      </c>
      <c r="B2193" s="12" t="str">
        <f>HYPERLINK("https://twitter.com/scrufton73","@scrufton73")</f>
        <v>@scrufton73</v>
      </c>
      <c r="C2193" s="1" t="s">
        <v>10030</v>
      </c>
      <c r="D2193" s="1" t="s">
        <v>10031</v>
      </c>
      <c r="E2193" s="12" t="str">
        <f>HYPERLINK("https://twitter.com/scrufton73/status/1216955610450878465","1216955610450878465")</f>
        <v>1216955610450878465</v>
      </c>
      <c r="F2193" s="13" t="s">
        <v>10032</v>
      </c>
      <c r="G2193" s="14"/>
      <c r="H2193" s="14"/>
      <c r="I2193" s="15">
        <v>0.0</v>
      </c>
      <c r="J2193" s="15">
        <v>1.0</v>
      </c>
      <c r="K2193" s="12" t="str">
        <f>HYPERLINK("http://twitter.com","Twitter Web Client")</f>
        <v>Twitter Web Client</v>
      </c>
      <c r="L2193" s="16">
        <v>1963.0</v>
      </c>
      <c r="M2193" s="16">
        <v>2583.0</v>
      </c>
      <c r="N2193" s="16">
        <v>75.0</v>
      </c>
      <c r="O2193" s="17"/>
      <c r="P2193" s="18">
        <v>41714.12277777778</v>
      </c>
      <c r="Q2193" s="1" t="s">
        <v>10033</v>
      </c>
      <c r="R2193" s="1" t="s">
        <v>10034</v>
      </c>
      <c r="S2193" s="13" t="s">
        <v>10035</v>
      </c>
      <c r="T2193" s="14"/>
      <c r="U2193" s="19" t="str">
        <f>HYPERLINK("https://pbs.twimg.com/profile_images/1169961850685001728/4h9a_ZtN.jpg","View")</f>
        <v>View</v>
      </c>
      <c r="V2193" s="14"/>
      <c r="W2193" s="14"/>
      <c r="X2193" s="14"/>
      <c r="Y2193" s="14"/>
      <c r="Z2193" s="14"/>
    </row>
    <row r="2194">
      <c r="A2194" s="11">
        <v>43844.01520833334</v>
      </c>
      <c r="B2194" s="12" t="str">
        <f>HYPERLINK("https://twitter.com/HeartCongress","@HeartCongress")</f>
        <v>@HeartCongress</v>
      </c>
      <c r="C2194" s="1" t="s">
        <v>10036</v>
      </c>
      <c r="D2194" s="1" t="s">
        <v>10037</v>
      </c>
      <c r="E2194" s="12" t="str">
        <f>HYPERLINK("https://twitter.com/HeartCongress/status/1216953566843162625","1216953566843162625")</f>
        <v>1216953566843162625</v>
      </c>
      <c r="F2194" s="14"/>
      <c r="G2194" s="13" t="s">
        <v>10038</v>
      </c>
      <c r="H2194" s="14"/>
      <c r="I2194" s="15">
        <v>0.0</v>
      </c>
      <c r="J2194" s="15">
        <v>0.0</v>
      </c>
      <c r="K2194" s="12" t="str">
        <f t="shared" ref="K2194:K2198" si="223">HYPERLINK("https://mobile.twitter.com","Twitter Web App")</f>
        <v>Twitter Web App</v>
      </c>
      <c r="L2194" s="16">
        <v>805.0</v>
      </c>
      <c r="M2194" s="16">
        <v>2420.0</v>
      </c>
      <c r="N2194" s="16">
        <v>3.0</v>
      </c>
      <c r="O2194" s="17"/>
      <c r="P2194" s="18">
        <v>42684.01703703703</v>
      </c>
      <c r="Q2194" s="1" t="s">
        <v>4997</v>
      </c>
      <c r="R2194" s="1" t="s">
        <v>10039</v>
      </c>
      <c r="S2194" s="13" t="s">
        <v>10040</v>
      </c>
      <c r="T2194" s="14"/>
      <c r="U2194" s="19" t="str">
        <f>HYPERLINK("https://pbs.twimg.com/profile_images/1166241766103633920/3M-4ENax.png","View")</f>
        <v>View</v>
      </c>
      <c r="V2194" s="14"/>
      <c r="W2194" s="14"/>
      <c r="X2194" s="14"/>
      <c r="Y2194" s="14"/>
      <c r="Z2194" s="14"/>
    </row>
    <row r="2195">
      <c r="A2195" s="11">
        <v>43843.99563657407</v>
      </c>
      <c r="B2195" s="12" t="str">
        <f>HYPERLINK("https://twitter.com/PlanetHealthTV","@PlanetHealthTV")</f>
        <v>@PlanetHealthTV</v>
      </c>
      <c r="C2195" s="1" t="s">
        <v>3781</v>
      </c>
      <c r="D2195" s="1" t="s">
        <v>10041</v>
      </c>
      <c r="E2195" s="12" t="str">
        <f>HYPERLINK("https://twitter.com/PlanetHealthTV/status/1216946471615877122","1216946471615877122")</f>
        <v>1216946471615877122</v>
      </c>
      <c r="F2195" s="14"/>
      <c r="G2195" s="14"/>
      <c r="H2195" s="14"/>
      <c r="I2195" s="15">
        <v>0.0</v>
      </c>
      <c r="J2195" s="15">
        <v>0.0</v>
      </c>
      <c r="K2195" s="12" t="str">
        <f t="shared" si="223"/>
        <v>Twitter Web App</v>
      </c>
      <c r="L2195" s="16">
        <v>88.0</v>
      </c>
      <c r="M2195" s="16">
        <v>408.0</v>
      </c>
      <c r="N2195" s="16">
        <v>1.0</v>
      </c>
      <c r="O2195" s="17"/>
      <c r="P2195" s="18">
        <v>42821.33644675926</v>
      </c>
      <c r="Q2195" s="1" t="s">
        <v>691</v>
      </c>
      <c r="R2195" s="1" t="s">
        <v>3783</v>
      </c>
      <c r="S2195" s="13" t="s">
        <v>3784</v>
      </c>
      <c r="T2195" s="14"/>
      <c r="U2195" s="19" t="str">
        <f>HYPERLINK("https://pbs.twimg.com/profile_images/846335726497120257/RLpCbk2L.jpg","View")</f>
        <v>View</v>
      </c>
      <c r="V2195" s="14"/>
      <c r="W2195" s="14"/>
      <c r="X2195" s="14"/>
      <c r="Y2195" s="14"/>
      <c r="Z2195" s="14"/>
    </row>
    <row r="2196">
      <c r="A2196" s="11">
        <v>43843.984814814816</v>
      </c>
      <c r="B2196" s="12" t="str">
        <f>HYPERLINK("https://twitter.com/SoIsFibroReal","@SoIsFibroReal")</f>
        <v>@SoIsFibroReal</v>
      </c>
      <c r="C2196" s="1" t="s">
        <v>1543</v>
      </c>
      <c r="D2196" s="1" t="s">
        <v>10042</v>
      </c>
      <c r="E2196" s="12" t="str">
        <f>HYPERLINK("https://twitter.com/SoIsFibroReal/status/1216942551757918208","1216942551757918208")</f>
        <v>1216942551757918208</v>
      </c>
      <c r="F2196" s="13" t="s">
        <v>10043</v>
      </c>
      <c r="G2196" s="14"/>
      <c r="H2196" s="14"/>
      <c r="I2196" s="15">
        <v>1.0</v>
      </c>
      <c r="J2196" s="15">
        <v>3.0</v>
      </c>
      <c r="K2196" s="12" t="str">
        <f t="shared" si="223"/>
        <v>Twitter Web App</v>
      </c>
      <c r="L2196" s="16">
        <v>4890.0</v>
      </c>
      <c r="M2196" s="16">
        <v>5373.0</v>
      </c>
      <c r="N2196" s="16">
        <v>38.0</v>
      </c>
      <c r="O2196" s="17"/>
      <c r="P2196" s="18">
        <v>42783.583125000005</v>
      </c>
      <c r="Q2196" s="1" t="s">
        <v>143</v>
      </c>
      <c r="R2196" s="1" t="s">
        <v>1546</v>
      </c>
      <c r="S2196" s="13" t="s">
        <v>1547</v>
      </c>
      <c r="T2196" s="14"/>
      <c r="U2196" s="19" t="str">
        <f>HYPERLINK("https://pbs.twimg.com/profile_images/833390340778422278/g2ya39PE.jpg","View")</f>
        <v>View</v>
      </c>
      <c r="V2196" s="14"/>
      <c r="W2196" s="14"/>
      <c r="X2196" s="14"/>
      <c r="Y2196" s="14"/>
      <c r="Z2196" s="14"/>
    </row>
    <row r="2197">
      <c r="A2197" s="11">
        <v>43843.981412037036</v>
      </c>
      <c r="B2197" s="12" t="str">
        <f>HYPERLINK("https://twitter.com/kratom_temple","@kratom_temple")</f>
        <v>@kratom_temple</v>
      </c>
      <c r="C2197" s="1" t="s">
        <v>10044</v>
      </c>
      <c r="D2197" s="1" t="s">
        <v>10045</v>
      </c>
      <c r="E2197" s="12" t="str">
        <f>HYPERLINK("https://twitter.com/kratom_temple/status/1216941316333920256","1216941316333920256")</f>
        <v>1216941316333920256</v>
      </c>
      <c r="F2197" s="13" t="s">
        <v>10046</v>
      </c>
      <c r="G2197" s="13" t="s">
        <v>10047</v>
      </c>
      <c r="H2197" s="14"/>
      <c r="I2197" s="15">
        <v>0.0</v>
      </c>
      <c r="J2197" s="15">
        <v>1.0</v>
      </c>
      <c r="K2197" s="12" t="str">
        <f t="shared" si="223"/>
        <v>Twitter Web App</v>
      </c>
      <c r="L2197" s="16">
        <v>47.0</v>
      </c>
      <c r="M2197" s="16">
        <v>323.0</v>
      </c>
      <c r="N2197" s="16">
        <v>0.0</v>
      </c>
      <c r="O2197" s="17"/>
      <c r="P2197" s="18">
        <v>43705.13947916667</v>
      </c>
      <c r="Q2197" s="1" t="s">
        <v>2232</v>
      </c>
      <c r="R2197" s="1" t="s">
        <v>10048</v>
      </c>
      <c r="S2197" s="13" t="s">
        <v>10049</v>
      </c>
      <c r="T2197" s="14"/>
      <c r="U2197" s="19" t="str">
        <f>HYPERLINK("https://pbs.twimg.com/profile_images/1166622209357570048/5UPngbta.jpg","View")</f>
        <v>View</v>
      </c>
      <c r="V2197" s="14"/>
      <c r="W2197" s="14"/>
      <c r="X2197" s="14"/>
      <c r="Y2197" s="14"/>
      <c r="Z2197" s="14"/>
    </row>
    <row r="2198">
      <c r="A2198" s="11">
        <v>43843.97143518519</v>
      </c>
      <c r="B2198" s="12" t="str">
        <f>HYPERLINK("https://twitter.com/Emily_Barrett3","@Emily_Barrett3")</f>
        <v>@Emily_Barrett3</v>
      </c>
      <c r="C2198" s="1" t="s">
        <v>10050</v>
      </c>
      <c r="D2198" s="1" t="s">
        <v>10051</v>
      </c>
      <c r="E2198" s="12" t="str">
        <f>HYPERLINK("https://twitter.com/Emily_Barrett3/status/1216937700760211457","1216937700760211457")</f>
        <v>1216937700760211457</v>
      </c>
      <c r="F2198" s="14"/>
      <c r="G2198" s="14"/>
      <c r="H2198" s="14"/>
      <c r="I2198" s="15">
        <v>0.0</v>
      </c>
      <c r="J2198" s="15">
        <v>0.0</v>
      </c>
      <c r="K2198" s="12" t="str">
        <f t="shared" si="223"/>
        <v>Twitter Web App</v>
      </c>
      <c r="L2198" s="16">
        <v>286.0</v>
      </c>
      <c r="M2198" s="16">
        <v>525.0</v>
      </c>
      <c r="N2198" s="16">
        <v>4.0</v>
      </c>
      <c r="O2198" s="17"/>
      <c r="P2198" s="18">
        <v>43705.984664351854</v>
      </c>
      <c r="Q2198" s="14"/>
      <c r="R2198" s="1" t="s">
        <v>10052</v>
      </c>
      <c r="S2198" s="14"/>
      <c r="T2198" s="14"/>
      <c r="U2198" s="19" t="str">
        <f>HYPERLINK("https://pbs.twimg.com/profile_images/1167246429498368001/NwEX7_GF.jpg","View")</f>
        <v>View</v>
      </c>
      <c r="V2198" s="14"/>
      <c r="W2198" s="14"/>
      <c r="X2198" s="14"/>
      <c r="Y2198" s="14"/>
      <c r="Z2198" s="14"/>
    </row>
    <row r="2199">
      <c r="A2199" s="11">
        <v>43843.96936342593</v>
      </c>
      <c r="B2199" s="12" t="str">
        <f>HYPERLINK("https://twitter.com/Healthy92711545","@Healthy92711545")</f>
        <v>@Healthy92711545</v>
      </c>
      <c r="C2199" s="1" t="s">
        <v>10053</v>
      </c>
      <c r="D2199" s="1" t="s">
        <v>10054</v>
      </c>
      <c r="E2199" s="12" t="str">
        <f>HYPERLINK("https://twitter.com/Healthy92711545/status/1216936951699460097","1216936951699460097")</f>
        <v>1216936951699460097</v>
      </c>
      <c r="F2199" s="14"/>
      <c r="G2199" s="13" t="s">
        <v>10055</v>
      </c>
      <c r="H2199" s="14"/>
      <c r="I2199" s="15">
        <v>0.0</v>
      </c>
      <c r="J2199" s="15">
        <v>2.0</v>
      </c>
      <c r="K2199" s="12" t="str">
        <f>HYPERLINK("http://twitter.com/download/iphone","Twitter for iPhone")</f>
        <v>Twitter for iPhone</v>
      </c>
      <c r="L2199" s="16">
        <v>226.0</v>
      </c>
      <c r="M2199" s="16">
        <v>569.0</v>
      </c>
      <c r="N2199" s="16">
        <v>0.0</v>
      </c>
      <c r="O2199" s="17"/>
      <c r="P2199" s="18">
        <v>43758.45732638889</v>
      </c>
      <c r="Q2199" s="1" t="s">
        <v>691</v>
      </c>
      <c r="R2199" s="1" t="s">
        <v>10056</v>
      </c>
      <c r="S2199" s="14"/>
      <c r="T2199" s="14"/>
      <c r="U2199" s="19" t="str">
        <f>HYPERLINK("https://pbs.twimg.com/profile_images/1197078623179747329/lT1oXylc.jpg","View")</f>
        <v>View</v>
      </c>
      <c r="V2199" s="14"/>
      <c r="W2199" s="14"/>
      <c r="X2199" s="14"/>
      <c r="Y2199" s="14"/>
      <c r="Z2199" s="14"/>
    </row>
    <row r="2200">
      <c r="A2200" s="11">
        <v>43843.96753472222</v>
      </c>
      <c r="B2200" s="12" t="str">
        <f>HYPERLINK("https://twitter.com/NateAnderson81","@NateAnderson81")</f>
        <v>@NateAnderson81</v>
      </c>
      <c r="C2200" s="1" t="s">
        <v>10057</v>
      </c>
      <c r="D2200" s="1" t="s">
        <v>10058</v>
      </c>
      <c r="E2200" s="12" t="str">
        <f>HYPERLINK("https://twitter.com/NateAnderson81/status/1216936288714207233","1216936288714207233")</f>
        <v>1216936288714207233</v>
      </c>
      <c r="F2200" s="14"/>
      <c r="G2200" s="13" t="s">
        <v>10059</v>
      </c>
      <c r="H2200" s="14"/>
      <c r="I2200" s="15">
        <v>0.0</v>
      </c>
      <c r="J2200" s="15">
        <v>1.0</v>
      </c>
      <c r="K2200" s="12" t="str">
        <f>HYPERLINK("http://twitter.com/download/android","Twitter for Android")</f>
        <v>Twitter for Android</v>
      </c>
      <c r="L2200" s="16">
        <v>221.0</v>
      </c>
      <c r="M2200" s="16">
        <v>1010.0</v>
      </c>
      <c r="N2200" s="16">
        <v>2.0</v>
      </c>
      <c r="O2200" s="17"/>
      <c r="P2200" s="18">
        <v>41869.915868055556</v>
      </c>
      <c r="Q2200" s="1" t="s">
        <v>10060</v>
      </c>
      <c r="R2200" s="1" t="s">
        <v>10061</v>
      </c>
      <c r="S2200" s="14"/>
      <c r="T2200" s="14"/>
      <c r="U2200" s="19" t="str">
        <f>HYPERLINK("https://pbs.twimg.com/profile_images/988910346239922176/7AKr3Eju.jpg","View")</f>
        <v>View</v>
      </c>
      <c r="V2200" s="14"/>
      <c r="W2200" s="14"/>
      <c r="X2200" s="14"/>
      <c r="Y2200" s="14"/>
      <c r="Z2200" s="14"/>
    </row>
    <row r="2201">
      <c r="A2201" s="11">
        <v>43843.96392361111</v>
      </c>
      <c r="B2201" s="12" t="str">
        <f>HYPERLINK("https://twitter.com/silviadamiano","@silviadamiano")</f>
        <v>@silviadamiano</v>
      </c>
      <c r="C2201" s="1" t="s">
        <v>10062</v>
      </c>
      <c r="D2201" s="1" t="s">
        <v>10063</v>
      </c>
      <c r="E2201" s="12" t="str">
        <f>HYPERLINK("https://twitter.com/silviadamiano/status/1216934981689315329","1216934981689315329")</f>
        <v>1216934981689315329</v>
      </c>
      <c r="F2201" s="13" t="s">
        <v>10064</v>
      </c>
      <c r="G2201" s="14"/>
      <c r="H2201" s="14"/>
      <c r="I2201" s="15">
        <v>0.0</v>
      </c>
      <c r="J2201" s="15">
        <v>1.0</v>
      </c>
      <c r="K2201" s="12" t="str">
        <f>HYPERLINK("https://coschedule.com","CoSchedule")</f>
        <v>CoSchedule</v>
      </c>
      <c r="L2201" s="16">
        <v>1543.0</v>
      </c>
      <c r="M2201" s="16">
        <v>778.0</v>
      </c>
      <c r="N2201" s="16">
        <v>68.0</v>
      </c>
      <c r="O2201" s="17"/>
      <c r="P2201" s="18">
        <v>40430.94230324074</v>
      </c>
      <c r="Q2201" s="1" t="s">
        <v>33</v>
      </c>
      <c r="R2201" s="1" t="s">
        <v>10065</v>
      </c>
      <c r="S2201" s="13" t="s">
        <v>10066</v>
      </c>
      <c r="T2201" s="14"/>
      <c r="U2201" s="19" t="str">
        <f>HYPERLINK("https://pbs.twimg.com/profile_images/1047319759815995392/PFv4Rjmr.jpg","View")</f>
        <v>View</v>
      </c>
      <c r="V2201" s="14"/>
      <c r="W2201" s="14"/>
      <c r="X2201" s="14"/>
      <c r="Y2201" s="14"/>
      <c r="Z2201" s="14"/>
    </row>
    <row r="2202">
      <c r="A2202" s="11">
        <v>43843.957557870366</v>
      </c>
      <c r="B2202" s="12" t="str">
        <f t="shared" ref="B2202:B2203" si="224">HYPERLINK("https://twitter.com/KathleenKanavos","@KathleenKanavos")</f>
        <v>@KathleenKanavos</v>
      </c>
      <c r="C2202" s="1" t="s">
        <v>10067</v>
      </c>
      <c r="D2202" s="1" t="s">
        <v>10068</v>
      </c>
      <c r="E2202" s="12" t="str">
        <f>HYPERLINK("https://twitter.com/KathleenKanavos/status/1216932672615772162","1216932672615772162")</f>
        <v>1216932672615772162</v>
      </c>
      <c r="F2202" s="13" t="s">
        <v>10069</v>
      </c>
      <c r="G2202" s="14"/>
      <c r="H2202" s="14"/>
      <c r="I2202" s="15">
        <v>0.0</v>
      </c>
      <c r="J2202" s="15">
        <v>1.0</v>
      </c>
      <c r="K2202" s="12" t="str">
        <f>HYPERLINK("https://about.twitter.com/products/tweetdeck","TweetDeck")</f>
        <v>TweetDeck</v>
      </c>
      <c r="L2202" s="16">
        <v>20471.0</v>
      </c>
      <c r="M2202" s="16">
        <v>20976.0</v>
      </c>
      <c r="N2202" s="16">
        <v>303.0</v>
      </c>
      <c r="O2202" s="17"/>
      <c r="P2202" s="18">
        <v>39985.00505787037</v>
      </c>
      <c r="Q2202" s="1" t="s">
        <v>1214</v>
      </c>
      <c r="R2202" s="1" t="s">
        <v>10070</v>
      </c>
      <c r="S2202" s="13" t="s">
        <v>10071</v>
      </c>
      <c r="T2202" s="14"/>
      <c r="U2202" s="19" t="str">
        <f t="shared" ref="U2202:U2203" si="225">HYPERLINK("https://pbs.twimg.com/profile_images/2160326584/Kanavos_ISSUE_-_Copy.jpg","View")</f>
        <v>View</v>
      </c>
      <c r="V2202" s="14"/>
      <c r="W2202" s="14"/>
      <c r="X2202" s="14"/>
      <c r="Y2202" s="14"/>
      <c r="Z2202" s="14"/>
    </row>
    <row r="2203">
      <c r="A2203" s="11">
        <v>43843.95600694444</v>
      </c>
      <c r="B2203" s="12" t="str">
        <f t="shared" si="224"/>
        <v>@KathleenKanavos</v>
      </c>
      <c r="C2203" s="1" t="s">
        <v>10067</v>
      </c>
      <c r="D2203" s="1" t="s">
        <v>10072</v>
      </c>
      <c r="E2203" s="12" t="str">
        <f>HYPERLINK("https://twitter.com/KathleenKanavos/status/1216932112672215040","1216932112672215040")</f>
        <v>1216932112672215040</v>
      </c>
      <c r="F2203" s="13" t="s">
        <v>10073</v>
      </c>
      <c r="G2203" s="14"/>
      <c r="H2203" s="14"/>
      <c r="I2203" s="15">
        <v>0.0</v>
      </c>
      <c r="J2203" s="15">
        <v>1.0</v>
      </c>
      <c r="K2203" s="12" t="str">
        <f>HYPERLINK("http://www.linkedin.com/","LinkedIn")</f>
        <v>LinkedIn</v>
      </c>
      <c r="L2203" s="16">
        <v>20471.0</v>
      </c>
      <c r="M2203" s="16">
        <v>20976.0</v>
      </c>
      <c r="N2203" s="16">
        <v>303.0</v>
      </c>
      <c r="O2203" s="17"/>
      <c r="P2203" s="18">
        <v>39985.00505787037</v>
      </c>
      <c r="Q2203" s="1" t="s">
        <v>1214</v>
      </c>
      <c r="R2203" s="1" t="s">
        <v>10070</v>
      </c>
      <c r="S2203" s="13" t="s">
        <v>10071</v>
      </c>
      <c r="T2203" s="14"/>
      <c r="U2203" s="19" t="str">
        <f t="shared" si="225"/>
        <v>View</v>
      </c>
      <c r="V2203" s="14"/>
      <c r="W2203" s="14"/>
      <c r="X2203" s="14"/>
      <c r="Y2203" s="14"/>
      <c r="Z2203" s="14"/>
    </row>
    <row r="2204">
      <c r="A2204" s="11">
        <v>43843.94863425926</v>
      </c>
      <c r="B2204" s="12" t="str">
        <f>HYPERLINK("https://twitter.com/indyhayhay","@indyhayhay")</f>
        <v>@indyhayhay</v>
      </c>
      <c r="C2204" s="1" t="s">
        <v>10074</v>
      </c>
      <c r="D2204" s="1" t="s">
        <v>10075</v>
      </c>
      <c r="E2204" s="12" t="str">
        <f>HYPERLINK("https://twitter.com/indyhayhay/status/1216929439583477760","1216929439583477760")</f>
        <v>1216929439583477760</v>
      </c>
      <c r="F2204" s="13" t="s">
        <v>10076</v>
      </c>
      <c r="G2204" s="13" t="s">
        <v>10077</v>
      </c>
      <c r="H2204" s="14"/>
      <c r="I2204" s="15">
        <v>0.0</v>
      </c>
      <c r="J2204" s="15">
        <v>0.0</v>
      </c>
      <c r="K2204" s="12" t="str">
        <f>HYPERLINK("https://buffer.com","Buffer")</f>
        <v>Buffer</v>
      </c>
      <c r="L2204" s="16">
        <v>984.0</v>
      </c>
      <c r="M2204" s="16">
        <v>1228.0</v>
      </c>
      <c r="N2204" s="16">
        <v>22.0</v>
      </c>
      <c r="O2204" s="17"/>
      <c r="P2204" s="18">
        <v>41584.50891203704</v>
      </c>
      <c r="Q2204" s="1" t="s">
        <v>847</v>
      </c>
      <c r="R2204" s="1" t="s">
        <v>10078</v>
      </c>
      <c r="S2204" s="13" t="s">
        <v>10079</v>
      </c>
      <c r="T2204" s="14"/>
      <c r="U2204" s="19" t="str">
        <f>HYPERLINK("https://pbs.twimg.com/profile_images/1054482627854401536/UsBgoJct.jpg","View")</f>
        <v>View</v>
      </c>
      <c r="V2204" s="14"/>
      <c r="W2204" s="14"/>
      <c r="X2204" s="14"/>
      <c r="Y2204" s="14"/>
      <c r="Z2204" s="14"/>
    </row>
    <row r="2205">
      <c r="A2205" s="11">
        <v>43843.94791666667</v>
      </c>
      <c r="B2205" s="12" t="str">
        <f>HYPERLINK("https://twitter.com/TrainingMindful","@TrainingMindful")</f>
        <v>@TrainingMindful</v>
      </c>
      <c r="C2205" s="1" t="s">
        <v>94</v>
      </c>
      <c r="D2205" s="1" t="s">
        <v>877</v>
      </c>
      <c r="E2205" s="12" t="str">
        <f>HYPERLINK("https://twitter.com/TrainingMindful/status/1216929180455227392","1216929180455227392")</f>
        <v>1216929180455227392</v>
      </c>
      <c r="F2205" s="13" t="s">
        <v>878</v>
      </c>
      <c r="G2205" s="14"/>
      <c r="H2205" s="14"/>
      <c r="I2205" s="15">
        <v>1.0</v>
      </c>
      <c r="J2205" s="15">
        <v>0.0</v>
      </c>
      <c r="K2205" s="12" t="str">
        <f>HYPERLINK("https://www.socialoomph.com","SocialOomph")</f>
        <v>SocialOomph</v>
      </c>
      <c r="L2205" s="16">
        <v>185303.0</v>
      </c>
      <c r="M2205" s="16">
        <v>43980.0</v>
      </c>
      <c r="N2205" s="16">
        <v>2800.0</v>
      </c>
      <c r="O2205" s="17"/>
      <c r="P2205" s="18">
        <v>41286.039305555554</v>
      </c>
      <c r="Q2205" s="1" t="s">
        <v>97</v>
      </c>
      <c r="R2205" s="1" t="s">
        <v>98</v>
      </c>
      <c r="S2205" s="13" t="s">
        <v>99</v>
      </c>
      <c r="T2205" s="14"/>
      <c r="U2205" s="19" t="str">
        <f>HYPERLINK("https://pbs.twimg.com/profile_images/566526924059459584/gdMxDA9x.jpeg","View")</f>
        <v>View</v>
      </c>
      <c r="V2205" s="14"/>
      <c r="W2205" s="14"/>
      <c r="X2205" s="14"/>
      <c r="Y2205" s="14"/>
      <c r="Z2205" s="14"/>
    </row>
    <row r="2206">
      <c r="A2206" s="11">
        <v>43843.947384259256</v>
      </c>
      <c r="B2206" s="12" t="str">
        <f>HYPERLINK("https://twitter.com/PolyConundrum","@PolyConundrum")</f>
        <v>@PolyConundrum</v>
      </c>
      <c r="C2206" s="1" t="s">
        <v>826</v>
      </c>
      <c r="D2206" s="1" t="s">
        <v>10080</v>
      </c>
      <c r="E2206" s="12" t="str">
        <f>HYPERLINK("https://twitter.com/PolyConundrum/status/1216928984933568512","1216928984933568512")</f>
        <v>1216928984933568512</v>
      </c>
      <c r="F2206" s="13" t="s">
        <v>10081</v>
      </c>
      <c r="G2206" s="13" t="s">
        <v>10082</v>
      </c>
      <c r="H2206" s="14"/>
      <c r="I2206" s="15">
        <v>0.0</v>
      </c>
      <c r="J2206" s="15">
        <v>0.0</v>
      </c>
      <c r="K2206" s="12" t="str">
        <f>HYPERLINK("http://innerself.com/content/social.html","Jocial")</f>
        <v>Jocial</v>
      </c>
      <c r="L2206" s="16">
        <v>1339.0</v>
      </c>
      <c r="M2206" s="16">
        <v>1294.0</v>
      </c>
      <c r="N2206" s="16">
        <v>123.0</v>
      </c>
      <c r="O2206" s="17"/>
      <c r="P2206" s="18">
        <v>41353.64335648148</v>
      </c>
      <c r="Q2206" s="1" t="s">
        <v>830</v>
      </c>
      <c r="R2206" s="1" t="s">
        <v>831</v>
      </c>
      <c r="S2206" s="13" t="s">
        <v>832</v>
      </c>
      <c r="T2206" s="14"/>
      <c r="U2206" s="19" t="str">
        <f>HYPERLINK("https://pbs.twimg.com/profile_images/734517371222827008/kWmnbPYS.jpg","View")</f>
        <v>View</v>
      </c>
      <c r="V2206" s="14"/>
      <c r="W2206" s="14"/>
      <c r="X2206" s="14"/>
      <c r="Y2206" s="14"/>
      <c r="Z2206" s="14"/>
    </row>
    <row r="2207">
      <c r="A2207" s="11">
        <v>43843.94736111111</v>
      </c>
      <c r="B2207" s="12" t="str">
        <f>HYPERLINK("https://twitter.com/InnerSelfcom","@InnerSelfcom")</f>
        <v>@InnerSelfcom</v>
      </c>
      <c r="C2207" s="13" t="s">
        <v>833</v>
      </c>
      <c r="D2207" s="1" t="s">
        <v>10080</v>
      </c>
      <c r="E2207" s="12" t="str">
        <f>HYPERLINK("https://twitter.com/InnerSelfcom/status/1216928980089081857","1216928980089081857")</f>
        <v>1216928980089081857</v>
      </c>
      <c r="F2207" s="13" t="s">
        <v>10081</v>
      </c>
      <c r="G2207" s="13" t="s">
        <v>10083</v>
      </c>
      <c r="H2207" s="14"/>
      <c r="I2207" s="15">
        <v>0.0</v>
      </c>
      <c r="J2207" s="15">
        <v>0.0</v>
      </c>
      <c r="K2207" s="12" t="str">
        <f>HYPERLINK("https://innerself.com/content","InnerSelfcom")</f>
        <v>InnerSelfcom</v>
      </c>
      <c r="L2207" s="16">
        <v>2680.0</v>
      </c>
      <c r="M2207" s="16">
        <v>2592.0</v>
      </c>
      <c r="N2207" s="16">
        <v>309.0</v>
      </c>
      <c r="O2207" s="17"/>
      <c r="P2207" s="18">
        <v>40544.860300925924</v>
      </c>
      <c r="Q2207" s="1" t="s">
        <v>830</v>
      </c>
      <c r="R2207" s="1" t="s">
        <v>835</v>
      </c>
      <c r="S2207" s="13" t="s">
        <v>836</v>
      </c>
      <c r="T2207" s="14"/>
      <c r="U2207" s="19" t="str">
        <f>HYPERLINK("https://pbs.twimg.com/profile_images/554419299712892928/Z_KvUo-W.png","View")</f>
        <v>View</v>
      </c>
      <c r="V2207" s="14"/>
      <c r="W2207" s="14"/>
      <c r="X2207" s="14"/>
      <c r="Y2207" s="14"/>
      <c r="Z2207" s="14"/>
    </row>
    <row r="2208">
      <c r="A2208" s="11">
        <v>43843.94179398148</v>
      </c>
      <c r="B2208" s="12" t="str">
        <f>HYPERLINK("https://twitter.com/Booutique","@Booutique")</f>
        <v>@Booutique</v>
      </c>
      <c r="C2208" s="1" t="s">
        <v>2117</v>
      </c>
      <c r="D2208" s="1" t="s">
        <v>4156</v>
      </c>
      <c r="E2208" s="12" t="str">
        <f>HYPERLINK("https://twitter.com/Booutique/status/1216926959290195973","1216926959290195973")</f>
        <v>1216926959290195973</v>
      </c>
      <c r="F2208" s="14"/>
      <c r="G2208" s="13" t="s">
        <v>10084</v>
      </c>
      <c r="H2208" s="14"/>
      <c r="I2208" s="15">
        <v>0.0</v>
      </c>
      <c r="J2208" s="15">
        <v>0.0</v>
      </c>
      <c r="K2208" s="12" t="str">
        <f>HYPERLINK("https://www.socialjukebox.com","The Social Jukebox")</f>
        <v>The Social Jukebox</v>
      </c>
      <c r="L2208" s="16">
        <v>12531.0</v>
      </c>
      <c r="M2208" s="16">
        <v>12233.0</v>
      </c>
      <c r="N2208" s="16">
        <v>863.0</v>
      </c>
      <c r="O2208" s="17"/>
      <c r="P2208" s="18">
        <v>39904.70653935185</v>
      </c>
      <c r="Q2208" s="14"/>
      <c r="R2208" s="1" t="s">
        <v>2120</v>
      </c>
      <c r="S2208" s="13" t="s">
        <v>2121</v>
      </c>
      <c r="T2208" s="14"/>
      <c r="U2208" s="19" t="str">
        <f>HYPERLINK("https://pbs.twimg.com/profile_images/460586224256679936/rvWCM2Ry.jpeg","View")</f>
        <v>View</v>
      </c>
      <c r="V2208" s="14"/>
      <c r="W2208" s="14"/>
      <c r="X2208" s="14"/>
      <c r="Y2208" s="14"/>
      <c r="Z2208" s="14"/>
    </row>
    <row r="2209">
      <c r="A2209" s="11">
        <v>43843.93761574074</v>
      </c>
      <c r="B2209" s="12" t="str">
        <f>HYPERLINK("https://twitter.com/meharunn","@meharunn")</f>
        <v>@meharunn</v>
      </c>
      <c r="C2209" s="1" t="s">
        <v>8264</v>
      </c>
      <c r="D2209" s="1" t="s">
        <v>10085</v>
      </c>
      <c r="E2209" s="12" t="str">
        <f>HYPERLINK("https://twitter.com/meharunn/status/1216925445708341248","1216925445708341248")</f>
        <v>1216925445708341248</v>
      </c>
      <c r="F2209" s="14"/>
      <c r="G2209" s="13" t="s">
        <v>10086</v>
      </c>
      <c r="H2209" s="14"/>
      <c r="I2209" s="15">
        <v>0.0</v>
      </c>
      <c r="J2209" s="15">
        <v>0.0</v>
      </c>
      <c r="K2209" s="12" t="str">
        <f>HYPERLINK("https://social.zoho.com","Zoho Social")</f>
        <v>Zoho Social</v>
      </c>
      <c r="L2209" s="16">
        <v>19.0</v>
      </c>
      <c r="M2209" s="16">
        <v>21.0</v>
      </c>
      <c r="N2209" s="16">
        <v>0.0</v>
      </c>
      <c r="O2209" s="17"/>
      <c r="P2209" s="18">
        <v>40015.114328703705</v>
      </c>
      <c r="Q2209" s="1">
        <v>8.838428286E9</v>
      </c>
      <c r="R2209" s="1" t="s">
        <v>8267</v>
      </c>
      <c r="S2209" s="13" t="s">
        <v>8268</v>
      </c>
      <c r="T2209" s="14"/>
      <c r="U2209" s="19" t="str">
        <f>HYPERLINK("https://pbs.twimg.com/profile_images/1169924097087660032/gueBKSl8.jpg","View")</f>
        <v>View</v>
      </c>
      <c r="V2209" s="14"/>
      <c r="W2209" s="14"/>
      <c r="X2209" s="14"/>
      <c r="Y2209" s="14"/>
      <c r="Z2209" s="14"/>
    </row>
    <row r="2210">
      <c r="A2210" s="11">
        <v>43843.93612268519</v>
      </c>
      <c r="B2210" s="12" t="str">
        <f>HYPERLINK("https://twitter.com/djdoug","@djdoug")</f>
        <v>@djdoug</v>
      </c>
      <c r="C2210" s="1" t="s">
        <v>5988</v>
      </c>
      <c r="D2210" s="1" t="s">
        <v>10087</v>
      </c>
      <c r="E2210" s="12" t="str">
        <f>HYPERLINK("https://twitter.com/djdoug/status/1216924905645715457","1216924905645715457")</f>
        <v>1216924905645715457</v>
      </c>
      <c r="F2210" s="13" t="s">
        <v>10088</v>
      </c>
      <c r="G2210" s="13" t="s">
        <v>10089</v>
      </c>
      <c r="H2210" s="14"/>
      <c r="I2210" s="15">
        <v>0.0</v>
      </c>
      <c r="J2210" s="15">
        <v>1.0</v>
      </c>
      <c r="K2210" s="12" t="str">
        <f>HYPERLINK("https://eclincher.com","eClincher")</f>
        <v>eClincher</v>
      </c>
      <c r="L2210" s="16">
        <v>35121.0</v>
      </c>
      <c r="M2210" s="16">
        <v>29759.0</v>
      </c>
      <c r="N2210" s="16">
        <v>1756.0</v>
      </c>
      <c r="O2210" s="17"/>
      <c r="P2210" s="18">
        <v>39736.666342592594</v>
      </c>
      <c r="Q2210" s="1" t="s">
        <v>5992</v>
      </c>
      <c r="R2210" s="1" t="s">
        <v>5993</v>
      </c>
      <c r="S2210" s="13" t="s">
        <v>5994</v>
      </c>
      <c r="T2210" s="14"/>
      <c r="U2210" s="19" t="str">
        <f>HYPERLINK("https://pbs.twimg.com/profile_images/970648221369491457/QfUdH2qR.jpg","View")</f>
        <v>View</v>
      </c>
      <c r="V2210" s="14"/>
      <c r="W2210" s="14"/>
      <c r="X2210" s="14"/>
      <c r="Y2210" s="14"/>
      <c r="Z2210" s="14"/>
    </row>
    <row r="2211">
      <c r="A2211" s="11">
        <v>43843.93346064815</v>
      </c>
      <c r="B2211" s="12" t="str">
        <f>HYPERLINK("https://twitter.com/WendyAlsup","@WendyAlsup")</f>
        <v>@WendyAlsup</v>
      </c>
      <c r="C2211" s="1" t="s">
        <v>10090</v>
      </c>
      <c r="D2211" s="1" t="s">
        <v>10091</v>
      </c>
      <c r="E2211" s="12" t="str">
        <f>HYPERLINK("https://twitter.com/WendyAlsup/status/1216923939320094721","1216923939320094721")</f>
        <v>1216923939320094721</v>
      </c>
      <c r="F2211" s="14"/>
      <c r="G2211" s="14"/>
      <c r="H2211" s="14"/>
      <c r="I2211" s="15">
        <v>0.0</v>
      </c>
      <c r="J2211" s="15">
        <v>1.0</v>
      </c>
      <c r="K2211" s="12" t="str">
        <f>HYPERLINK("http://twitter.com/download/iphone","Twitter for iPhone")</f>
        <v>Twitter for iPhone</v>
      </c>
      <c r="L2211" s="16">
        <v>4494.0</v>
      </c>
      <c r="M2211" s="16">
        <v>815.0</v>
      </c>
      <c r="N2211" s="16">
        <v>67.0</v>
      </c>
      <c r="O2211" s="17"/>
      <c r="P2211" s="18">
        <v>40868.53454861111</v>
      </c>
      <c r="Q2211" s="1" t="s">
        <v>10092</v>
      </c>
      <c r="R2211" s="1" t="s">
        <v>10093</v>
      </c>
      <c r="S2211" s="13" t="s">
        <v>10094</v>
      </c>
      <c r="T2211" s="14"/>
      <c r="U2211" s="19" t="str">
        <f>HYPERLINK("https://pbs.twimg.com/profile_images/1047216603480436736/pocbJF6l.jpg","View")</f>
        <v>View</v>
      </c>
      <c r="V2211" s="14"/>
      <c r="W2211" s="14"/>
      <c r="X2211" s="14"/>
      <c r="Y2211" s="14"/>
      <c r="Z2211" s="14"/>
    </row>
    <row r="2212">
      <c r="A2212" s="11">
        <v>43843.93228009259</v>
      </c>
      <c r="B2212" s="12" t="str">
        <f>HYPERLINK("https://twitter.com/DelhiTimesTweet","@DelhiTimesTweet")</f>
        <v>@DelhiTimesTweet</v>
      </c>
      <c r="C2212" s="1" t="s">
        <v>10095</v>
      </c>
      <c r="D2212" s="1" t="s">
        <v>10096</v>
      </c>
      <c r="E2212" s="12" t="str">
        <f>HYPERLINK("https://twitter.com/DelhiTimesTweet/status/1216923511303950336","1216923511303950336")</f>
        <v>1216923511303950336</v>
      </c>
      <c r="F2212" s="13" t="s">
        <v>10097</v>
      </c>
      <c r="G2212" s="13" t="s">
        <v>10098</v>
      </c>
      <c r="H2212" s="14"/>
      <c r="I2212" s="15">
        <v>1.0</v>
      </c>
      <c r="J2212" s="15">
        <v>6.0</v>
      </c>
      <c r="K2212" s="12" t="str">
        <f>HYPERLINK("http://twitter.com/download/android","Twitter for Android")</f>
        <v>Twitter for Android</v>
      </c>
      <c r="L2212" s="16">
        <v>40441.0</v>
      </c>
      <c r="M2212" s="16">
        <v>502.0</v>
      </c>
      <c r="N2212" s="16">
        <v>57.0</v>
      </c>
      <c r="O2212" s="20" t="s">
        <v>38</v>
      </c>
      <c r="P2212" s="18">
        <v>42672.2896875</v>
      </c>
      <c r="Q2212" s="1" t="s">
        <v>10099</v>
      </c>
      <c r="R2212" s="1" t="s">
        <v>10100</v>
      </c>
      <c r="S2212" s="13" t="s">
        <v>10101</v>
      </c>
      <c r="T2212" s="14"/>
      <c r="U2212" s="19" t="str">
        <f>HYPERLINK("https://pbs.twimg.com/profile_images/1130017683137650693/4j6mkSBx.png","View")</f>
        <v>View</v>
      </c>
      <c r="V2212" s="14"/>
      <c r="W2212" s="14"/>
      <c r="X2212" s="14"/>
      <c r="Y2212" s="14"/>
      <c r="Z2212" s="14"/>
    </row>
    <row r="2213">
      <c r="A2213" s="11">
        <v>43843.92153935185</v>
      </c>
      <c r="B2213" s="12" t="str">
        <f>HYPERLINK("https://twitter.com/relmi","@relmi")</f>
        <v>@relmi</v>
      </c>
      <c r="C2213" s="1" t="s">
        <v>10102</v>
      </c>
      <c r="D2213" s="1" t="s">
        <v>10063</v>
      </c>
      <c r="E2213" s="12" t="str">
        <f>HYPERLINK("https://twitter.com/relmi/status/1216919621028151299","1216919621028151299")</f>
        <v>1216919621028151299</v>
      </c>
      <c r="F2213" s="13" t="s">
        <v>10103</v>
      </c>
      <c r="G2213" s="14"/>
      <c r="H2213" s="14"/>
      <c r="I2213" s="15">
        <v>0.0</v>
      </c>
      <c r="J2213" s="15">
        <v>0.0</v>
      </c>
      <c r="K2213" s="12" t="str">
        <f>HYPERLINK("https://coschedule.com","CoSchedule")</f>
        <v>CoSchedule</v>
      </c>
      <c r="L2213" s="16">
        <v>537.0</v>
      </c>
      <c r="M2213" s="16">
        <v>1064.0</v>
      </c>
      <c r="N2213" s="16">
        <v>36.0</v>
      </c>
      <c r="O2213" s="17"/>
      <c r="P2213" s="18">
        <v>39917.05372685185</v>
      </c>
      <c r="Q2213" s="1" t="s">
        <v>5026</v>
      </c>
      <c r="R2213" s="1" t="s">
        <v>10104</v>
      </c>
      <c r="S2213" s="13" t="s">
        <v>10066</v>
      </c>
      <c r="T2213" s="14"/>
      <c r="U2213" s="19" t="str">
        <f>HYPERLINK("https://pbs.twimg.com/profile_images/1205291829597356033/N-CxDL8p.jpg","View")</f>
        <v>View</v>
      </c>
      <c r="V2213" s="14"/>
      <c r="W2213" s="14"/>
      <c r="X2213" s="14"/>
      <c r="Y2213" s="14"/>
      <c r="Z2213" s="14"/>
    </row>
    <row r="2214">
      <c r="A2214" s="11">
        <v>43843.91746527777</v>
      </c>
      <c r="B2214" s="12" t="str">
        <f>HYPERLINK("https://twitter.com/m_adil80","@m_adil80")</f>
        <v>@m_adil80</v>
      </c>
      <c r="C2214" s="22" t="s">
        <v>10105</v>
      </c>
      <c r="D2214" s="1" t="s">
        <v>7112</v>
      </c>
      <c r="E2214" s="12" t="str">
        <f>HYPERLINK("https://twitter.com/m_adil80/status/1216918144482271234","1216918144482271234")</f>
        <v>1216918144482271234</v>
      </c>
      <c r="F2214" s="13" t="s">
        <v>7113</v>
      </c>
      <c r="G2214" s="13" t="s">
        <v>10106</v>
      </c>
      <c r="H2214" s="14"/>
      <c r="I2214" s="15">
        <v>4.0</v>
      </c>
      <c r="J2214" s="15">
        <v>0.0</v>
      </c>
      <c r="K2214" s="12" t="str">
        <f>HYPERLINK("http://tweepsmap.com","Tweepsmap")</f>
        <v>Tweepsmap</v>
      </c>
      <c r="L2214" s="16">
        <v>393.0</v>
      </c>
      <c r="M2214" s="16">
        <v>192.0</v>
      </c>
      <c r="N2214" s="16">
        <v>1.0</v>
      </c>
      <c r="O2214" s="17"/>
      <c r="P2214" s="18">
        <v>43732.106932870374</v>
      </c>
      <c r="Q2214" s="1" t="s">
        <v>10107</v>
      </c>
      <c r="R2214" s="1" t="s">
        <v>10108</v>
      </c>
      <c r="S2214" s="13" t="s">
        <v>10109</v>
      </c>
      <c r="T2214" s="14"/>
      <c r="U2214" s="19" t="str">
        <f>HYPERLINK("https://pbs.twimg.com/profile_images/1176388227965472768/lZS_4Qq9.jpg","View")</f>
        <v>View</v>
      </c>
      <c r="V2214" s="14"/>
      <c r="W2214" s="14"/>
      <c r="X2214" s="14"/>
      <c r="Y2214" s="14"/>
      <c r="Z2214" s="14"/>
    </row>
    <row r="2215">
      <c r="A2215" s="11">
        <v>43843.91681712963</v>
      </c>
      <c r="B2215" s="12" t="str">
        <f>HYPERLINK("https://twitter.com/J_Ferraro_LCSW","@J_Ferraro_LCSW")</f>
        <v>@J_Ferraro_LCSW</v>
      </c>
      <c r="C2215" s="1" t="s">
        <v>4277</v>
      </c>
      <c r="D2215" s="1" t="s">
        <v>10110</v>
      </c>
      <c r="E2215" s="12" t="str">
        <f>HYPERLINK("https://twitter.com/J_Ferraro_LCSW/status/1216917907487240193","1216917907487240193")</f>
        <v>1216917907487240193</v>
      </c>
      <c r="F2215" s="13" t="s">
        <v>10111</v>
      </c>
      <c r="G2215" s="13" t="s">
        <v>10112</v>
      </c>
      <c r="H2215" s="14"/>
      <c r="I2215" s="15">
        <v>1.0</v>
      </c>
      <c r="J2215" s="15">
        <v>0.0</v>
      </c>
      <c r="K2215" s="12" t="str">
        <f>HYPERLINK("https://buffer.com","Buffer")</f>
        <v>Buffer</v>
      </c>
      <c r="L2215" s="16">
        <v>1294.0</v>
      </c>
      <c r="M2215" s="16">
        <v>966.0</v>
      </c>
      <c r="N2215" s="16">
        <v>247.0</v>
      </c>
      <c r="O2215" s="17"/>
      <c r="P2215" s="18">
        <v>39981.01886574074</v>
      </c>
      <c r="Q2215" s="1" t="s">
        <v>4281</v>
      </c>
      <c r="R2215" s="1" t="s">
        <v>4282</v>
      </c>
      <c r="S2215" s="13" t="s">
        <v>4283</v>
      </c>
      <c r="T2215" s="14"/>
      <c r="U2215" s="19" t="str">
        <f>HYPERLINK("https://pbs.twimg.com/profile_images/1036006434184605698/0tiizpmO.jpg","View")</f>
        <v>View</v>
      </c>
      <c r="V2215" s="14"/>
      <c r="W2215" s="14"/>
      <c r="X2215" s="14"/>
      <c r="Y2215" s="14"/>
      <c r="Z2215" s="14"/>
    </row>
    <row r="2216">
      <c r="A2216" s="11">
        <v>43843.91675925926</v>
      </c>
      <c r="B2216" s="12" t="str">
        <f>HYPERLINK("https://twitter.com/ColumbiaDoctors","@ColumbiaDoctors")</f>
        <v>@ColumbiaDoctors</v>
      </c>
      <c r="C2216" s="1" t="s">
        <v>10113</v>
      </c>
      <c r="D2216" s="1" t="s">
        <v>10114</v>
      </c>
      <c r="E2216" s="12" t="str">
        <f>HYPERLINK("https://twitter.com/ColumbiaDoctors/status/1216917887514021889","1216917887514021889")</f>
        <v>1216917887514021889</v>
      </c>
      <c r="F2216" s="13" t="s">
        <v>10115</v>
      </c>
      <c r="G2216" s="14"/>
      <c r="H2216" s="14"/>
      <c r="I2216" s="15">
        <v>0.0</v>
      </c>
      <c r="J2216" s="15">
        <v>1.0</v>
      </c>
      <c r="K2216" s="12" t="str">
        <f>HYPERLINK("https://www.hootsuite.com","Hootsuite Inc.")</f>
        <v>Hootsuite Inc.</v>
      </c>
      <c r="L2216" s="16">
        <v>1411.0</v>
      </c>
      <c r="M2216" s="16">
        <v>216.0</v>
      </c>
      <c r="N2216" s="16">
        <v>38.0</v>
      </c>
      <c r="O2216" s="17"/>
      <c r="P2216" s="18">
        <v>40735.41042824074</v>
      </c>
      <c r="Q2216" s="1" t="s">
        <v>921</v>
      </c>
      <c r="R2216" s="1" t="s">
        <v>10116</v>
      </c>
      <c r="S2216" s="13" t="s">
        <v>10117</v>
      </c>
      <c r="T2216" s="14"/>
      <c r="U2216" s="19" t="str">
        <f>HYPERLINK("https://pbs.twimg.com/profile_images/684089183753912321/GeTZBvde.jpg","View")</f>
        <v>View</v>
      </c>
      <c r="V2216" s="14"/>
      <c r="W2216" s="14"/>
      <c r="X2216" s="14"/>
      <c r="Y2216" s="14"/>
      <c r="Z2216" s="14"/>
    </row>
    <row r="2217">
      <c r="A2217" s="11">
        <v>43843.91673611111</v>
      </c>
      <c r="B2217" s="12" t="str">
        <f>HYPERLINK("https://twitter.com/CherylJanecky","@CherylJanecky")</f>
        <v>@CherylJanecky</v>
      </c>
      <c r="C2217" s="1" t="s">
        <v>1773</v>
      </c>
      <c r="D2217" s="1" t="s">
        <v>10118</v>
      </c>
      <c r="E2217" s="12" t="str">
        <f>HYPERLINK("https://twitter.com/CherylJanecky/status/1216917880148844544","1216917880148844544")</f>
        <v>1216917880148844544</v>
      </c>
      <c r="F2217" s="13" t="s">
        <v>10119</v>
      </c>
      <c r="G2217" s="14"/>
      <c r="H2217" s="14"/>
      <c r="I2217" s="15">
        <v>0.0</v>
      </c>
      <c r="J2217" s="15">
        <v>0.0</v>
      </c>
      <c r="K2217" s="12" t="str">
        <f>HYPERLINK("https://www.socialoomph.com","SocialOomph")</f>
        <v>SocialOomph</v>
      </c>
      <c r="L2217" s="16">
        <v>26291.0</v>
      </c>
      <c r="M2217" s="16">
        <v>30413.0</v>
      </c>
      <c r="N2217" s="16">
        <v>670.0</v>
      </c>
      <c r="O2217" s="17"/>
      <c r="P2217" s="18">
        <v>40232.579247685186</v>
      </c>
      <c r="Q2217" s="1" t="s">
        <v>1776</v>
      </c>
      <c r="R2217" s="1" t="s">
        <v>1777</v>
      </c>
      <c r="S2217" s="13" t="s">
        <v>1778</v>
      </c>
      <c r="T2217" s="14"/>
      <c r="U2217" s="19" t="str">
        <f>HYPERLINK("https://pbs.twimg.com/profile_images/714174290/janecky-80-80.jpg","View")</f>
        <v>View</v>
      </c>
      <c r="V2217" s="14"/>
      <c r="W2217" s="14"/>
      <c r="X2217" s="14"/>
      <c r="Y2217" s="14"/>
      <c r="Z2217" s="14"/>
    </row>
    <row r="2218">
      <c r="A2218" s="11">
        <v>43843.91666666667</v>
      </c>
      <c r="B2218" s="12" t="str">
        <f>HYPERLINK("https://twitter.com/EnTranceHypno","@EnTranceHypno")</f>
        <v>@EnTranceHypno</v>
      </c>
      <c r="C2218" s="1" t="s">
        <v>3908</v>
      </c>
      <c r="D2218" s="1" t="s">
        <v>10120</v>
      </c>
      <c r="E2218" s="12" t="str">
        <f>HYPERLINK("https://twitter.com/EnTranceHypno/status/1216917855666692101","1216917855666692101")</f>
        <v>1216917855666692101</v>
      </c>
      <c r="F2218" s="13" t="s">
        <v>10121</v>
      </c>
      <c r="G2218" s="14"/>
      <c r="H2218" s="14"/>
      <c r="I2218" s="15">
        <v>0.0</v>
      </c>
      <c r="J2218" s="15">
        <v>0.0</v>
      </c>
      <c r="K2218" s="12" t="str">
        <f>HYPERLINK("https://buffer.com","Buffer")</f>
        <v>Buffer</v>
      </c>
      <c r="L2218" s="16">
        <v>4037.0</v>
      </c>
      <c r="M2218" s="16">
        <v>4790.0</v>
      </c>
      <c r="N2218" s="16">
        <v>78.0</v>
      </c>
      <c r="O2218" s="17"/>
      <c r="P2218" s="18">
        <v>42163.66237268518</v>
      </c>
      <c r="Q2218" s="1" t="s">
        <v>3911</v>
      </c>
      <c r="R2218" s="1" t="s">
        <v>3912</v>
      </c>
      <c r="S2218" s="13" t="s">
        <v>3913</v>
      </c>
      <c r="T2218" s="14"/>
      <c r="U2218" s="19" t="str">
        <f>HYPERLINK("https://pbs.twimg.com/profile_images/735005628146409472/JV-RqJcr.jpg","View")</f>
        <v>View</v>
      </c>
      <c r="V2218" s="14"/>
      <c r="W2218" s="14"/>
      <c r="X2218" s="14"/>
      <c r="Y2218" s="14"/>
      <c r="Z2218" s="14"/>
    </row>
    <row r="2219">
      <c r="A2219" s="11">
        <v>43843.90975694444</v>
      </c>
      <c r="B2219" s="12" t="str">
        <f>HYPERLINK("https://twitter.com/drharrison1","@drharrison1")</f>
        <v>@drharrison1</v>
      </c>
      <c r="C2219" s="1" t="s">
        <v>10122</v>
      </c>
      <c r="D2219" s="1" t="s">
        <v>10123</v>
      </c>
      <c r="E2219" s="12" t="str">
        <f>HYPERLINK("https://twitter.com/drharrison1/status/1216915349012209664","1216915349012209664")</f>
        <v>1216915349012209664</v>
      </c>
      <c r="F2219" s="13" t="s">
        <v>10124</v>
      </c>
      <c r="G2219" s="13" t="s">
        <v>10125</v>
      </c>
      <c r="H2219" s="14"/>
      <c r="I2219" s="15">
        <v>0.0</v>
      </c>
      <c r="J2219" s="15">
        <v>0.0</v>
      </c>
      <c r="K2219" s="12" t="str">
        <f>HYPERLINK("https://www.hootsuite.com","Hootsuite Inc.")</f>
        <v>Hootsuite Inc.</v>
      </c>
      <c r="L2219" s="16">
        <v>414.0</v>
      </c>
      <c r="M2219" s="16">
        <v>598.0</v>
      </c>
      <c r="N2219" s="16">
        <v>25.0</v>
      </c>
      <c r="O2219" s="17"/>
      <c r="P2219" s="18">
        <v>41511.547951388886</v>
      </c>
      <c r="Q2219" s="1" t="s">
        <v>2157</v>
      </c>
      <c r="R2219" s="1" t="s">
        <v>10126</v>
      </c>
      <c r="S2219" s="13" t="s">
        <v>10127</v>
      </c>
      <c r="T2219" s="14"/>
      <c r="U2219" s="19" t="str">
        <f>HYPERLINK("https://pbs.twimg.com/profile_images/1110318502026469377/MIgNu1Cr.png","View")</f>
        <v>View</v>
      </c>
      <c r="V2219" s="14"/>
      <c r="W2219" s="14"/>
      <c r="X2219" s="14"/>
      <c r="Y2219" s="14"/>
      <c r="Z2219" s="14"/>
    </row>
    <row r="2220">
      <c r="A2220" s="11">
        <v>43843.909525462965</v>
      </c>
      <c r="B2220" s="12" t="str">
        <f>HYPERLINK("https://twitter.com/manojpandey66","@manojpandey66")</f>
        <v>@manojpandey66</v>
      </c>
      <c r="C2220" s="1" t="s">
        <v>1163</v>
      </c>
      <c r="D2220" s="1" t="s">
        <v>10128</v>
      </c>
      <c r="E2220" s="12" t="str">
        <f>HYPERLINK("https://twitter.com/manojpandey66/status/1216915268296855552","1216915268296855552")</f>
        <v>1216915268296855552</v>
      </c>
      <c r="F2220" s="14"/>
      <c r="G2220" s="13" t="s">
        <v>10129</v>
      </c>
      <c r="H2220" s="14"/>
      <c r="I2220" s="15">
        <v>1.0</v>
      </c>
      <c r="J2220" s="15">
        <v>1.0</v>
      </c>
      <c r="K2220" s="12" t="str">
        <f>HYPERLINK("https://mobile.twitter.com","Twitter Web App")</f>
        <v>Twitter Web App</v>
      </c>
      <c r="L2220" s="16">
        <v>1372.0</v>
      </c>
      <c r="M2220" s="16">
        <v>555.0</v>
      </c>
      <c r="N2220" s="16">
        <v>7.0</v>
      </c>
      <c r="O2220" s="17"/>
      <c r="P2220" s="18">
        <v>40746.0390625</v>
      </c>
      <c r="Q2220" s="1" t="s">
        <v>1166</v>
      </c>
      <c r="R2220" s="1" t="s">
        <v>1167</v>
      </c>
      <c r="S2220" s="13" t="s">
        <v>1168</v>
      </c>
      <c r="T2220" s="14"/>
      <c r="U2220" s="19" t="str">
        <f>HYPERLINK("https://pbs.twimg.com/profile_images/1134750107302125569/VwLz3fkd.png","View")</f>
        <v>View</v>
      </c>
      <c r="V2220" s="14"/>
      <c r="W2220" s="14"/>
      <c r="X2220" s="14"/>
      <c r="Y2220" s="14"/>
      <c r="Z2220" s="14"/>
    </row>
    <row r="2221">
      <c r="A2221" s="11">
        <v>43843.90667824074</v>
      </c>
      <c r="B2221" s="12" t="str">
        <f>HYPERLINK("https://twitter.com/chloegood03","@chloegood03")</f>
        <v>@chloegood03</v>
      </c>
      <c r="C2221" s="1" t="s">
        <v>10130</v>
      </c>
      <c r="D2221" s="1" t="s">
        <v>10131</v>
      </c>
      <c r="E2221" s="12" t="str">
        <f>HYPERLINK("https://twitter.com/chloegood03/status/1216914233641852933","1216914233641852933")</f>
        <v>1216914233641852933</v>
      </c>
      <c r="F2221" s="14"/>
      <c r="G2221" s="14"/>
      <c r="H2221" s="14"/>
      <c r="I2221" s="15">
        <v>0.0</v>
      </c>
      <c r="J2221" s="15">
        <v>1.0</v>
      </c>
      <c r="K2221" s="12" t="str">
        <f>HYPERLINK("http://twitter.com/download/android","Twitter for Android")</f>
        <v>Twitter for Android</v>
      </c>
      <c r="L2221" s="16">
        <v>9.0</v>
      </c>
      <c r="M2221" s="16">
        <v>127.0</v>
      </c>
      <c r="N2221" s="16">
        <v>0.0</v>
      </c>
      <c r="O2221" s="17"/>
      <c r="P2221" s="18">
        <v>42936.00326388889</v>
      </c>
      <c r="Q2221" s="14"/>
      <c r="R2221" s="1" t="s">
        <v>10132</v>
      </c>
      <c r="S2221" s="14"/>
      <c r="T2221" s="14"/>
      <c r="U2221" s="19" t="str">
        <f>HYPERLINK("https://pbs.twimg.com/profile_images/1195168145776029701/0x6AzQPR.jpg","View")</f>
        <v>View</v>
      </c>
      <c r="V2221" s="14"/>
      <c r="W2221" s="14"/>
      <c r="X2221" s="14"/>
      <c r="Y2221" s="14"/>
      <c r="Z2221" s="14"/>
    </row>
    <row r="2222">
      <c r="A2222" s="11">
        <v>43843.90280092593</v>
      </c>
      <c r="B2222" s="12" t="str">
        <f>HYPERLINK("https://twitter.com/CelineHealy","@CelineHealy")</f>
        <v>@CelineHealy</v>
      </c>
      <c r="C2222" s="1" t="s">
        <v>10133</v>
      </c>
      <c r="D2222" s="1" t="s">
        <v>10134</v>
      </c>
      <c r="E2222" s="12" t="str">
        <f>HYPERLINK("https://twitter.com/CelineHealy/status/1216912830173151235","1216912830173151235")</f>
        <v>1216912830173151235</v>
      </c>
      <c r="F2222" s="1" t="s">
        <v>10135</v>
      </c>
      <c r="G2222" s="14"/>
      <c r="H2222" s="14"/>
      <c r="I2222" s="15">
        <v>0.0</v>
      </c>
      <c r="J2222" s="15">
        <v>0.0</v>
      </c>
      <c r="K2222" s="12" t="str">
        <f>HYPERLINK("https://amplifr.com","Amplifr")</f>
        <v>Amplifr</v>
      </c>
      <c r="L2222" s="16">
        <v>1923.0</v>
      </c>
      <c r="M2222" s="16">
        <v>2166.0</v>
      </c>
      <c r="N2222" s="16">
        <v>32.0</v>
      </c>
      <c r="O2222" s="17"/>
      <c r="P2222" s="18">
        <v>41056.05865740741</v>
      </c>
      <c r="Q2222" s="1" t="s">
        <v>51</v>
      </c>
      <c r="R2222" s="1" t="s">
        <v>10136</v>
      </c>
      <c r="S2222" s="13" t="s">
        <v>10137</v>
      </c>
      <c r="T2222" s="14"/>
      <c r="U2222" s="19" t="str">
        <f>HYPERLINK("https://pbs.twimg.com/profile_images/1152447009120378881/j2yMJhRD.png","View")</f>
        <v>View</v>
      </c>
      <c r="V2222" s="14"/>
      <c r="W2222" s="14"/>
      <c r="X2222" s="14"/>
      <c r="Y2222" s="14"/>
      <c r="Z2222" s="14"/>
    </row>
    <row r="2223">
      <c r="A2223" s="11">
        <v>43843.90219907407</v>
      </c>
      <c r="B2223" s="12" t="str">
        <f>HYPERLINK("https://twitter.com/ProfiletreeLS","@ProfiletreeLS")</f>
        <v>@ProfiletreeLS</v>
      </c>
      <c r="C2223" s="1" t="s">
        <v>10138</v>
      </c>
      <c r="D2223" s="1" t="s">
        <v>10139</v>
      </c>
      <c r="E2223" s="12" t="str">
        <f>HYPERLINK("https://twitter.com/ProfiletreeLS/status/1216912611012435969","1216912611012435969")</f>
        <v>1216912611012435969</v>
      </c>
      <c r="F2223" s="13" t="s">
        <v>10140</v>
      </c>
      <c r="G2223" s="13" t="s">
        <v>10141</v>
      </c>
      <c r="H2223" s="14"/>
      <c r="I2223" s="15">
        <v>0.0</v>
      </c>
      <c r="J2223" s="15">
        <v>0.0</v>
      </c>
      <c r="K2223" s="12" t="str">
        <f>HYPERLINK("https://ifttt.com","IFTTT")</f>
        <v>IFTTT</v>
      </c>
      <c r="L2223" s="16">
        <v>248.0</v>
      </c>
      <c r="M2223" s="16">
        <v>362.0</v>
      </c>
      <c r="N2223" s="16">
        <v>29.0</v>
      </c>
      <c r="O2223" s="17"/>
      <c r="P2223" s="18">
        <v>41247.27019675926</v>
      </c>
      <c r="Q2223" s="1" t="s">
        <v>6908</v>
      </c>
      <c r="R2223" s="1" t="s">
        <v>10142</v>
      </c>
      <c r="S2223" s="13" t="s">
        <v>10143</v>
      </c>
      <c r="T2223" s="14"/>
      <c r="U2223" s="19" t="str">
        <f>HYPERLINK("https://pbs.twimg.com/profile_images/1141986329976365056/0zIqMwxC.png","View")</f>
        <v>View</v>
      </c>
      <c r="V2223" s="14"/>
      <c r="W2223" s="14"/>
      <c r="X2223" s="14"/>
      <c r="Y2223" s="14"/>
      <c r="Z2223" s="14"/>
    </row>
    <row r="2224">
      <c r="A2224" s="11">
        <v>43843.88890046296</v>
      </c>
      <c r="B2224" s="12" t="str">
        <f>HYPERLINK("https://twitter.com/HeidiHmoretti","@HeidiHmoretti")</f>
        <v>@HeidiHmoretti</v>
      </c>
      <c r="C2224" s="1" t="s">
        <v>10144</v>
      </c>
      <c r="D2224" s="1" t="s">
        <v>10145</v>
      </c>
      <c r="E2224" s="12" t="str">
        <f>HYPERLINK("https://twitter.com/HeidiHmoretti/status/1216907793812180992","1216907793812180992")</f>
        <v>1216907793812180992</v>
      </c>
      <c r="F2224" s="13" t="s">
        <v>10146</v>
      </c>
      <c r="G2224" s="13" t="s">
        <v>10147</v>
      </c>
      <c r="H2224" s="14"/>
      <c r="I2224" s="15">
        <v>6.0</v>
      </c>
      <c r="J2224" s="15">
        <v>24.0</v>
      </c>
      <c r="K2224" s="12" t="str">
        <f>HYPERLINK("https://drumup.io","drumup.io")</f>
        <v>drumup.io</v>
      </c>
      <c r="L2224" s="16">
        <v>69642.0</v>
      </c>
      <c r="M2224" s="16">
        <v>69372.0</v>
      </c>
      <c r="N2224" s="16">
        <v>284.0</v>
      </c>
      <c r="O2224" s="17"/>
      <c r="P2224" s="18">
        <v>41647.057025462964</v>
      </c>
      <c r="Q2224" s="1" t="s">
        <v>10148</v>
      </c>
      <c r="R2224" s="1" t="s">
        <v>10149</v>
      </c>
      <c r="S2224" s="13" t="s">
        <v>10150</v>
      </c>
      <c r="T2224" s="14"/>
      <c r="U2224" s="19" t="str">
        <f>HYPERLINK("https://pbs.twimg.com/profile_images/1213550792474386432/3lr9-mVN.jpg","View")</f>
        <v>View</v>
      </c>
      <c r="V2224" s="14"/>
      <c r="W2224" s="14"/>
      <c r="X2224" s="14"/>
      <c r="Y2224" s="14"/>
      <c r="Z2224" s="14"/>
    </row>
    <row r="2225">
      <c r="A2225" s="11">
        <v>43843.88494212963</v>
      </c>
      <c r="B2225" s="12" t="str">
        <f>HYPERLINK("https://twitter.com/StormyVNV","@StormyVNV")</f>
        <v>@StormyVNV</v>
      </c>
      <c r="C2225" s="1" t="s">
        <v>10151</v>
      </c>
      <c r="D2225" s="1" t="s">
        <v>10152</v>
      </c>
      <c r="E2225" s="12" t="str">
        <f>HYPERLINK("https://twitter.com/StormyVNV/status/1216906356248236032","1216906356248236032")</f>
        <v>1216906356248236032</v>
      </c>
      <c r="F2225" s="13" t="s">
        <v>10153</v>
      </c>
      <c r="G2225" s="14"/>
      <c r="H2225" s="14"/>
      <c r="I2225" s="15">
        <v>0.0</v>
      </c>
      <c r="J2225" s="15">
        <v>1.0</v>
      </c>
      <c r="K2225" s="12" t="str">
        <f>HYPERLINK("https://mobile.twitter.com","Twitter Web App")</f>
        <v>Twitter Web App</v>
      </c>
      <c r="L2225" s="16">
        <v>28066.0</v>
      </c>
      <c r="M2225" s="16">
        <v>18259.0</v>
      </c>
      <c r="N2225" s="16">
        <v>529.0</v>
      </c>
      <c r="O2225" s="17"/>
      <c r="P2225" s="18">
        <v>41154.972708333335</v>
      </c>
      <c r="Q2225" s="1" t="s">
        <v>533</v>
      </c>
      <c r="R2225" s="1" t="s">
        <v>10154</v>
      </c>
      <c r="S2225" s="13" t="s">
        <v>10155</v>
      </c>
      <c r="T2225" s="14"/>
      <c r="U2225" s="19" t="str">
        <f>HYPERLINK("https://pbs.twimg.com/profile_images/1147368958913318913/sJErTuiP.png","View")</f>
        <v>View</v>
      </c>
      <c r="V2225" s="14"/>
      <c r="W2225" s="14"/>
      <c r="X2225" s="14"/>
      <c r="Y2225" s="14"/>
      <c r="Z2225" s="14"/>
    </row>
    <row r="2226">
      <c r="A2226" s="11">
        <v>43843.88386574074</v>
      </c>
      <c r="B2226" s="12" t="str">
        <f t="shared" ref="B2226:B2227" si="226">HYPERLINK("https://twitter.com/puregreenxpress","@puregreenxpress")</f>
        <v>@puregreenxpress</v>
      </c>
      <c r="C2226" s="1" t="s">
        <v>6403</v>
      </c>
      <c r="D2226" s="1" t="s">
        <v>10156</v>
      </c>
      <c r="E2226" s="12" t="str">
        <f>HYPERLINK("https://twitter.com/puregreenxpress/status/1216905966232449024","1216905966232449024")</f>
        <v>1216905966232449024</v>
      </c>
      <c r="F2226" s="13" t="s">
        <v>10157</v>
      </c>
      <c r="G2226" s="14"/>
      <c r="H2226" s="14"/>
      <c r="I2226" s="15">
        <v>1.0</v>
      </c>
      <c r="J2226" s="15">
        <v>0.0</v>
      </c>
      <c r="K2226" s="12" t="str">
        <f t="shared" ref="K2226:K2227" si="227">HYPERLINK("http://twitter.com","Twitter Web Client")</f>
        <v>Twitter Web Client</v>
      </c>
      <c r="L2226" s="16">
        <v>4232.0</v>
      </c>
      <c r="M2226" s="16">
        <v>3939.0</v>
      </c>
      <c r="N2226" s="16">
        <v>18.0</v>
      </c>
      <c r="O2226" s="17"/>
      <c r="P2226" s="18">
        <v>42832.91449074074</v>
      </c>
      <c r="Q2226" s="1" t="s">
        <v>4938</v>
      </c>
      <c r="R2226" s="1" t="s">
        <v>6406</v>
      </c>
      <c r="S2226" s="13" t="s">
        <v>6407</v>
      </c>
      <c r="T2226" s="14"/>
      <c r="U2226" s="19" t="str">
        <f t="shared" ref="U2226:U2227" si="228">HYPERLINK("https://pbs.twimg.com/profile_images/850531013323218944/qtaGwM5r.jpg","View")</f>
        <v>View</v>
      </c>
      <c r="V2226" s="14"/>
      <c r="W2226" s="14"/>
      <c r="X2226" s="14"/>
      <c r="Y2226" s="14"/>
      <c r="Z2226" s="14"/>
    </row>
    <row r="2227">
      <c r="A2227" s="11">
        <v>43843.88108796296</v>
      </c>
      <c r="B2227" s="12" t="str">
        <f t="shared" si="226"/>
        <v>@puregreenxpress</v>
      </c>
      <c r="C2227" s="1" t="s">
        <v>6403</v>
      </c>
      <c r="D2227" s="1" t="s">
        <v>10158</v>
      </c>
      <c r="E2227" s="12" t="str">
        <f>HYPERLINK("https://twitter.com/puregreenxpress/status/1216904963525349383","1216904963525349383")</f>
        <v>1216904963525349383</v>
      </c>
      <c r="F2227" s="13" t="s">
        <v>10159</v>
      </c>
      <c r="G2227" s="14"/>
      <c r="H2227" s="14"/>
      <c r="I2227" s="15">
        <v>0.0</v>
      </c>
      <c r="J2227" s="15">
        <v>0.0</v>
      </c>
      <c r="K2227" s="12" t="str">
        <f t="shared" si="227"/>
        <v>Twitter Web Client</v>
      </c>
      <c r="L2227" s="16">
        <v>4232.0</v>
      </c>
      <c r="M2227" s="16">
        <v>3939.0</v>
      </c>
      <c r="N2227" s="16">
        <v>18.0</v>
      </c>
      <c r="O2227" s="17"/>
      <c r="P2227" s="18">
        <v>42832.91449074074</v>
      </c>
      <c r="Q2227" s="1" t="s">
        <v>4938</v>
      </c>
      <c r="R2227" s="1" t="s">
        <v>6406</v>
      </c>
      <c r="S2227" s="13" t="s">
        <v>6407</v>
      </c>
      <c r="T2227" s="14"/>
      <c r="U2227" s="19" t="str">
        <f t="shared" si="228"/>
        <v>View</v>
      </c>
      <c r="V2227" s="14"/>
      <c r="W2227" s="14"/>
      <c r="X2227" s="14"/>
      <c r="Y2227" s="14"/>
      <c r="Z2227" s="14"/>
    </row>
    <row r="2228">
      <c r="A2228" s="11">
        <v>43843.87609953704</v>
      </c>
      <c r="B2228" s="12" t="str">
        <f>HYPERLINK("https://twitter.com/iqbalgil1","@iqbalgil1")</f>
        <v>@iqbalgil1</v>
      </c>
      <c r="C2228" s="1" t="s">
        <v>10160</v>
      </c>
      <c r="D2228" s="1" t="s">
        <v>10161</v>
      </c>
      <c r="E2228" s="12" t="str">
        <f>HYPERLINK("https://twitter.com/iqbalgil1/status/1216903154375254017","1216903154375254017")</f>
        <v>1216903154375254017</v>
      </c>
      <c r="F2228" s="13" t="s">
        <v>10162</v>
      </c>
      <c r="G2228" s="13" t="s">
        <v>10163</v>
      </c>
      <c r="H2228" s="14"/>
      <c r="I2228" s="15">
        <v>0.0</v>
      </c>
      <c r="J2228" s="15">
        <v>0.0</v>
      </c>
      <c r="K2228" s="12" t="str">
        <f>HYPERLINK("https://mobile.twitter.com","Twitter Web App")</f>
        <v>Twitter Web App</v>
      </c>
      <c r="L2228" s="16">
        <v>127.0</v>
      </c>
      <c r="M2228" s="16">
        <v>1121.0</v>
      </c>
      <c r="N2228" s="16">
        <v>1.0</v>
      </c>
      <c r="O2228" s="17"/>
      <c r="P2228" s="18">
        <v>41892.26252314815</v>
      </c>
      <c r="Q2228" s="1" t="s">
        <v>10164</v>
      </c>
      <c r="R2228" s="14"/>
      <c r="S2228" s="13" t="s">
        <v>10165</v>
      </c>
      <c r="T2228" s="14"/>
      <c r="U2228" s="19" t="str">
        <f>HYPERLINK("https://pbs.twimg.com/profile_images/1145283484681986048/dTP1Nc1i.png","View")</f>
        <v>View</v>
      </c>
      <c r="V2228" s="14"/>
      <c r="W2228" s="14"/>
      <c r="X2228" s="14"/>
      <c r="Y2228" s="14"/>
      <c r="Z2228" s="14"/>
    </row>
    <row r="2229">
      <c r="A2229" s="11">
        <v>43843.87578703703</v>
      </c>
      <c r="B2229" s="12" t="str">
        <f>HYPERLINK("https://twitter.com/GoForHealth","@GoForHealth")</f>
        <v>@GoForHealth</v>
      </c>
      <c r="C2229" s="1" t="s">
        <v>1260</v>
      </c>
      <c r="D2229" s="1" t="s">
        <v>1261</v>
      </c>
      <c r="E2229" s="12" t="str">
        <f>HYPERLINK("https://twitter.com/GoForHealth/status/1216903039463972865","1216903039463972865")</f>
        <v>1216903039463972865</v>
      </c>
      <c r="F2229" s="13" t="s">
        <v>1262</v>
      </c>
      <c r="G2229" s="13" t="s">
        <v>10166</v>
      </c>
      <c r="H2229" s="14"/>
      <c r="I2229" s="15">
        <v>0.0</v>
      </c>
      <c r="J2229" s="15">
        <v>1.0</v>
      </c>
      <c r="K2229" s="12" t="str">
        <f>HYPERLINK("https://www.socialoomph.com","SocialOomph")</f>
        <v>SocialOomph</v>
      </c>
      <c r="L2229" s="16">
        <v>2770.0</v>
      </c>
      <c r="M2229" s="16">
        <v>656.0</v>
      </c>
      <c r="N2229" s="16">
        <v>253.0</v>
      </c>
      <c r="O2229" s="17"/>
      <c r="P2229" s="18">
        <v>42076.4437962963</v>
      </c>
      <c r="Q2229" s="1" t="s">
        <v>1264</v>
      </c>
      <c r="R2229" s="1" t="s">
        <v>1265</v>
      </c>
      <c r="S2229" s="13" t="s">
        <v>1266</v>
      </c>
      <c r="T2229" s="14"/>
      <c r="U2229" s="19" t="str">
        <f>HYPERLINK("https://pbs.twimg.com/profile_images/603859132467159040/VtO4OVgm.jpg","View")</f>
        <v>View</v>
      </c>
      <c r="V2229" s="14"/>
      <c r="W2229" s="14"/>
      <c r="X2229" s="14"/>
      <c r="Y2229" s="14"/>
      <c r="Z2229" s="14"/>
    </row>
    <row r="2230">
      <c r="A2230" s="11">
        <v>43843.8752662037</v>
      </c>
      <c r="B2230" s="12" t="str">
        <f>HYPERLINK("https://twitter.com/bibelot1","@bibelot1")</f>
        <v>@bibelot1</v>
      </c>
      <c r="C2230" s="1" t="s">
        <v>4988</v>
      </c>
      <c r="D2230" s="1" t="s">
        <v>10167</v>
      </c>
      <c r="E2230" s="12" t="str">
        <f>HYPERLINK("https://twitter.com/bibelot1/status/1216902853048119296","1216902853048119296")</f>
        <v>1216902853048119296</v>
      </c>
      <c r="F2230" s="13" t="s">
        <v>10168</v>
      </c>
      <c r="G2230" s="13" t="s">
        <v>10169</v>
      </c>
      <c r="H2230" s="14"/>
      <c r="I2230" s="15">
        <v>0.0</v>
      </c>
      <c r="J2230" s="15">
        <v>0.0</v>
      </c>
      <c r="K2230" s="12" t="str">
        <f>HYPERLINK("https://buffer.com","Buffer")</f>
        <v>Buffer</v>
      </c>
      <c r="L2230" s="16">
        <v>109.0</v>
      </c>
      <c r="M2230" s="16">
        <v>85.0</v>
      </c>
      <c r="N2230" s="16">
        <v>7.0</v>
      </c>
      <c r="O2230" s="17"/>
      <c r="P2230" s="18">
        <v>39860.79771990741</v>
      </c>
      <c r="Q2230" s="1" t="s">
        <v>4992</v>
      </c>
      <c r="R2230" s="1" t="s">
        <v>4993</v>
      </c>
      <c r="S2230" s="13" t="s">
        <v>4994</v>
      </c>
      <c r="T2230" s="14"/>
      <c r="U2230" s="19" t="str">
        <f>HYPERLINK("https://pbs.twimg.com/profile_images/1122330718237941760/j8HxEOUr.png","View")</f>
        <v>View</v>
      </c>
      <c r="V2230" s="14"/>
      <c r="W2230" s="14"/>
      <c r="X2230" s="14"/>
      <c r="Y2230" s="14"/>
      <c r="Z2230" s="14"/>
    </row>
    <row r="2231">
      <c r="A2231" s="11">
        <v>43843.87361111111</v>
      </c>
      <c r="B2231" s="12" t="str">
        <f>HYPERLINK("https://twitter.com/careersingov","@careersingov")</f>
        <v>@careersingov</v>
      </c>
      <c r="C2231" s="1" t="s">
        <v>10170</v>
      </c>
      <c r="D2231" s="1" t="s">
        <v>10171</v>
      </c>
      <c r="E2231" s="12" t="str">
        <f>HYPERLINK("https://twitter.com/careersingov/status/1216902253224722432","1216902253224722432")</f>
        <v>1216902253224722432</v>
      </c>
      <c r="F2231" s="13" t="s">
        <v>10172</v>
      </c>
      <c r="G2231" s="14"/>
      <c r="H2231" s="14"/>
      <c r="I2231" s="15">
        <v>0.0</v>
      </c>
      <c r="J2231" s="15">
        <v>0.0</v>
      </c>
      <c r="K2231" s="12" t="str">
        <f>HYPERLINK("https://drumup.io","drumup.io")</f>
        <v>drumup.io</v>
      </c>
      <c r="L2231" s="16">
        <v>108119.0</v>
      </c>
      <c r="M2231" s="16">
        <v>88189.0</v>
      </c>
      <c r="N2231" s="16">
        <v>2522.0</v>
      </c>
      <c r="O2231" s="17"/>
      <c r="P2231" s="18">
        <v>40982.99512731482</v>
      </c>
      <c r="Q2231" s="1" t="s">
        <v>1493</v>
      </c>
      <c r="R2231" s="1" t="s">
        <v>10173</v>
      </c>
      <c r="S2231" s="13" t="s">
        <v>10174</v>
      </c>
      <c r="T2231" s="14"/>
      <c r="U2231" s="19" t="str">
        <f>HYPERLINK("https://pbs.twimg.com/profile_images/838942765111128064/TEypVAnt.jpg","View")</f>
        <v>View</v>
      </c>
      <c r="V2231" s="14"/>
      <c r="W2231" s="14"/>
      <c r="X2231" s="14"/>
      <c r="Y2231" s="14"/>
      <c r="Z2231" s="14"/>
    </row>
    <row r="2232">
      <c r="A2232" s="11">
        <v>43843.871087962965</v>
      </c>
      <c r="B2232" s="12" t="str">
        <f>HYPERLINK("https://twitter.com/puregreenxpress","@puregreenxpress")</f>
        <v>@puregreenxpress</v>
      </c>
      <c r="C2232" s="1" t="s">
        <v>6403</v>
      </c>
      <c r="D2232" s="1" t="s">
        <v>10175</v>
      </c>
      <c r="E2232" s="12" t="str">
        <f>HYPERLINK("https://twitter.com/puregreenxpress/status/1216901339344592896","1216901339344592896")</f>
        <v>1216901339344592896</v>
      </c>
      <c r="F2232" s="13" t="s">
        <v>10176</v>
      </c>
      <c r="G2232" s="14"/>
      <c r="H2232" s="14"/>
      <c r="I2232" s="15">
        <v>1.0</v>
      </c>
      <c r="J2232" s="15">
        <v>0.0</v>
      </c>
      <c r="K2232" s="12" t="str">
        <f>HYPERLINK("http://twitter.com","Twitter Web Client")</f>
        <v>Twitter Web Client</v>
      </c>
      <c r="L2232" s="16">
        <v>4232.0</v>
      </c>
      <c r="M2232" s="16">
        <v>3939.0</v>
      </c>
      <c r="N2232" s="16">
        <v>18.0</v>
      </c>
      <c r="O2232" s="17"/>
      <c r="P2232" s="18">
        <v>42832.91449074074</v>
      </c>
      <c r="Q2232" s="1" t="s">
        <v>4938</v>
      </c>
      <c r="R2232" s="1" t="s">
        <v>6406</v>
      </c>
      <c r="S2232" s="13" t="s">
        <v>6407</v>
      </c>
      <c r="T2232" s="14"/>
      <c r="U2232" s="19" t="str">
        <f>HYPERLINK("https://pbs.twimg.com/profile_images/850531013323218944/qtaGwM5r.jpg","View")</f>
        <v>View</v>
      </c>
      <c r="V2232" s="14"/>
      <c r="W2232" s="14"/>
      <c r="X2232" s="14"/>
      <c r="Y2232" s="14"/>
      <c r="Z2232" s="14"/>
    </row>
    <row r="2233">
      <c r="A2233" s="11">
        <v>43843.86458333333</v>
      </c>
      <c r="B2233" s="12" t="str">
        <f>HYPERLINK("https://twitter.com/TrainingMindful","@TrainingMindful")</f>
        <v>@TrainingMindful</v>
      </c>
      <c r="C2233" s="1" t="s">
        <v>94</v>
      </c>
      <c r="D2233" s="1" t="s">
        <v>1048</v>
      </c>
      <c r="E2233" s="12" t="str">
        <f>HYPERLINK("https://twitter.com/TrainingMindful/status/1216898981101477889","1216898981101477889")</f>
        <v>1216898981101477889</v>
      </c>
      <c r="F2233" s="13" t="s">
        <v>1049</v>
      </c>
      <c r="G2233" s="14"/>
      <c r="H2233" s="14"/>
      <c r="I2233" s="15">
        <v>0.0</v>
      </c>
      <c r="J2233" s="15">
        <v>3.0</v>
      </c>
      <c r="K2233" s="12" t="str">
        <f>HYPERLINK("https://www.socialoomph.com","SocialOomph")</f>
        <v>SocialOomph</v>
      </c>
      <c r="L2233" s="16">
        <v>185303.0</v>
      </c>
      <c r="M2233" s="16">
        <v>43980.0</v>
      </c>
      <c r="N2233" s="16">
        <v>2800.0</v>
      </c>
      <c r="O2233" s="17"/>
      <c r="P2233" s="18">
        <v>41286.039305555554</v>
      </c>
      <c r="Q2233" s="1" t="s">
        <v>97</v>
      </c>
      <c r="R2233" s="1" t="s">
        <v>98</v>
      </c>
      <c r="S2233" s="13" t="s">
        <v>99</v>
      </c>
      <c r="T2233" s="14"/>
      <c r="U2233" s="19" t="str">
        <f>HYPERLINK("https://pbs.twimg.com/profile_images/566526924059459584/gdMxDA9x.jpeg","View")</f>
        <v>View</v>
      </c>
      <c r="V2233" s="14"/>
      <c r="W2233" s="14"/>
      <c r="X2233" s="14"/>
      <c r="Y2233" s="14"/>
      <c r="Z2233" s="14"/>
    </row>
    <row r="2234">
      <c r="A2234" s="11">
        <v>43843.8609375</v>
      </c>
      <c r="B2234" s="12" t="str">
        <f>HYPERLINK("https://twitter.com/stepfowleryoga","@stepfowleryoga")</f>
        <v>@stepfowleryoga</v>
      </c>
      <c r="C2234" s="1" t="s">
        <v>10177</v>
      </c>
      <c r="D2234" s="1" t="s">
        <v>10178</v>
      </c>
      <c r="E2234" s="12" t="str">
        <f>HYPERLINK("https://twitter.com/stepfowleryoga/status/1216897658633277440","1216897658633277440")</f>
        <v>1216897658633277440</v>
      </c>
      <c r="F2234" s="13" t="s">
        <v>10179</v>
      </c>
      <c r="G2234" s="13" t="s">
        <v>10180</v>
      </c>
      <c r="H2234" s="14"/>
      <c r="I2234" s="15">
        <v>0.0</v>
      </c>
      <c r="J2234" s="15">
        <v>1.0</v>
      </c>
      <c r="K2234" s="12" t="str">
        <f>HYPERLINK("https://mobile.twitter.com","Twitter Web App")</f>
        <v>Twitter Web App</v>
      </c>
      <c r="L2234" s="16">
        <v>223.0</v>
      </c>
      <c r="M2234" s="16">
        <v>125.0</v>
      </c>
      <c r="N2234" s="16">
        <v>9.0</v>
      </c>
      <c r="O2234" s="17"/>
      <c r="P2234" s="18">
        <v>41853.28258101852</v>
      </c>
      <c r="Q2234" s="1" t="s">
        <v>550</v>
      </c>
      <c r="R2234" s="1" t="s">
        <v>10181</v>
      </c>
      <c r="S2234" s="13" t="s">
        <v>10182</v>
      </c>
      <c r="T2234" s="14"/>
      <c r="U2234" s="19" t="str">
        <f>HYPERLINK("https://pbs.twimg.com/profile_images/1138440035127234560/4HxWLfBG.jpg","View")</f>
        <v>View</v>
      </c>
      <c r="V2234" s="14"/>
      <c r="W2234" s="14"/>
      <c r="X2234" s="14"/>
      <c r="Y2234" s="14"/>
      <c r="Z2234" s="14"/>
    </row>
    <row r="2235">
      <c r="A2235" s="11">
        <v>43843.86053240741</v>
      </c>
      <c r="B2235" s="12" t="str">
        <f>HYPERLINK("https://twitter.com/dailyhealthpost","@dailyhealthpost")</f>
        <v>@dailyhealthpost</v>
      </c>
      <c r="C2235" s="1" t="s">
        <v>10183</v>
      </c>
      <c r="D2235" s="1" t="s">
        <v>10184</v>
      </c>
      <c r="E2235" s="12" t="str">
        <f>HYPERLINK("https://twitter.com/dailyhealthpost/status/1216897511878807553","1216897511878807553")</f>
        <v>1216897511878807553</v>
      </c>
      <c r="F2235" s="13" t="s">
        <v>10185</v>
      </c>
      <c r="G2235" s="13" t="s">
        <v>10186</v>
      </c>
      <c r="H2235" s="14"/>
      <c r="I2235" s="15">
        <v>0.0</v>
      </c>
      <c r="J2235" s="15">
        <v>1.0</v>
      </c>
      <c r="K2235" s="12" t="str">
        <f>HYPERLINK("https://missinglettr.com","Missinglettr")</f>
        <v>Missinglettr</v>
      </c>
      <c r="L2235" s="16">
        <v>10257.0</v>
      </c>
      <c r="M2235" s="16">
        <v>6836.0</v>
      </c>
      <c r="N2235" s="16">
        <v>0.0</v>
      </c>
      <c r="O2235" s="17"/>
      <c r="P2235" s="18">
        <v>41207.921261574076</v>
      </c>
      <c r="Q2235" s="14"/>
      <c r="R2235" s="1" t="s">
        <v>10187</v>
      </c>
      <c r="S2235" s="13" t="s">
        <v>10188</v>
      </c>
      <c r="T2235" s="14"/>
      <c r="U2235" s="19" t="str">
        <f>HYPERLINK("https://pbs.twimg.com/profile_images/378800000765259619/4ba36fe312d288f428dd7241582a2f30.jpeg","View")</f>
        <v>View</v>
      </c>
      <c r="V2235" s="14"/>
      <c r="W2235" s="14"/>
      <c r="X2235" s="14"/>
      <c r="Y2235" s="14"/>
      <c r="Z2235" s="14"/>
    </row>
    <row r="2236">
      <c r="A2236" s="11">
        <v>43843.85886574074</v>
      </c>
      <c r="B2236" s="12" t="str">
        <f>HYPERLINK("https://twitter.com/DvdndDiplomats","@DvdndDiplomats")</f>
        <v>@DvdndDiplomats</v>
      </c>
      <c r="C2236" s="1" t="s">
        <v>10189</v>
      </c>
      <c r="D2236" s="1" t="s">
        <v>10190</v>
      </c>
      <c r="E2236" s="12" t="str">
        <f>HYPERLINK("https://twitter.com/DvdndDiplomats/status/1216896908150607872","1216896908150607872")</f>
        <v>1216896908150607872</v>
      </c>
      <c r="F2236" s="13" t="s">
        <v>10191</v>
      </c>
      <c r="G2236" s="14"/>
      <c r="H2236" s="14"/>
      <c r="I2236" s="15">
        <v>0.0</v>
      </c>
      <c r="J2236" s="15">
        <v>0.0</v>
      </c>
      <c r="K2236" s="12" t="str">
        <f>HYPERLINK("https://mobile.twitter.com","Twitter Web App")</f>
        <v>Twitter Web App</v>
      </c>
      <c r="L2236" s="16">
        <v>10843.0</v>
      </c>
      <c r="M2236" s="16">
        <v>4224.0</v>
      </c>
      <c r="N2236" s="16">
        <v>414.0</v>
      </c>
      <c r="O2236" s="17"/>
      <c r="P2236" s="18">
        <v>41775.4991087963</v>
      </c>
      <c r="Q2236" s="1" t="s">
        <v>2788</v>
      </c>
      <c r="R2236" s="1" t="s">
        <v>10192</v>
      </c>
      <c r="S2236" s="13" t="s">
        <v>10193</v>
      </c>
      <c r="T2236" s="14"/>
      <c r="U2236" s="19" t="str">
        <f>HYPERLINK("https://pbs.twimg.com/profile_images/602500279737552896/usVCJCgK.jpg","View")</f>
        <v>View</v>
      </c>
      <c r="V2236" s="14"/>
      <c r="W2236" s="14"/>
      <c r="X2236" s="14"/>
      <c r="Y2236" s="14"/>
      <c r="Z2236" s="14"/>
    </row>
    <row r="2237">
      <c r="A2237" s="11">
        <v>43843.8566087963</v>
      </c>
      <c r="B2237" s="12" t="str">
        <f>HYPERLINK("https://twitter.com/itsgardningtime","@itsgardningtime")</f>
        <v>@itsgardningtime</v>
      </c>
      <c r="C2237" s="1" t="s">
        <v>1169</v>
      </c>
      <c r="D2237" s="1" t="s">
        <v>10194</v>
      </c>
      <c r="E2237" s="12" t="str">
        <f>HYPERLINK("https://twitter.com/itsgardningtime/status/1216896089401331712","1216896089401331712")</f>
        <v>1216896089401331712</v>
      </c>
      <c r="F2237" s="13" t="s">
        <v>10195</v>
      </c>
      <c r="G2237" s="14"/>
      <c r="H2237" s="14"/>
      <c r="I2237" s="15">
        <v>0.0</v>
      </c>
      <c r="J2237" s="15">
        <v>0.0</v>
      </c>
      <c r="K2237" s="12" t="str">
        <f>HYPERLINK("http://itsgardeningtime.com","its_twitter_app")</f>
        <v>its_twitter_app</v>
      </c>
      <c r="L2237" s="16">
        <v>4886.0</v>
      </c>
      <c r="M2237" s="16">
        <v>1450.0</v>
      </c>
      <c r="N2237" s="16">
        <v>112.0</v>
      </c>
      <c r="O2237" s="17"/>
      <c r="P2237" s="18">
        <v>41797.48112268519</v>
      </c>
      <c r="Q2237" s="1" t="s">
        <v>1172</v>
      </c>
      <c r="R2237" s="1" t="s">
        <v>1173</v>
      </c>
      <c r="S2237" s="13" t="s">
        <v>1174</v>
      </c>
      <c r="T2237" s="14"/>
      <c r="U2237" s="19" t="str">
        <f>HYPERLINK("https://pbs.twimg.com/profile_images/475316354694660096/LwQ1yvEV.jpeg","View")</f>
        <v>View</v>
      </c>
      <c r="V2237" s="14"/>
      <c r="W2237" s="14"/>
      <c r="X2237" s="14"/>
      <c r="Y2237" s="14"/>
      <c r="Z2237" s="14"/>
    </row>
    <row r="2238">
      <c r="A2238" s="11">
        <v>43843.85420138889</v>
      </c>
      <c r="B2238" s="12" t="str">
        <f>HYPERLINK("https://twitter.com/aboutmybrain","@aboutmybrain")</f>
        <v>@aboutmybrain</v>
      </c>
      <c r="C2238" s="1" t="s">
        <v>3949</v>
      </c>
      <c r="D2238" s="1" t="s">
        <v>10063</v>
      </c>
      <c r="E2238" s="12" t="str">
        <f>HYPERLINK("https://twitter.com/aboutmybrain/status/1216895217695174657","1216895217695174657")</f>
        <v>1216895217695174657</v>
      </c>
      <c r="F2238" s="13" t="s">
        <v>10196</v>
      </c>
      <c r="G2238" s="14"/>
      <c r="H2238" s="14"/>
      <c r="I2238" s="15">
        <v>0.0</v>
      </c>
      <c r="J2238" s="15">
        <v>0.0</v>
      </c>
      <c r="K2238" s="12" t="str">
        <f>HYPERLINK("https://coschedule.com","CoSchedule")</f>
        <v>CoSchedule</v>
      </c>
      <c r="L2238" s="16">
        <v>5965.0</v>
      </c>
      <c r="M2238" s="16">
        <v>1473.0</v>
      </c>
      <c r="N2238" s="16">
        <v>132.0</v>
      </c>
      <c r="O2238" s="17"/>
      <c r="P2238" s="18">
        <v>40090.03475694444</v>
      </c>
      <c r="Q2238" s="1" t="s">
        <v>51</v>
      </c>
      <c r="R2238" s="1" t="s">
        <v>3952</v>
      </c>
      <c r="S2238" s="13" t="s">
        <v>3953</v>
      </c>
      <c r="T2238" s="14"/>
      <c r="U2238" s="19" t="str">
        <f>HYPERLINK("https://pbs.twimg.com/profile_images/470549925399232512/torCKHbz.jpeg","View")</f>
        <v>View</v>
      </c>
      <c r="V2238" s="14"/>
      <c r="W2238" s="14"/>
      <c r="X2238" s="14"/>
      <c r="Y2238" s="14"/>
      <c r="Z2238" s="14"/>
    </row>
    <row r="2239">
      <c r="A2239" s="11">
        <v>43843.85042824074</v>
      </c>
      <c r="B2239" s="12" t="str">
        <f>HYPERLINK("https://twitter.com/MINDURANCE","@MINDURANCE")</f>
        <v>@MINDURANCE</v>
      </c>
      <c r="C2239" s="1" t="s">
        <v>8159</v>
      </c>
      <c r="D2239" s="1" t="s">
        <v>10197</v>
      </c>
      <c r="E2239" s="12" t="str">
        <f>HYPERLINK("https://twitter.com/MINDURANCE/status/1216893852788772865","1216893852788772865")</f>
        <v>1216893852788772865</v>
      </c>
      <c r="F2239" s="13" t="s">
        <v>10198</v>
      </c>
      <c r="G2239" s="14"/>
      <c r="H2239" s="14"/>
      <c r="I2239" s="15">
        <v>0.0</v>
      </c>
      <c r="J2239" s="15">
        <v>0.0</v>
      </c>
      <c r="K2239" s="12" t="str">
        <f>HYPERLINK("http://instagram.com","Instagram")</f>
        <v>Instagram</v>
      </c>
      <c r="L2239" s="16">
        <v>341.0</v>
      </c>
      <c r="M2239" s="16">
        <v>571.0</v>
      </c>
      <c r="N2239" s="16">
        <v>4.0</v>
      </c>
      <c r="O2239" s="17"/>
      <c r="P2239" s="18">
        <v>40463.57935185185</v>
      </c>
      <c r="Q2239" s="1" t="s">
        <v>8162</v>
      </c>
      <c r="R2239" s="1" t="s">
        <v>8163</v>
      </c>
      <c r="S2239" s="13" t="s">
        <v>8164</v>
      </c>
      <c r="T2239" s="14"/>
      <c r="U2239" s="19" t="str">
        <f>HYPERLINK("https://pbs.twimg.com/profile_images/706236197576683520/uTtaUwQk.jpg","View")</f>
        <v>View</v>
      </c>
      <c r="V2239" s="14"/>
      <c r="W2239" s="14"/>
      <c r="X2239" s="14"/>
      <c r="Y2239" s="14"/>
      <c r="Z2239" s="14"/>
    </row>
    <row r="2240">
      <c r="A2240" s="11">
        <v>43843.84771990741</v>
      </c>
      <c r="B2240" s="12" t="str">
        <f>HYPERLINK("https://twitter.com/hplus_creative","@hplus_creative")</f>
        <v>@hplus_creative</v>
      </c>
      <c r="C2240" s="1" t="s">
        <v>10199</v>
      </c>
      <c r="D2240" s="1" t="s">
        <v>10200</v>
      </c>
      <c r="E2240" s="12" t="str">
        <f>HYPERLINK("https://twitter.com/hplus_creative/status/1216892869165944833","1216892869165944833")</f>
        <v>1216892869165944833</v>
      </c>
      <c r="F2240" s="14"/>
      <c r="G2240" s="13" t="s">
        <v>10201</v>
      </c>
      <c r="H2240" s="14"/>
      <c r="I2240" s="15">
        <v>3.0</v>
      </c>
      <c r="J2240" s="15">
        <v>13.0</v>
      </c>
      <c r="K2240" s="12" t="str">
        <f>HYPERLINK("https://www.later.com","LaterMedia")</f>
        <v>LaterMedia</v>
      </c>
      <c r="L2240" s="16">
        <v>1089.0</v>
      </c>
      <c r="M2240" s="16">
        <v>110.0</v>
      </c>
      <c r="N2240" s="16">
        <v>4.0</v>
      </c>
      <c r="O2240" s="17"/>
      <c r="P2240" s="18">
        <v>42690.62878472223</v>
      </c>
      <c r="Q2240" s="1" t="s">
        <v>1493</v>
      </c>
      <c r="R2240" s="1" t="s">
        <v>10202</v>
      </c>
      <c r="S2240" s="13" t="s">
        <v>10203</v>
      </c>
      <c r="T2240" s="14"/>
      <c r="U2240" s="19" t="str">
        <f>HYPERLINK("https://pbs.twimg.com/profile_images/1090402010430468098/ryXWqqBK.jpg","View")</f>
        <v>View</v>
      </c>
      <c r="V2240" s="14"/>
      <c r="W2240" s="14"/>
      <c r="X2240" s="14"/>
      <c r="Y2240" s="14"/>
      <c r="Z2240" s="14"/>
    </row>
    <row r="2241">
      <c r="A2241" s="11">
        <v>43843.846817129626</v>
      </c>
      <c r="B2241" s="12" t="str">
        <f>HYPERLINK("https://twitter.com/MarcelaPuig12","@MarcelaPuig12")</f>
        <v>@MarcelaPuig12</v>
      </c>
      <c r="C2241" s="1" t="s">
        <v>6044</v>
      </c>
      <c r="D2241" s="1" t="s">
        <v>10204</v>
      </c>
      <c r="E2241" s="12" t="str">
        <f>HYPERLINK("https://twitter.com/MarcelaPuig12/status/1216892540479250432","1216892540479250432")</f>
        <v>1216892540479250432</v>
      </c>
      <c r="F2241" s="13" t="s">
        <v>6046</v>
      </c>
      <c r="G2241" s="13" t="s">
        <v>10205</v>
      </c>
      <c r="H2241" s="14"/>
      <c r="I2241" s="15">
        <v>2.0</v>
      </c>
      <c r="J2241" s="15">
        <v>1.0</v>
      </c>
      <c r="K2241" s="12" t="str">
        <f t="shared" ref="K2241:K2242" si="229">HYPERLINK("http://twitter.com/download/android","Twitter for Android")</f>
        <v>Twitter for Android</v>
      </c>
      <c r="L2241" s="16">
        <v>219.0</v>
      </c>
      <c r="M2241" s="16">
        <v>840.0</v>
      </c>
      <c r="N2241" s="16">
        <v>0.0</v>
      </c>
      <c r="O2241" s="17"/>
      <c r="P2241" s="18">
        <v>43753.540717592594</v>
      </c>
      <c r="Q2241" s="14"/>
      <c r="R2241" s="1" t="s">
        <v>6048</v>
      </c>
      <c r="S2241" s="14"/>
      <c r="T2241" s="14"/>
      <c r="U2241" s="19" t="str">
        <f>HYPERLINK("https://pbs.twimg.com/profile_images/1186176562363797505/dBd_JwtD.jpg","View")</f>
        <v>View</v>
      </c>
      <c r="V2241" s="14"/>
      <c r="W2241" s="14"/>
      <c r="X2241" s="14"/>
      <c r="Y2241" s="14"/>
      <c r="Z2241" s="14"/>
    </row>
    <row r="2242">
      <c r="A2242" s="11">
        <v>43843.84634259259</v>
      </c>
      <c r="B2242" s="12" t="str">
        <f>HYPERLINK("https://twitter.com/tlugomsw","@tlugomsw")</f>
        <v>@tlugomsw</v>
      </c>
      <c r="C2242" s="1" t="s">
        <v>10206</v>
      </c>
      <c r="D2242" s="1" t="s">
        <v>10207</v>
      </c>
      <c r="E2242" s="12" t="str">
        <f>HYPERLINK("https://twitter.com/tlugomsw/status/1216892368525451265","1216892368525451265")</f>
        <v>1216892368525451265</v>
      </c>
      <c r="F2242" s="14"/>
      <c r="G2242" s="13" t="s">
        <v>10208</v>
      </c>
      <c r="H2242" s="14"/>
      <c r="I2242" s="15">
        <v>0.0</v>
      </c>
      <c r="J2242" s="15">
        <v>0.0</v>
      </c>
      <c r="K2242" s="12" t="str">
        <f t="shared" si="229"/>
        <v>Twitter for Android</v>
      </c>
      <c r="L2242" s="16">
        <v>173.0</v>
      </c>
      <c r="M2242" s="16">
        <v>501.0</v>
      </c>
      <c r="N2242" s="16">
        <v>33.0</v>
      </c>
      <c r="O2242" s="17"/>
      <c r="P2242" s="18">
        <v>41312.46962962963</v>
      </c>
      <c r="Q2242" s="1" t="s">
        <v>719</v>
      </c>
      <c r="R2242" s="1" t="s">
        <v>10209</v>
      </c>
      <c r="S2242" s="14"/>
      <c r="T2242" s="14"/>
      <c r="U2242" s="19" t="str">
        <f>HYPERLINK("https://pbs.twimg.com/profile_images/1138838705832169478/G6QMH374.png","View")</f>
        <v>View</v>
      </c>
      <c r="V2242" s="14"/>
      <c r="W2242" s="14"/>
      <c r="X2242" s="14"/>
      <c r="Y2242" s="14"/>
      <c r="Z2242" s="14"/>
    </row>
    <row r="2243">
      <c r="A2243" s="11">
        <v>43843.84516203703</v>
      </c>
      <c r="B2243" s="12" t="str">
        <f>HYPERLINK("https://twitter.com/UkHealing","@UkHealing")</f>
        <v>@UkHealing</v>
      </c>
      <c r="C2243" s="1" t="s">
        <v>3041</v>
      </c>
      <c r="D2243" s="1" t="s">
        <v>3042</v>
      </c>
      <c r="E2243" s="12" t="str">
        <f>HYPERLINK("https://twitter.com/UkHealing/status/1216891941746610177","1216891941746610177")</f>
        <v>1216891941746610177</v>
      </c>
      <c r="F2243" s="13" t="s">
        <v>3043</v>
      </c>
      <c r="G2243" s="14"/>
      <c r="H2243" s="14"/>
      <c r="I2243" s="15">
        <v>0.0</v>
      </c>
      <c r="J2243" s="15">
        <v>0.0</v>
      </c>
      <c r="K2243" s="12" t="str">
        <f t="shared" ref="K2243:K2245" si="230">HYPERLINK("https://about.twitter.com/products/tweetdeck","TweetDeck")</f>
        <v>TweetDeck</v>
      </c>
      <c r="L2243" s="16">
        <v>2973.0</v>
      </c>
      <c r="M2243" s="16">
        <v>2561.0</v>
      </c>
      <c r="N2243" s="16">
        <v>126.0</v>
      </c>
      <c r="O2243" s="17"/>
      <c r="P2243" s="18">
        <v>41840.739641203705</v>
      </c>
      <c r="Q2243" s="1" t="s">
        <v>864</v>
      </c>
      <c r="R2243" s="1" t="s">
        <v>3044</v>
      </c>
      <c r="S2243" s="13" t="s">
        <v>3045</v>
      </c>
      <c r="T2243" s="14"/>
      <c r="U2243" s="19" t="str">
        <f>HYPERLINK("https://pbs.twimg.com/profile_images/774978994202640384/qOaG55za.jpg","View")</f>
        <v>View</v>
      </c>
      <c r="V2243" s="14"/>
      <c r="W2243" s="14"/>
      <c r="X2243" s="14"/>
      <c r="Y2243" s="14"/>
      <c r="Z2243" s="14"/>
    </row>
    <row r="2244">
      <c r="A2244" s="11">
        <v>43843.84506944445</v>
      </c>
      <c r="B2244" s="12" t="str">
        <f>HYPERLINK("https://twitter.com/todaygame","@todaygame")</f>
        <v>@todaygame</v>
      </c>
      <c r="C2244" s="1" t="s">
        <v>3046</v>
      </c>
      <c r="D2244" s="1" t="s">
        <v>3042</v>
      </c>
      <c r="E2244" s="12" t="str">
        <f>HYPERLINK("https://twitter.com/todaygame/status/1216891907583946758","1216891907583946758")</f>
        <v>1216891907583946758</v>
      </c>
      <c r="F2244" s="13" t="s">
        <v>3043</v>
      </c>
      <c r="G2244" s="14"/>
      <c r="H2244" s="14"/>
      <c r="I2244" s="15">
        <v>0.0</v>
      </c>
      <c r="J2244" s="15">
        <v>0.0</v>
      </c>
      <c r="K2244" s="12" t="str">
        <f t="shared" si="230"/>
        <v>TweetDeck</v>
      </c>
      <c r="L2244" s="16">
        <v>5000.0</v>
      </c>
      <c r="M2244" s="16">
        <v>5148.0</v>
      </c>
      <c r="N2244" s="16">
        <v>134.0</v>
      </c>
      <c r="O2244" s="17"/>
      <c r="P2244" s="18">
        <v>42491.4437037037</v>
      </c>
      <c r="Q2244" s="1" t="s">
        <v>3047</v>
      </c>
      <c r="R2244" s="1" t="s">
        <v>3048</v>
      </c>
      <c r="S2244" s="13" t="s">
        <v>3049</v>
      </c>
      <c r="T2244" s="14"/>
      <c r="U2244" s="19" t="str">
        <f>HYPERLINK("https://pbs.twimg.com/profile_images/726786777336287232/xrx7hPPR.jpg","View")</f>
        <v>View</v>
      </c>
      <c r="V2244" s="14"/>
      <c r="W2244" s="14"/>
      <c r="X2244" s="14"/>
      <c r="Y2244" s="14"/>
      <c r="Z2244" s="14"/>
    </row>
    <row r="2245">
      <c r="A2245" s="11">
        <v>43843.844988425924</v>
      </c>
      <c r="B2245" s="12" t="str">
        <f>HYPERLINK("https://twitter.com/CSCarrigan","@CSCarrigan")</f>
        <v>@CSCarrigan</v>
      </c>
      <c r="C2245" s="1" t="s">
        <v>3050</v>
      </c>
      <c r="D2245" s="1" t="s">
        <v>3042</v>
      </c>
      <c r="E2245" s="12" t="str">
        <f>HYPERLINK("https://twitter.com/CSCarrigan/status/1216891880484614150","1216891880484614150")</f>
        <v>1216891880484614150</v>
      </c>
      <c r="F2245" s="13" t="s">
        <v>3043</v>
      </c>
      <c r="G2245" s="14"/>
      <c r="H2245" s="14"/>
      <c r="I2245" s="15">
        <v>0.0</v>
      </c>
      <c r="J2245" s="15">
        <v>0.0</v>
      </c>
      <c r="K2245" s="12" t="str">
        <f t="shared" si="230"/>
        <v>TweetDeck</v>
      </c>
      <c r="L2245" s="16">
        <v>37940.0</v>
      </c>
      <c r="M2245" s="16">
        <v>37662.0</v>
      </c>
      <c r="N2245" s="16">
        <v>1806.0</v>
      </c>
      <c r="O2245" s="17"/>
      <c r="P2245" s="18">
        <v>40517.405439814815</v>
      </c>
      <c r="Q2245" s="1" t="s">
        <v>3051</v>
      </c>
      <c r="R2245" s="1" t="s">
        <v>3052</v>
      </c>
      <c r="S2245" s="13" t="s">
        <v>3053</v>
      </c>
      <c r="T2245" s="14"/>
      <c r="U2245" s="19" t="str">
        <f>HYPERLINK("https://pbs.twimg.com/profile_images/672624656969543680/smgQ9bun.jpg","View")</f>
        <v>View</v>
      </c>
      <c r="V2245" s="14"/>
      <c r="W2245" s="14"/>
      <c r="X2245" s="14"/>
      <c r="Y2245" s="14"/>
      <c r="Z2245" s="14"/>
    </row>
    <row r="2246">
      <c r="A2246" s="11">
        <v>43843.844305555554</v>
      </c>
      <c r="B2246" s="12" t="str">
        <f>HYPERLINK("https://twitter.com/AngelFaceMedia","@AngelFaceMedia")</f>
        <v>@AngelFaceMedia</v>
      </c>
      <c r="C2246" s="1" t="s">
        <v>6520</v>
      </c>
      <c r="D2246" s="1" t="s">
        <v>10210</v>
      </c>
      <c r="E2246" s="12" t="str">
        <f>HYPERLINK("https://twitter.com/AngelFaceMedia/status/1216891631502270466","1216891631502270466")</f>
        <v>1216891631502270466</v>
      </c>
      <c r="F2246" s="14"/>
      <c r="G2246" s="13" t="s">
        <v>10211</v>
      </c>
      <c r="H2246" s="14"/>
      <c r="I2246" s="15">
        <v>1.0</v>
      </c>
      <c r="J2246" s="15">
        <v>0.0</v>
      </c>
      <c r="K2246" s="12" t="str">
        <f>HYPERLINK("https://www.later.com","LaterMedia")</f>
        <v>LaterMedia</v>
      </c>
      <c r="L2246" s="16">
        <v>4609.0</v>
      </c>
      <c r="M2246" s="16">
        <v>4796.0</v>
      </c>
      <c r="N2246" s="16">
        <v>524.0</v>
      </c>
      <c r="O2246" s="17"/>
      <c r="P2246" s="18">
        <v>40356.48460648148</v>
      </c>
      <c r="Q2246" s="1" t="s">
        <v>521</v>
      </c>
      <c r="R2246" s="1" t="s">
        <v>6523</v>
      </c>
      <c r="S2246" s="14"/>
      <c r="T2246" s="14"/>
      <c r="U2246" s="19" t="str">
        <f>HYPERLINK("https://pbs.twimg.com/profile_images/801836897345609729/c2DydRe_.jpg","View")</f>
        <v>View</v>
      </c>
      <c r="V2246" s="14"/>
      <c r="W2246" s="14"/>
      <c r="X2246" s="14"/>
      <c r="Y2246" s="14"/>
      <c r="Z2246" s="14"/>
    </row>
    <row r="2247">
      <c r="A2247" s="11">
        <v>43843.84305555555</v>
      </c>
      <c r="B2247" s="12" t="str">
        <f>HYPERLINK("https://twitter.com/ChronicPainAlly","@ChronicPainAlly")</f>
        <v>@ChronicPainAlly</v>
      </c>
      <c r="C2247" s="1" t="s">
        <v>4830</v>
      </c>
      <c r="D2247" s="1" t="s">
        <v>10212</v>
      </c>
      <c r="E2247" s="12" t="str">
        <f>HYPERLINK("https://twitter.com/ChronicPainAlly/status/1216891178571960321","1216891178571960321")</f>
        <v>1216891178571960321</v>
      </c>
      <c r="F2247" s="13" t="s">
        <v>10213</v>
      </c>
      <c r="G2247" s="13" t="s">
        <v>10214</v>
      </c>
      <c r="H2247" s="14"/>
      <c r="I2247" s="15">
        <v>0.0</v>
      </c>
      <c r="J2247" s="15">
        <v>2.0</v>
      </c>
      <c r="K2247" s="12" t="str">
        <f>HYPERLINK("https://missinglettr.com","Missinglettr")</f>
        <v>Missinglettr</v>
      </c>
      <c r="L2247" s="16">
        <v>2226.0</v>
      </c>
      <c r="M2247" s="16">
        <v>3499.0</v>
      </c>
      <c r="N2247" s="16">
        <v>36.0</v>
      </c>
      <c r="O2247" s="17"/>
      <c r="P2247" s="18">
        <v>42926.996041666665</v>
      </c>
      <c r="Q2247" s="1" t="s">
        <v>1493</v>
      </c>
      <c r="R2247" s="1" t="s">
        <v>4834</v>
      </c>
      <c r="S2247" s="14"/>
      <c r="T2247" s="14"/>
      <c r="U2247" s="19" t="str">
        <f>HYPERLINK("https://pbs.twimg.com/profile_images/884626248487510016/Ar73oPlX.jpg","View")</f>
        <v>View</v>
      </c>
      <c r="V2247" s="14"/>
      <c r="W2247" s="14"/>
      <c r="X2247" s="14"/>
      <c r="Y2247" s="14"/>
      <c r="Z2247" s="14"/>
    </row>
    <row r="2248">
      <c r="A2248" s="11">
        <v>43843.834745370375</v>
      </c>
      <c r="B2248" s="12" t="str">
        <f>HYPERLINK("https://twitter.com/SipCourage","@SipCourage")</f>
        <v>@SipCourage</v>
      </c>
      <c r="C2248" s="1" t="s">
        <v>270</v>
      </c>
      <c r="D2248" s="1" t="s">
        <v>10215</v>
      </c>
      <c r="E2248" s="12" t="str">
        <f>HYPERLINK("https://twitter.com/SipCourage/status/1216888167619596294","1216888167619596294")</f>
        <v>1216888167619596294</v>
      </c>
      <c r="F2248" s="13" t="s">
        <v>10216</v>
      </c>
      <c r="G2248" s="13" t="s">
        <v>10217</v>
      </c>
      <c r="H2248" s="14"/>
      <c r="I2248" s="15">
        <v>0.0</v>
      </c>
      <c r="J2248" s="15">
        <v>1.0</v>
      </c>
      <c r="K2248" s="12" t="str">
        <f>HYPERLINK("https://buffer.com","Buffer")</f>
        <v>Buffer</v>
      </c>
      <c r="L2248" s="16">
        <v>11532.0</v>
      </c>
      <c r="M2248" s="16">
        <v>11161.0</v>
      </c>
      <c r="N2248" s="16">
        <v>67.0</v>
      </c>
      <c r="O2248" s="17"/>
      <c r="P2248" s="18">
        <v>43567.57980324074</v>
      </c>
      <c r="Q2248" s="1" t="s">
        <v>115</v>
      </c>
      <c r="R2248" s="1" t="s">
        <v>273</v>
      </c>
      <c r="S2248" s="13" t="s">
        <v>274</v>
      </c>
      <c r="T2248" s="14"/>
      <c r="U2248" s="19" t="str">
        <f>HYPERLINK("https://pbs.twimg.com/profile_images/1116772004894523392/MD8DI7fb.png","View")</f>
        <v>View</v>
      </c>
      <c r="V2248" s="14"/>
      <c r="W2248" s="14"/>
      <c r="X2248" s="14"/>
      <c r="Y2248" s="14"/>
      <c r="Z2248" s="14"/>
    </row>
    <row r="2249">
      <c r="A2249" s="11">
        <v>43843.83363425926</v>
      </c>
      <c r="B2249" s="12" t="str">
        <f>HYPERLINK("https://twitter.com/TexasPSR","@TexasPSR")</f>
        <v>@TexasPSR</v>
      </c>
      <c r="C2249" s="1" t="s">
        <v>10218</v>
      </c>
      <c r="D2249" s="1" t="s">
        <v>10219</v>
      </c>
      <c r="E2249" s="12" t="str">
        <f>HYPERLINK("https://twitter.com/TexasPSR/status/1216887766543486978","1216887766543486978")</f>
        <v>1216887766543486978</v>
      </c>
      <c r="F2249" s="13" t="s">
        <v>10220</v>
      </c>
      <c r="G2249" s="14"/>
      <c r="H2249" s="14"/>
      <c r="I2249" s="15">
        <v>0.0</v>
      </c>
      <c r="J2249" s="15">
        <v>1.0</v>
      </c>
      <c r="K2249" s="12" t="str">
        <f>HYPERLINK("https://www.hootsuite.com","Hootsuite Inc.")</f>
        <v>Hootsuite Inc.</v>
      </c>
      <c r="L2249" s="16">
        <v>84.0</v>
      </c>
      <c r="M2249" s="16">
        <v>136.0</v>
      </c>
      <c r="N2249" s="16">
        <v>4.0</v>
      </c>
      <c r="O2249" s="17"/>
      <c r="P2249" s="18">
        <v>42299.50938657408</v>
      </c>
      <c r="Q2249" s="1" t="s">
        <v>2576</v>
      </c>
      <c r="R2249" s="14"/>
      <c r="S2249" s="13" t="s">
        <v>10221</v>
      </c>
      <c r="T2249" s="14"/>
      <c r="U2249" s="19" t="str">
        <f>HYPERLINK("https://pbs.twimg.com/profile_images/657245009062703104/mppRhhWS.png","View")</f>
        <v>View</v>
      </c>
      <c r="V2249" s="14"/>
      <c r="W2249" s="14"/>
      <c r="X2249" s="14"/>
      <c r="Y2249" s="14"/>
      <c r="Z2249" s="14"/>
    </row>
    <row r="2250">
      <c r="A2250" s="11">
        <v>43843.83346064815</v>
      </c>
      <c r="B2250" s="12" t="str">
        <f>HYPERLINK("https://twitter.com/EnTranceHypno","@EnTranceHypno")</f>
        <v>@EnTranceHypno</v>
      </c>
      <c r="C2250" s="1" t="s">
        <v>3908</v>
      </c>
      <c r="D2250" s="1" t="s">
        <v>10222</v>
      </c>
      <c r="E2250" s="12" t="str">
        <f>HYPERLINK("https://twitter.com/EnTranceHypno/status/1216887703578476545","1216887703578476545")</f>
        <v>1216887703578476545</v>
      </c>
      <c r="F2250" s="13" t="s">
        <v>10223</v>
      </c>
      <c r="G2250" s="14"/>
      <c r="H2250" s="14"/>
      <c r="I2250" s="15">
        <v>0.0</v>
      </c>
      <c r="J2250" s="15">
        <v>1.0</v>
      </c>
      <c r="K2250" s="12" t="str">
        <f>HYPERLINK("https://buffer.com","Buffer")</f>
        <v>Buffer</v>
      </c>
      <c r="L2250" s="16">
        <v>4037.0</v>
      </c>
      <c r="M2250" s="16">
        <v>4790.0</v>
      </c>
      <c r="N2250" s="16">
        <v>78.0</v>
      </c>
      <c r="O2250" s="17"/>
      <c r="P2250" s="18">
        <v>42163.66237268518</v>
      </c>
      <c r="Q2250" s="1" t="s">
        <v>3911</v>
      </c>
      <c r="R2250" s="1" t="s">
        <v>3912</v>
      </c>
      <c r="S2250" s="13" t="s">
        <v>3913</v>
      </c>
      <c r="T2250" s="14"/>
      <c r="U2250" s="19" t="str">
        <f>HYPERLINK("https://pbs.twimg.com/profile_images/735005628146409472/JV-RqJcr.jpg","View")</f>
        <v>View</v>
      </c>
      <c r="V2250" s="14"/>
      <c r="W2250" s="14"/>
      <c r="X2250" s="14"/>
      <c r="Y2250" s="14"/>
      <c r="Z2250" s="14"/>
    </row>
    <row r="2251">
      <c r="A2251" s="11">
        <v>43843.83333333333</v>
      </c>
      <c r="B2251" s="12" t="str">
        <f>HYPERLINK("https://twitter.com/PHCOE","@PHCOE")</f>
        <v>@PHCOE</v>
      </c>
      <c r="C2251" s="1" t="s">
        <v>4359</v>
      </c>
      <c r="D2251" s="1" t="s">
        <v>10224</v>
      </c>
      <c r="E2251" s="12" t="str">
        <f>HYPERLINK("https://twitter.com/PHCOE/status/1216887656077938690","1216887656077938690")</f>
        <v>1216887656077938690</v>
      </c>
      <c r="F2251" s="13" t="s">
        <v>4361</v>
      </c>
      <c r="G2251" s="13" t="s">
        <v>10225</v>
      </c>
      <c r="H2251" s="14"/>
      <c r="I2251" s="15">
        <v>2.0</v>
      </c>
      <c r="J2251" s="15">
        <v>6.0</v>
      </c>
      <c r="K2251" s="12" t="str">
        <f>HYPERLINK("https://about.twitter.com/products/tweetdeck","TweetDeck")</f>
        <v>TweetDeck</v>
      </c>
      <c r="L2251" s="16">
        <v>17973.0</v>
      </c>
      <c r="M2251" s="16">
        <v>667.0</v>
      </c>
      <c r="N2251" s="16">
        <v>469.0</v>
      </c>
      <c r="O2251" s="20" t="s">
        <v>38</v>
      </c>
      <c r="P2251" s="18">
        <v>40198.57798611111</v>
      </c>
      <c r="Q2251" s="1" t="s">
        <v>4363</v>
      </c>
      <c r="R2251" s="1" t="s">
        <v>4364</v>
      </c>
      <c r="S2251" s="13" t="s">
        <v>4365</v>
      </c>
      <c r="T2251" s="14"/>
      <c r="U2251" s="19" t="str">
        <f>HYPERLINK("https://pbs.twimg.com/profile_images/1178734443135197185/VzKXddLS.jpg","View")</f>
        <v>View</v>
      </c>
      <c r="V2251" s="14"/>
      <c r="W2251" s="14"/>
      <c r="X2251" s="14"/>
      <c r="Y2251" s="14"/>
      <c r="Z2251" s="14"/>
    </row>
    <row r="2252">
      <c r="A2252" s="11">
        <v>43843.823171296295</v>
      </c>
      <c r="B2252" s="12" t="str">
        <f>HYPERLINK("https://twitter.com/acelestebooks","@acelestebooks")</f>
        <v>@acelestebooks</v>
      </c>
      <c r="C2252" s="1" t="s">
        <v>10226</v>
      </c>
      <c r="D2252" s="1" t="s">
        <v>10227</v>
      </c>
      <c r="E2252" s="12" t="str">
        <f>HYPERLINK("https://twitter.com/acelestebooks/status/1216883974519382016","1216883974519382016")</f>
        <v>1216883974519382016</v>
      </c>
      <c r="F2252" s="14"/>
      <c r="G2252" s="13" t="s">
        <v>10228</v>
      </c>
      <c r="H2252" s="14"/>
      <c r="I2252" s="15">
        <v>0.0</v>
      </c>
      <c r="J2252" s="15">
        <v>2.0</v>
      </c>
      <c r="K2252" s="12" t="str">
        <f>HYPERLINK("https://mobile.twitter.com","Twitter Web App")</f>
        <v>Twitter Web App</v>
      </c>
      <c r="L2252" s="16">
        <v>490.0</v>
      </c>
      <c r="M2252" s="16">
        <v>1214.0</v>
      </c>
      <c r="N2252" s="16">
        <v>40.0</v>
      </c>
      <c r="O2252" s="17"/>
      <c r="P2252" s="18">
        <v>42045.91061342593</v>
      </c>
      <c r="Q2252" s="1" t="s">
        <v>10229</v>
      </c>
      <c r="R2252" s="1" t="s">
        <v>10230</v>
      </c>
      <c r="S2252" s="13" t="s">
        <v>10231</v>
      </c>
      <c r="T2252" s="14"/>
      <c r="U2252" s="19" t="str">
        <f>HYPERLINK("https://pbs.twimg.com/profile_images/1139712998677913600/rB_sX8kN.jpg","View")</f>
        <v>View</v>
      </c>
      <c r="V2252" s="14"/>
      <c r="W2252" s="14"/>
      <c r="X2252" s="14"/>
      <c r="Y2252" s="14"/>
      <c r="Z2252" s="14"/>
    </row>
    <row r="2253">
      <c r="A2253" s="11">
        <v>43843.82153935185</v>
      </c>
      <c r="B2253" s="12" t="str">
        <f>HYPERLINK("https://twitter.com/bess_ivy","@bess_ivy")</f>
        <v>@bess_ivy</v>
      </c>
      <c r="C2253" s="1" t="s">
        <v>10232</v>
      </c>
      <c r="D2253" s="1" t="s">
        <v>10233</v>
      </c>
      <c r="E2253" s="12" t="str">
        <f>HYPERLINK("https://twitter.com/bess_ivy/status/1216883383395069952","1216883383395069952")</f>
        <v>1216883383395069952</v>
      </c>
      <c r="F2253" s="14"/>
      <c r="G2253" s="13" t="s">
        <v>10234</v>
      </c>
      <c r="H2253" s="14"/>
      <c r="I2253" s="15">
        <v>0.0</v>
      </c>
      <c r="J2253" s="15">
        <v>1.0</v>
      </c>
      <c r="K2253" s="12" t="str">
        <f>HYPERLINK("https://buffer.com","Buffer")</f>
        <v>Buffer</v>
      </c>
      <c r="L2253" s="16">
        <v>945.0</v>
      </c>
      <c r="M2253" s="16">
        <v>2528.0</v>
      </c>
      <c r="N2253" s="16">
        <v>5.0</v>
      </c>
      <c r="O2253" s="17"/>
      <c r="P2253" s="18">
        <v>43293.67119212963</v>
      </c>
      <c r="Q2253" s="14"/>
      <c r="R2253" s="1" t="s">
        <v>10235</v>
      </c>
      <c r="S2253" s="13" t="s">
        <v>10236</v>
      </c>
      <c r="T2253" s="14"/>
      <c r="U2253" s="19" t="str">
        <f>HYPERLINK("https://pbs.twimg.com/profile_images/1017512401372098560/ffNty9kF.jpg","View")</f>
        <v>View</v>
      </c>
      <c r="V2253" s="14"/>
      <c r="W2253" s="14"/>
      <c r="X2253" s="14"/>
      <c r="Y2253" s="14"/>
      <c r="Z2253" s="14"/>
    </row>
    <row r="2254">
      <c r="A2254" s="11">
        <v>43843.80758101852</v>
      </c>
      <c r="B2254" s="12" t="str">
        <f>HYPERLINK("https://twitter.com/NoliPManalo1","@NoliPManalo1")</f>
        <v>@NoliPManalo1</v>
      </c>
      <c r="C2254" s="1" t="s">
        <v>10237</v>
      </c>
      <c r="D2254" s="1" t="s">
        <v>10238</v>
      </c>
      <c r="E2254" s="12" t="str">
        <f>HYPERLINK("https://twitter.com/NoliPManalo1/status/1216878322170286081","1216878322170286081")</f>
        <v>1216878322170286081</v>
      </c>
      <c r="F2254" s="14"/>
      <c r="G2254" s="13" t="s">
        <v>10239</v>
      </c>
      <c r="H2254" s="14"/>
      <c r="I2254" s="15">
        <v>0.0</v>
      </c>
      <c r="J2254" s="15">
        <v>0.0</v>
      </c>
      <c r="K2254" s="12" t="str">
        <f>HYPERLINK("http://twitter.com/download/iphone","Twitter for iPhone")</f>
        <v>Twitter for iPhone</v>
      </c>
      <c r="L2254" s="16">
        <v>1.0</v>
      </c>
      <c r="M2254" s="16">
        <v>18.0</v>
      </c>
      <c r="N2254" s="16">
        <v>0.0</v>
      </c>
      <c r="O2254" s="17"/>
      <c r="P2254" s="18">
        <v>43747.18490740741</v>
      </c>
      <c r="Q2254" s="14"/>
      <c r="R2254" s="14"/>
      <c r="S2254" s="14"/>
      <c r="T2254" s="14"/>
      <c r="U2254" s="19" t="str">
        <f>HYPERLINK("https://pbs.twimg.com/profile_images/1181850153524711425/0ikByPcX.jpg","View")</f>
        <v>View</v>
      </c>
      <c r="V2254" s="14"/>
      <c r="W2254" s="14"/>
      <c r="X2254" s="14"/>
      <c r="Y2254" s="14"/>
      <c r="Z2254" s="14"/>
    </row>
    <row r="2255">
      <c r="A2255" s="11">
        <v>43843.80740740741</v>
      </c>
      <c r="B2255" s="12" t="str">
        <f>HYPERLINK("https://twitter.com/Sheree_Kirby","@Sheree_Kirby")</f>
        <v>@Sheree_Kirby</v>
      </c>
      <c r="C2255" s="1" t="s">
        <v>8283</v>
      </c>
      <c r="D2255" s="1" t="s">
        <v>10240</v>
      </c>
      <c r="E2255" s="12" t="str">
        <f>HYPERLINK("https://twitter.com/Sheree_Kirby/status/1216878262019903489","1216878262019903489")</f>
        <v>1216878262019903489</v>
      </c>
      <c r="F2255" s="14"/>
      <c r="G2255" s="14"/>
      <c r="H2255" s="14"/>
      <c r="I2255" s="15">
        <v>0.0</v>
      </c>
      <c r="J2255" s="15">
        <v>1.0</v>
      </c>
      <c r="K2255" s="12" t="str">
        <f>HYPERLINK("http://twitter.com/download/android","Twitter for Android")</f>
        <v>Twitter for Android</v>
      </c>
      <c r="L2255" s="16">
        <v>484.0</v>
      </c>
      <c r="M2255" s="16">
        <v>962.0</v>
      </c>
      <c r="N2255" s="16">
        <v>37.0</v>
      </c>
      <c r="O2255" s="17"/>
      <c r="P2255" s="18">
        <v>39932.612962962965</v>
      </c>
      <c r="Q2255" s="1" t="s">
        <v>268</v>
      </c>
      <c r="R2255" s="1" t="s">
        <v>8286</v>
      </c>
      <c r="S2255" s="13" t="s">
        <v>8287</v>
      </c>
      <c r="T2255" s="14"/>
      <c r="U2255" s="19" t="str">
        <f>HYPERLINK("https://pbs.twimg.com/profile_images/1187826075885285378/dqoH4fkL.jpg","View")</f>
        <v>View</v>
      </c>
      <c r="V2255" s="14"/>
      <c r="W2255" s="14"/>
      <c r="X2255" s="14"/>
      <c r="Y2255" s="14"/>
      <c r="Z2255" s="14"/>
    </row>
    <row r="2256">
      <c r="A2256" s="11">
        <v>43843.80208333333</v>
      </c>
      <c r="B2256" s="12" t="str">
        <f>HYPERLINK("https://twitter.com/TrainingMindful","@TrainingMindful")</f>
        <v>@TrainingMindful</v>
      </c>
      <c r="C2256" s="1" t="s">
        <v>94</v>
      </c>
      <c r="D2256" s="1" t="s">
        <v>5875</v>
      </c>
      <c r="E2256" s="12" t="str">
        <f>HYPERLINK("https://twitter.com/TrainingMindful/status/1216876331960557569","1216876331960557569")</f>
        <v>1216876331960557569</v>
      </c>
      <c r="F2256" s="13" t="s">
        <v>1208</v>
      </c>
      <c r="G2256" s="14"/>
      <c r="H2256" s="14"/>
      <c r="I2256" s="15">
        <v>3.0</v>
      </c>
      <c r="J2256" s="15">
        <v>7.0</v>
      </c>
      <c r="K2256" s="12" t="str">
        <f>HYPERLINK("https://www.socialoomph.com","SocialOomph")</f>
        <v>SocialOomph</v>
      </c>
      <c r="L2256" s="16">
        <v>185303.0</v>
      </c>
      <c r="M2256" s="16">
        <v>43980.0</v>
      </c>
      <c r="N2256" s="16">
        <v>2800.0</v>
      </c>
      <c r="O2256" s="17"/>
      <c r="P2256" s="18">
        <v>41286.039305555554</v>
      </c>
      <c r="Q2256" s="1" t="s">
        <v>97</v>
      </c>
      <c r="R2256" s="1" t="s">
        <v>98</v>
      </c>
      <c r="S2256" s="13" t="s">
        <v>99</v>
      </c>
      <c r="T2256" s="14"/>
      <c r="U2256" s="19" t="str">
        <f>HYPERLINK("https://pbs.twimg.com/profile_images/566526924059459584/gdMxDA9x.jpeg","View")</f>
        <v>View</v>
      </c>
      <c r="V2256" s="14"/>
      <c r="W2256" s="14"/>
      <c r="X2256" s="14"/>
      <c r="Y2256" s="14"/>
      <c r="Z2256" s="14"/>
    </row>
    <row r="2257">
      <c r="A2257" s="11">
        <v>43843.79864583333</v>
      </c>
      <c r="B2257" s="12" t="str">
        <f>HYPERLINK("https://twitter.com/blazemccool","@blazemccool")</f>
        <v>@blazemccool</v>
      </c>
      <c r="C2257" s="1" t="s">
        <v>10241</v>
      </c>
      <c r="D2257" s="1" t="s">
        <v>10242</v>
      </c>
      <c r="E2257" s="12" t="str">
        <f>HYPERLINK("https://twitter.com/blazemccool/status/1216875084536741892","1216875084536741892")</f>
        <v>1216875084536741892</v>
      </c>
      <c r="F2257" s="13" t="s">
        <v>10243</v>
      </c>
      <c r="G2257" s="13" t="s">
        <v>10244</v>
      </c>
      <c r="H2257" s="14"/>
      <c r="I2257" s="15">
        <v>0.0</v>
      </c>
      <c r="J2257" s="15">
        <v>0.0</v>
      </c>
      <c r="K2257" s="12" t="str">
        <f>HYPERLINK("http://meetedgar.com","MeetEdgar")</f>
        <v>MeetEdgar</v>
      </c>
      <c r="L2257" s="16">
        <v>16455.0</v>
      </c>
      <c r="M2257" s="16">
        <v>6425.0</v>
      </c>
      <c r="N2257" s="16">
        <v>312.0</v>
      </c>
      <c r="O2257" s="17"/>
      <c r="P2257" s="18">
        <v>39294.96959490741</v>
      </c>
      <c r="Q2257" s="1" t="s">
        <v>10245</v>
      </c>
      <c r="R2257" s="1" t="s">
        <v>10246</v>
      </c>
      <c r="S2257" s="13" t="s">
        <v>10247</v>
      </c>
      <c r="T2257" s="14"/>
      <c r="U2257" s="19" t="str">
        <f>HYPERLINK("https://pbs.twimg.com/profile_images/807294371666259968/4EHwlXnA.jpg","View")</f>
        <v>View</v>
      </c>
      <c r="V2257" s="14"/>
      <c r="W2257" s="14"/>
      <c r="X2257" s="14"/>
      <c r="Y2257" s="14"/>
      <c r="Z2257" s="14"/>
    </row>
    <row r="2258">
      <c r="A2258" s="11">
        <v>43843.79771990741</v>
      </c>
      <c r="B2258" s="12" t="str">
        <f>HYPERLINK("https://twitter.com/StressAddictSTL","@StressAddictSTL")</f>
        <v>@StressAddictSTL</v>
      </c>
      <c r="C2258" s="1" t="s">
        <v>10248</v>
      </c>
      <c r="D2258" s="1" t="s">
        <v>10249</v>
      </c>
      <c r="E2258" s="12" t="str">
        <f>HYPERLINK("https://twitter.com/StressAddictSTL/status/1216874749386805256","1216874749386805256")</f>
        <v>1216874749386805256</v>
      </c>
      <c r="F2258" s="13" t="s">
        <v>10250</v>
      </c>
      <c r="G2258" s="13" t="s">
        <v>10251</v>
      </c>
      <c r="H2258" s="14"/>
      <c r="I2258" s="15">
        <v>0.0</v>
      </c>
      <c r="J2258" s="15">
        <v>0.0</v>
      </c>
      <c r="K2258" s="12" t="str">
        <f>HYPERLINK("http://twitter.com/download/iphone","Twitter for iPhone")</f>
        <v>Twitter for iPhone</v>
      </c>
      <c r="L2258" s="16">
        <v>2.0</v>
      </c>
      <c r="M2258" s="16">
        <v>134.0</v>
      </c>
      <c r="N2258" s="16">
        <v>0.0</v>
      </c>
      <c r="O2258" s="17"/>
      <c r="P2258" s="18">
        <v>43843.068564814814</v>
      </c>
      <c r="Q2258" s="14"/>
      <c r="R2258" s="1" t="s">
        <v>10252</v>
      </c>
      <c r="S2258" s="13" t="s">
        <v>10253</v>
      </c>
      <c r="T2258" s="14"/>
      <c r="U2258" s="19" t="str">
        <f>HYPERLINK("https://pbs.twimg.com/profile_images/1216610565415677954/tt616pdO.jpg","View")</f>
        <v>View</v>
      </c>
      <c r="V2258" s="14"/>
      <c r="W2258" s="14"/>
      <c r="X2258" s="14"/>
      <c r="Y2258" s="14"/>
      <c r="Z2258" s="14"/>
    </row>
    <row r="2259">
      <c r="A2259" s="11">
        <v>43843.79745370371</v>
      </c>
      <c r="B2259" s="12" t="str">
        <f>HYPERLINK("https://twitter.com/LindaSamuels","@LindaSamuels")</f>
        <v>@LindaSamuels</v>
      </c>
      <c r="C2259" s="1" t="s">
        <v>10254</v>
      </c>
      <c r="D2259" s="1" t="s">
        <v>10255</v>
      </c>
      <c r="E2259" s="12" t="str">
        <f>HYPERLINK("https://twitter.com/LindaSamuels/status/1216874654935265286","1216874654935265286")</f>
        <v>1216874654935265286</v>
      </c>
      <c r="F2259" s="13" t="s">
        <v>10256</v>
      </c>
      <c r="G2259" s="13" t="s">
        <v>10257</v>
      </c>
      <c r="H2259" s="14"/>
      <c r="I2259" s="15">
        <v>0.0</v>
      </c>
      <c r="J2259" s="15">
        <v>1.0</v>
      </c>
      <c r="K2259" s="12" t="str">
        <f>HYPERLINK("https://www.hootsuite.com","Hootsuite Inc.")</f>
        <v>Hootsuite Inc.</v>
      </c>
      <c r="L2259" s="16">
        <v>5584.0</v>
      </c>
      <c r="M2259" s="16">
        <v>2729.0</v>
      </c>
      <c r="N2259" s="16">
        <v>312.0</v>
      </c>
      <c r="O2259" s="17"/>
      <c r="P2259" s="18">
        <v>40198.82266203704</v>
      </c>
      <c r="Q2259" s="1" t="s">
        <v>10258</v>
      </c>
      <c r="R2259" s="1" t="s">
        <v>10259</v>
      </c>
      <c r="S2259" s="13" t="s">
        <v>10260</v>
      </c>
      <c r="T2259" s="14"/>
      <c r="U2259" s="19" t="str">
        <f>HYPERLINK("https://pbs.twimg.com/profile_images/888432224156041216/2DS7Nui2.jpg","View")</f>
        <v>View</v>
      </c>
      <c r="V2259" s="14"/>
      <c r="W2259" s="14"/>
      <c r="X2259" s="14"/>
      <c r="Y2259" s="14"/>
      <c r="Z2259" s="14"/>
    </row>
    <row r="2260">
      <c r="A2260" s="11">
        <v>43843.79724537037</v>
      </c>
      <c r="B2260" s="12" t="str">
        <f>HYPERLINK("https://twitter.com/mhanorthshore","@mhanorthshore")</f>
        <v>@mhanorthshore</v>
      </c>
      <c r="C2260" s="1" t="s">
        <v>2334</v>
      </c>
      <c r="D2260" s="1" t="s">
        <v>10261</v>
      </c>
      <c r="E2260" s="12" t="str">
        <f>HYPERLINK("https://twitter.com/mhanorthshore/status/1216874576531075074","1216874576531075074")</f>
        <v>1216874576531075074</v>
      </c>
      <c r="F2260" s="13" t="s">
        <v>10262</v>
      </c>
      <c r="G2260" s="13" t="s">
        <v>10263</v>
      </c>
      <c r="H2260" s="14"/>
      <c r="I2260" s="15">
        <v>0.0</v>
      </c>
      <c r="J2260" s="15">
        <v>0.0</v>
      </c>
      <c r="K2260" s="12" t="str">
        <f>HYPERLINK("https://mobile.twitter.com","Twitter Web App")</f>
        <v>Twitter Web App</v>
      </c>
      <c r="L2260" s="16">
        <v>275.0</v>
      </c>
      <c r="M2260" s="16">
        <v>332.0</v>
      </c>
      <c r="N2260" s="16">
        <v>15.0</v>
      </c>
      <c r="O2260" s="17"/>
      <c r="P2260" s="18">
        <v>42702.43809027778</v>
      </c>
      <c r="Q2260" s="1" t="s">
        <v>2337</v>
      </c>
      <c r="R2260" s="1" t="s">
        <v>2338</v>
      </c>
      <c r="S2260" s="13" t="s">
        <v>2339</v>
      </c>
      <c r="T2260" s="14"/>
      <c r="U2260" s="19" t="str">
        <f>HYPERLINK("https://pbs.twimg.com/profile_images/803260862869798913/rVdlPE-m.jpg","View")</f>
        <v>View</v>
      </c>
      <c r="V2260" s="14"/>
      <c r="W2260" s="14"/>
      <c r="X2260" s="14"/>
      <c r="Y2260" s="14"/>
      <c r="Z2260" s="14"/>
    </row>
    <row r="2261">
      <c r="A2261" s="11">
        <v>43843.79652777778</v>
      </c>
      <c r="B2261" s="12" t="str">
        <f>HYPERLINK("https://twitter.com/MFLNFD","@MFLNFD")</f>
        <v>@MFLNFD</v>
      </c>
      <c r="C2261" s="1" t="s">
        <v>10264</v>
      </c>
      <c r="D2261" s="1" t="s">
        <v>10265</v>
      </c>
      <c r="E2261" s="12" t="str">
        <f>HYPERLINK("https://twitter.com/MFLNFD/status/1216874317050449920","1216874317050449920")</f>
        <v>1216874317050449920</v>
      </c>
      <c r="F2261" s="13" t="s">
        <v>10266</v>
      </c>
      <c r="G2261" s="14"/>
      <c r="H2261" s="14"/>
      <c r="I2261" s="15">
        <v>0.0</v>
      </c>
      <c r="J2261" s="15">
        <v>1.0</v>
      </c>
      <c r="K2261" s="12" t="str">
        <f>HYPERLINK("https://about.twitter.com/products/tweetdeck","TweetDeck")</f>
        <v>TweetDeck</v>
      </c>
      <c r="L2261" s="16">
        <v>539.0</v>
      </c>
      <c r="M2261" s="16">
        <v>642.0</v>
      </c>
      <c r="N2261" s="16">
        <v>25.0</v>
      </c>
      <c r="O2261" s="17"/>
      <c r="P2261" s="18">
        <v>41506.65387731481</v>
      </c>
      <c r="Q2261" s="14"/>
      <c r="R2261" s="1" t="s">
        <v>10267</v>
      </c>
      <c r="S2261" s="13" t="s">
        <v>10268</v>
      </c>
      <c r="T2261" s="14"/>
      <c r="U2261" s="19" t="str">
        <f>HYPERLINK("https://pbs.twimg.com/profile_images/592115320350978048/aFpaFhkY.jpg","View")</f>
        <v>View</v>
      </c>
      <c r="V2261" s="14"/>
      <c r="W2261" s="14"/>
      <c r="X2261" s="14"/>
      <c r="Y2261" s="14"/>
      <c r="Z2261" s="14"/>
    </row>
    <row r="2262">
      <c r="A2262" s="11">
        <v>43843.795428240745</v>
      </c>
      <c r="B2262" s="12" t="str">
        <f>HYPERLINK("https://twitter.com/WellnessWoman40","@WellnessWoman40")</f>
        <v>@WellnessWoman40</v>
      </c>
      <c r="C2262" s="1" t="s">
        <v>4710</v>
      </c>
      <c r="D2262" s="1" t="s">
        <v>10269</v>
      </c>
      <c r="E2262" s="12" t="str">
        <f>HYPERLINK("https://twitter.com/WellnessWoman40/status/1216873920365842432","1216873920365842432")</f>
        <v>1216873920365842432</v>
      </c>
      <c r="F2262" s="13" t="s">
        <v>10270</v>
      </c>
      <c r="G2262" s="14"/>
      <c r="H2262" s="14"/>
      <c r="I2262" s="15">
        <v>0.0</v>
      </c>
      <c r="J2262" s="15">
        <v>0.0</v>
      </c>
      <c r="K2262" s="12" t="str">
        <f>HYPERLINK("https://publer.io","Publer ")</f>
        <v>Publer </v>
      </c>
      <c r="L2262" s="16">
        <v>2049.0</v>
      </c>
      <c r="M2262" s="16">
        <v>2270.0</v>
      </c>
      <c r="N2262" s="16">
        <v>144.0</v>
      </c>
      <c r="O2262" s="17"/>
      <c r="P2262" s="18">
        <v>41518.217627314814</v>
      </c>
      <c r="Q2262" s="14"/>
      <c r="R2262" s="1" t="s">
        <v>4714</v>
      </c>
      <c r="S2262" s="13" t="s">
        <v>4715</v>
      </c>
      <c r="T2262" s="14"/>
      <c r="U2262" s="19" t="str">
        <f>HYPERLINK("https://pbs.twimg.com/profile_images/748153516753981441/bGP99V_x.jpg","View")</f>
        <v>View</v>
      </c>
      <c r="V2262" s="14"/>
      <c r="W2262" s="14"/>
      <c r="X2262" s="14"/>
      <c r="Y2262" s="14"/>
      <c r="Z2262" s="14"/>
    </row>
    <row r="2263">
      <c r="A2263" s="11">
        <v>43843.7953587963</v>
      </c>
      <c r="B2263" s="12" t="str">
        <f>HYPERLINK("https://twitter.com/youniquebyjanis","@youniquebyjanis")</f>
        <v>@youniquebyjanis</v>
      </c>
      <c r="C2263" s="1" t="s">
        <v>10271</v>
      </c>
      <c r="D2263" s="1" t="s">
        <v>10272</v>
      </c>
      <c r="E2263" s="12" t="str">
        <f>HYPERLINK("https://twitter.com/youniquebyjanis/status/1216873894210080769","1216873894210080769")</f>
        <v>1216873894210080769</v>
      </c>
      <c r="F2263" s="13" t="s">
        <v>10273</v>
      </c>
      <c r="G2263" s="13" t="s">
        <v>10274</v>
      </c>
      <c r="H2263" s="14"/>
      <c r="I2263" s="15">
        <v>0.0</v>
      </c>
      <c r="J2263" s="15">
        <v>0.0</v>
      </c>
      <c r="K2263" s="12" t="str">
        <f>HYPERLINK("http://twitter.com/download/iphone","Twitter for iPhone")</f>
        <v>Twitter for iPhone</v>
      </c>
      <c r="L2263" s="16">
        <v>455.0</v>
      </c>
      <c r="M2263" s="16">
        <v>548.0</v>
      </c>
      <c r="N2263" s="16">
        <v>44.0</v>
      </c>
      <c r="O2263" s="17"/>
      <c r="P2263" s="18">
        <v>41921.478993055556</v>
      </c>
      <c r="Q2263" s="1" t="s">
        <v>1806</v>
      </c>
      <c r="R2263" s="1" t="s">
        <v>10275</v>
      </c>
      <c r="S2263" s="13" t="s">
        <v>10273</v>
      </c>
      <c r="T2263" s="14"/>
      <c r="U2263" s="19" t="str">
        <f>HYPERLINK("https://pbs.twimg.com/profile_images/1154816497677742080/esuxETni.jpg","View")</f>
        <v>View</v>
      </c>
      <c r="V2263" s="14"/>
      <c r="W2263" s="14"/>
      <c r="X2263" s="14"/>
      <c r="Y2263" s="14"/>
      <c r="Z2263" s="14"/>
    </row>
    <row r="2264">
      <c r="A2264" s="11">
        <v>43843.79450231481</v>
      </c>
      <c r="B2264" s="12" t="str">
        <f>HYPERLINK("https://twitter.com/StressAddictSTL","@StressAddictSTL")</f>
        <v>@StressAddictSTL</v>
      </c>
      <c r="C2264" s="1" t="s">
        <v>10248</v>
      </c>
      <c r="D2264" s="1" t="s">
        <v>10276</v>
      </c>
      <c r="E2264" s="12" t="str">
        <f>HYPERLINK("https://twitter.com/StressAddictSTL/status/1216873585740066816","1216873585740066816")</f>
        <v>1216873585740066816</v>
      </c>
      <c r="F2264" s="1" t="s">
        <v>10277</v>
      </c>
      <c r="G2264" s="14"/>
      <c r="H2264" s="14"/>
      <c r="I2264" s="15">
        <v>0.0</v>
      </c>
      <c r="J2264" s="15">
        <v>0.0</v>
      </c>
      <c r="K2264" s="12" t="str">
        <f>HYPERLINK("http://instagram.com","Instagram")</f>
        <v>Instagram</v>
      </c>
      <c r="L2264" s="16">
        <v>2.0</v>
      </c>
      <c r="M2264" s="16">
        <v>134.0</v>
      </c>
      <c r="N2264" s="16">
        <v>0.0</v>
      </c>
      <c r="O2264" s="17"/>
      <c r="P2264" s="18">
        <v>43843.068564814814</v>
      </c>
      <c r="Q2264" s="14"/>
      <c r="R2264" s="1" t="s">
        <v>10252</v>
      </c>
      <c r="S2264" s="13" t="s">
        <v>10253</v>
      </c>
      <c r="T2264" s="14"/>
      <c r="U2264" s="19" t="str">
        <f>HYPERLINK("https://pbs.twimg.com/profile_images/1216610565415677954/tt616pdO.jpg","View")</f>
        <v>View</v>
      </c>
      <c r="V2264" s="14"/>
      <c r="W2264" s="14"/>
      <c r="X2264" s="14"/>
      <c r="Y2264" s="14"/>
      <c r="Z2264" s="14"/>
    </row>
    <row r="2265">
      <c r="A2265" s="11">
        <v>43843.791493055556</v>
      </c>
      <c r="B2265" s="12" t="str">
        <f>HYPERLINK("https://twitter.com/TLinsdau","@TLinsdau")</f>
        <v>@TLinsdau</v>
      </c>
      <c r="C2265" s="1" t="s">
        <v>2394</v>
      </c>
      <c r="D2265" s="1" t="s">
        <v>10278</v>
      </c>
      <c r="E2265" s="12" t="str">
        <f>HYPERLINK("https://twitter.com/TLinsdau/status/1216872491940925440","1216872491940925440")</f>
        <v>1216872491940925440</v>
      </c>
      <c r="F2265" s="13" t="s">
        <v>10279</v>
      </c>
      <c r="G2265" s="14"/>
      <c r="H2265" s="14"/>
      <c r="I2265" s="15">
        <v>0.0</v>
      </c>
      <c r="J2265" s="15">
        <v>1.0</v>
      </c>
      <c r="K2265" s="12" t="str">
        <f>HYPERLINK("https://mobile.twitter.com","Twitter Web App")</f>
        <v>Twitter Web App</v>
      </c>
      <c r="L2265" s="16">
        <v>10.0</v>
      </c>
      <c r="M2265" s="16">
        <v>13.0</v>
      </c>
      <c r="N2265" s="16">
        <v>0.0</v>
      </c>
      <c r="O2265" s="17"/>
      <c r="P2265" s="18">
        <v>41140.749548611115</v>
      </c>
      <c r="Q2265" s="1" t="s">
        <v>2397</v>
      </c>
      <c r="R2265" s="1" t="s">
        <v>2398</v>
      </c>
      <c r="S2265" s="13" t="s">
        <v>2399</v>
      </c>
      <c r="T2265" s="14"/>
      <c r="U2265" s="19" t="str">
        <f>HYPERLINK("https://pbs.twimg.com/profile_images/2522347628/Tim-Biz-Photo-web.jpg","View")</f>
        <v>View</v>
      </c>
      <c r="V2265" s="14"/>
      <c r="W2265" s="14"/>
      <c r="X2265" s="14"/>
      <c r="Y2265" s="14"/>
      <c r="Z2265" s="14"/>
    </row>
    <row r="2266">
      <c r="A2266" s="11">
        <v>43843.78696759259</v>
      </c>
      <c r="B2266" s="12" t="str">
        <f>HYPERLINK("https://twitter.com/AlexaSininsky","@AlexaSininsky")</f>
        <v>@AlexaSininsky</v>
      </c>
      <c r="C2266" s="1" t="s">
        <v>10280</v>
      </c>
      <c r="D2266" s="1" t="s">
        <v>10281</v>
      </c>
      <c r="E2266" s="12" t="str">
        <f>HYPERLINK("https://twitter.com/AlexaSininsky/status/1216870854614822912","1216870854614822912")</f>
        <v>1216870854614822912</v>
      </c>
      <c r="F2266" s="14"/>
      <c r="G2266" s="14"/>
      <c r="H2266" s="14"/>
      <c r="I2266" s="15">
        <v>0.0</v>
      </c>
      <c r="J2266" s="15">
        <v>0.0</v>
      </c>
      <c r="K2266" s="12" t="str">
        <f t="shared" ref="K2266:K2268" si="231">HYPERLINK("http://twitter.com/download/iphone","Twitter for iPhone")</f>
        <v>Twitter for iPhone</v>
      </c>
      <c r="L2266" s="16">
        <v>199.0</v>
      </c>
      <c r="M2266" s="16">
        <v>343.0</v>
      </c>
      <c r="N2266" s="16">
        <v>20.0</v>
      </c>
      <c r="O2266" s="17"/>
      <c r="P2266" s="18">
        <v>40767.78543981482</v>
      </c>
      <c r="Q2266" s="14"/>
      <c r="R2266" s="1" t="s">
        <v>10282</v>
      </c>
      <c r="S2266" s="13" t="s">
        <v>10283</v>
      </c>
      <c r="T2266" s="14"/>
      <c r="U2266" s="19" t="str">
        <f>HYPERLINK("https://pbs.twimg.com/profile_images/1210757012595695618/EM5HI7gV.jpg","View")</f>
        <v>View</v>
      </c>
      <c r="V2266" s="14"/>
      <c r="W2266" s="14"/>
      <c r="X2266" s="14"/>
      <c r="Y2266" s="14"/>
      <c r="Z2266" s="14"/>
    </row>
    <row r="2267">
      <c r="A2267" s="11">
        <v>43843.786898148144</v>
      </c>
      <c r="B2267" s="12" t="str">
        <f>HYPERLINK("https://twitter.com/HelenLowenstein","@HelenLowenstein")</f>
        <v>@HelenLowenstein</v>
      </c>
      <c r="C2267" s="1" t="s">
        <v>10284</v>
      </c>
      <c r="D2267" s="1" t="s">
        <v>10285</v>
      </c>
      <c r="E2267" s="12" t="str">
        <f>HYPERLINK("https://twitter.com/HelenLowenstein/status/1216870827951566848","1216870827951566848")</f>
        <v>1216870827951566848</v>
      </c>
      <c r="F2267" s="13" t="s">
        <v>10286</v>
      </c>
      <c r="G2267" s="13" t="s">
        <v>10287</v>
      </c>
      <c r="H2267" s="14"/>
      <c r="I2267" s="15">
        <v>0.0</v>
      </c>
      <c r="J2267" s="15">
        <v>0.0</v>
      </c>
      <c r="K2267" s="12" t="str">
        <f t="shared" si="231"/>
        <v>Twitter for iPhone</v>
      </c>
      <c r="L2267" s="16">
        <v>269.0</v>
      </c>
      <c r="M2267" s="16">
        <v>185.0</v>
      </c>
      <c r="N2267" s="16">
        <v>12.0</v>
      </c>
      <c r="O2267" s="17"/>
      <c r="P2267" s="18">
        <v>40955.80795138889</v>
      </c>
      <c r="Q2267" s="14"/>
      <c r="R2267" s="1" t="s">
        <v>10288</v>
      </c>
      <c r="S2267" s="14"/>
      <c r="T2267" s="14"/>
      <c r="U2267" s="19" t="str">
        <f>HYPERLINK("https://pbs.twimg.com/profile_images/1193163954765389826/rKMnfPqS.jpg","View")</f>
        <v>View</v>
      </c>
      <c r="V2267" s="14"/>
      <c r="W2267" s="14"/>
      <c r="X2267" s="14"/>
      <c r="Y2267" s="14"/>
      <c r="Z2267" s="14"/>
    </row>
    <row r="2268">
      <c r="A2268" s="11">
        <v>43843.783055555556</v>
      </c>
      <c r="B2268" s="12" t="str">
        <f>HYPERLINK("https://twitter.com/SCaldwell7201","@SCaldwell7201")</f>
        <v>@SCaldwell7201</v>
      </c>
      <c r="C2268" s="1" t="s">
        <v>10289</v>
      </c>
      <c r="D2268" s="1" t="s">
        <v>10290</v>
      </c>
      <c r="E2268" s="12" t="str">
        <f>HYPERLINK("https://twitter.com/SCaldwell7201/status/1216869434285051904","1216869434285051904")</f>
        <v>1216869434285051904</v>
      </c>
      <c r="F2268" s="1" t="s">
        <v>10291</v>
      </c>
      <c r="G2268" s="14"/>
      <c r="H2268" s="14"/>
      <c r="I2268" s="15">
        <v>0.0</v>
      </c>
      <c r="J2268" s="15">
        <v>1.0</v>
      </c>
      <c r="K2268" s="12" t="str">
        <f t="shared" si="231"/>
        <v>Twitter for iPhone</v>
      </c>
      <c r="L2268" s="16">
        <v>878.0</v>
      </c>
      <c r="M2268" s="16">
        <v>616.0</v>
      </c>
      <c r="N2268" s="16">
        <v>26.0</v>
      </c>
      <c r="O2268" s="17"/>
      <c r="P2268" s="18">
        <v>42177.65534722222</v>
      </c>
      <c r="Q2268" s="1" t="s">
        <v>2987</v>
      </c>
      <c r="R2268" s="1" t="s">
        <v>10292</v>
      </c>
      <c r="S2268" s="14"/>
      <c r="T2268" s="14"/>
      <c r="U2268" s="19" t="str">
        <f>HYPERLINK("https://pbs.twimg.com/profile_images/1005521000694333440/s2U4Xjqx.jpg","View")</f>
        <v>View</v>
      </c>
      <c r="V2268" s="14"/>
      <c r="W2268" s="14"/>
      <c r="X2268" s="14"/>
      <c r="Y2268" s="14"/>
      <c r="Z2268" s="14"/>
    </row>
    <row r="2269">
      <c r="A2269" s="11">
        <v>43843.77085648148</v>
      </c>
      <c r="B2269" s="12" t="str">
        <f>HYPERLINK("https://twitter.com/HerbalGardenFL","@HerbalGardenFL")</f>
        <v>@HerbalGardenFL</v>
      </c>
      <c r="C2269" s="1" t="s">
        <v>1803</v>
      </c>
      <c r="D2269" s="1" t="s">
        <v>10293</v>
      </c>
      <c r="E2269" s="12" t="str">
        <f>HYPERLINK("https://twitter.com/HerbalGardenFL/status/1216865015602479104","1216865015602479104")</f>
        <v>1216865015602479104</v>
      </c>
      <c r="F2269" s="1" t="s">
        <v>10294</v>
      </c>
      <c r="G2269" s="14"/>
      <c r="H2269" s="14"/>
      <c r="I2269" s="15">
        <v>0.0</v>
      </c>
      <c r="J2269" s="15">
        <v>1.0</v>
      </c>
      <c r="K2269" s="12" t="str">
        <f>HYPERLINK("https://kuku.io","Link account with KUKU.io")</f>
        <v>Link account with KUKU.io</v>
      </c>
      <c r="L2269" s="16">
        <v>129.0</v>
      </c>
      <c r="M2269" s="16">
        <v>90.0</v>
      </c>
      <c r="N2269" s="16">
        <v>3.0</v>
      </c>
      <c r="O2269" s="17"/>
      <c r="P2269" s="18">
        <v>41130.93263888889</v>
      </c>
      <c r="Q2269" s="1" t="s">
        <v>1806</v>
      </c>
      <c r="R2269" s="1" t="s">
        <v>1807</v>
      </c>
      <c r="S2269" s="13" t="s">
        <v>1808</v>
      </c>
      <c r="T2269" s="14"/>
      <c r="U2269" s="19" t="str">
        <f>HYPERLINK("https://pbs.twimg.com/profile_images/713345260160679936/WZnIHWw4.jpg","View")</f>
        <v>View</v>
      </c>
      <c r="V2269" s="14"/>
      <c r="W2269" s="14"/>
      <c r="X2269" s="14"/>
      <c r="Y2269" s="14"/>
      <c r="Z2269" s="14"/>
    </row>
    <row r="2270">
      <c r="A2270" s="11">
        <v>43843.7625</v>
      </c>
      <c r="B2270" s="12" t="str">
        <f>HYPERLINK("https://twitter.com/energyfocusinc","@energyfocusinc")</f>
        <v>@energyfocusinc</v>
      </c>
      <c r="C2270" s="1" t="s">
        <v>10295</v>
      </c>
      <c r="D2270" s="1" t="s">
        <v>10296</v>
      </c>
      <c r="E2270" s="12" t="str">
        <f>HYPERLINK("https://twitter.com/energyfocusinc/status/1216861988170629120","1216861988170629120")</f>
        <v>1216861988170629120</v>
      </c>
      <c r="F2270" s="13" t="s">
        <v>10297</v>
      </c>
      <c r="G2270" s="14"/>
      <c r="H2270" s="14"/>
      <c r="I2270" s="15">
        <v>1.0</v>
      </c>
      <c r="J2270" s="15">
        <v>2.0</v>
      </c>
      <c r="K2270" s="12" t="str">
        <f t="shared" ref="K2270:K2271" si="232">HYPERLINK("https://buffer.com","Buffer")</f>
        <v>Buffer</v>
      </c>
      <c r="L2270" s="16">
        <v>882.0</v>
      </c>
      <c r="M2270" s="16">
        <v>283.0</v>
      </c>
      <c r="N2270" s="16">
        <v>21.0</v>
      </c>
      <c r="O2270" s="17"/>
      <c r="P2270" s="18">
        <v>41760.678819444445</v>
      </c>
      <c r="Q2270" s="1" t="s">
        <v>10298</v>
      </c>
      <c r="R2270" s="1" t="s">
        <v>10299</v>
      </c>
      <c r="S2270" s="13" t="s">
        <v>10300</v>
      </c>
      <c r="T2270" s="14"/>
      <c r="U2270" s="19" t="str">
        <f>HYPERLINK("https://pbs.twimg.com/profile_images/1073224428186714112/P3pHFh9U.jpg","View")</f>
        <v>View</v>
      </c>
      <c r="V2270" s="14"/>
      <c r="W2270" s="14"/>
      <c r="X2270" s="14"/>
      <c r="Y2270" s="14"/>
      <c r="Z2270" s="14"/>
    </row>
    <row r="2271">
      <c r="A2271" s="11">
        <v>43843.75422453704</v>
      </c>
      <c r="B2271" s="12" t="str">
        <f>HYPERLINK("https://twitter.com/NelsonCreations","@NelsonCreations")</f>
        <v>@NelsonCreations</v>
      </c>
      <c r="C2271" s="1" t="s">
        <v>10301</v>
      </c>
      <c r="D2271" s="1" t="s">
        <v>10302</v>
      </c>
      <c r="E2271" s="12" t="str">
        <f>HYPERLINK("https://twitter.com/NelsonCreations/status/1216858985791459328","1216858985791459328")</f>
        <v>1216858985791459328</v>
      </c>
      <c r="F2271" s="13" t="s">
        <v>10303</v>
      </c>
      <c r="G2271" s="13" t="s">
        <v>10304</v>
      </c>
      <c r="H2271" s="14"/>
      <c r="I2271" s="15">
        <v>0.0</v>
      </c>
      <c r="J2271" s="15">
        <v>0.0</v>
      </c>
      <c r="K2271" s="12" t="str">
        <f t="shared" si="232"/>
        <v>Buffer</v>
      </c>
      <c r="L2271" s="16">
        <v>422.0</v>
      </c>
      <c r="M2271" s="16">
        <v>419.0</v>
      </c>
      <c r="N2271" s="16">
        <v>23.0</v>
      </c>
      <c r="O2271" s="17"/>
      <c r="P2271" s="18">
        <v>41671.62150462963</v>
      </c>
      <c r="Q2271" s="1" t="s">
        <v>10305</v>
      </c>
      <c r="R2271" s="1" t="s">
        <v>10306</v>
      </c>
      <c r="S2271" s="13" t="s">
        <v>10307</v>
      </c>
      <c r="T2271" s="14"/>
      <c r="U2271" s="19" t="str">
        <f>HYPERLINK("https://pbs.twimg.com/profile_images/1037417915614679040/13I8MsMp.jpg","View")</f>
        <v>View</v>
      </c>
      <c r="V2271" s="14"/>
      <c r="W2271" s="14"/>
      <c r="X2271" s="14"/>
      <c r="Y2271" s="14"/>
      <c r="Z2271" s="14"/>
    </row>
    <row r="2272">
      <c r="A2272" s="11">
        <v>43843.75241898149</v>
      </c>
      <c r="B2272" s="12" t="str">
        <f>HYPERLINK("https://twitter.com/philopsychotic","@philopsychotic")</f>
        <v>@philopsychotic</v>
      </c>
      <c r="C2272" s="1" t="s">
        <v>10308</v>
      </c>
      <c r="D2272" s="1" t="s">
        <v>10309</v>
      </c>
      <c r="E2272" s="12" t="str">
        <f>HYPERLINK("https://twitter.com/philopsychotic/status/1216858334315237376","1216858334315237376")</f>
        <v>1216858334315237376</v>
      </c>
      <c r="F2272" s="14"/>
      <c r="G2272" s="14"/>
      <c r="H2272" s="14"/>
      <c r="I2272" s="15">
        <v>0.0</v>
      </c>
      <c r="J2272" s="15">
        <v>0.0</v>
      </c>
      <c r="K2272" s="12" t="str">
        <f>HYPERLINK("http://twitter.com/download/iphone","Twitter for iPhone")</f>
        <v>Twitter for iPhone</v>
      </c>
      <c r="L2272" s="16">
        <v>39.0</v>
      </c>
      <c r="M2272" s="16">
        <v>37.0</v>
      </c>
      <c r="N2272" s="16">
        <v>1.0</v>
      </c>
      <c r="O2272" s="17"/>
      <c r="P2272" s="18">
        <v>43788.54456018518</v>
      </c>
      <c r="Q2272" s="14"/>
      <c r="R2272" s="1" t="s">
        <v>10310</v>
      </c>
      <c r="S2272" s="13" t="s">
        <v>10311</v>
      </c>
      <c r="T2272" s="14"/>
      <c r="U2272" s="19" t="str">
        <f>HYPERLINK("https://pbs.twimg.com/profile_images/1214043814316298241/VLifM5Nf.jpg","View")</f>
        <v>View</v>
      </c>
      <c r="V2272" s="14"/>
      <c r="W2272" s="14"/>
      <c r="X2272" s="14"/>
      <c r="Y2272" s="14"/>
      <c r="Z2272" s="14"/>
    </row>
    <row r="2273">
      <c r="A2273" s="11">
        <v>43843.75</v>
      </c>
      <c r="B2273" s="12" t="str">
        <f>HYPERLINK("https://twitter.com/SNHU","@SNHU")</f>
        <v>@SNHU</v>
      </c>
      <c r="C2273" s="1" t="s">
        <v>10312</v>
      </c>
      <c r="D2273" s="1" t="s">
        <v>10313</v>
      </c>
      <c r="E2273" s="12" t="str">
        <f>HYPERLINK("https://twitter.com/SNHU/status/1216857456393015296","1216857456393015296")</f>
        <v>1216857456393015296</v>
      </c>
      <c r="F2273" s="14"/>
      <c r="G2273" s="14"/>
      <c r="H2273" s="14"/>
      <c r="I2273" s="15">
        <v>5.0</v>
      </c>
      <c r="J2273" s="15">
        <v>14.0</v>
      </c>
      <c r="K2273" s="12" t="str">
        <f>HYPERLINK("https://ads-api.twitter.com","Twitter for Advertisers")</f>
        <v>Twitter for Advertisers</v>
      </c>
      <c r="L2273" s="16">
        <v>19687.0</v>
      </c>
      <c r="M2273" s="16">
        <v>2002.0</v>
      </c>
      <c r="N2273" s="16">
        <v>298.0</v>
      </c>
      <c r="O2273" s="20" t="s">
        <v>38</v>
      </c>
      <c r="P2273" s="18">
        <v>39827.57780092592</v>
      </c>
      <c r="Q2273" s="1" t="s">
        <v>10314</v>
      </c>
      <c r="R2273" s="1" t="s">
        <v>10315</v>
      </c>
      <c r="S2273" s="13" t="s">
        <v>10316</v>
      </c>
      <c r="T2273" s="14"/>
      <c r="U2273" s="19" t="str">
        <f>HYPERLINK("https://pbs.twimg.com/profile_images/862291002287157253/YrhWJ9YM.jpg","View")</f>
        <v>View</v>
      </c>
      <c r="V2273" s="14"/>
      <c r="W2273" s="14"/>
      <c r="X2273" s="14"/>
      <c r="Y2273" s="14"/>
      <c r="Z2273" s="14"/>
    </row>
    <row r="2274">
      <c r="A2274" s="11">
        <v>43843.74451388889</v>
      </c>
      <c r="B2274" s="12" t="str">
        <f>HYPERLINK("https://twitter.com/amruthasuri","@amruthasuri")</f>
        <v>@amruthasuri</v>
      </c>
      <c r="C2274" s="1" t="s">
        <v>10317</v>
      </c>
      <c r="D2274" s="1" t="s">
        <v>10318</v>
      </c>
      <c r="E2274" s="12" t="str">
        <f>HYPERLINK("https://twitter.com/amruthasuri/status/1216855469802782720","1216855469802782720")</f>
        <v>1216855469802782720</v>
      </c>
      <c r="F2274" s="1" t="s">
        <v>10319</v>
      </c>
      <c r="G2274" s="14"/>
      <c r="H2274" s="14"/>
      <c r="I2274" s="15">
        <v>0.0</v>
      </c>
      <c r="J2274" s="15">
        <v>0.0</v>
      </c>
      <c r="K2274" s="12" t="str">
        <f>HYPERLINK("http://twinybots.com","TwinyBots")</f>
        <v>TwinyBots</v>
      </c>
      <c r="L2274" s="16">
        <v>4661.0</v>
      </c>
      <c r="M2274" s="16">
        <v>2673.0</v>
      </c>
      <c r="N2274" s="16">
        <v>92.0</v>
      </c>
      <c r="O2274" s="17"/>
      <c r="P2274" s="18">
        <v>42380.38549768519</v>
      </c>
      <c r="Q2274" s="1" t="s">
        <v>1383</v>
      </c>
      <c r="R2274" s="1" t="s">
        <v>10320</v>
      </c>
      <c r="S2274" s="13" t="s">
        <v>10321</v>
      </c>
      <c r="T2274" s="14"/>
      <c r="U2274" s="19" t="str">
        <f>HYPERLINK("https://pbs.twimg.com/profile_images/1069631954411110403/L9W3USFN.jpg","View")</f>
        <v>View</v>
      </c>
      <c r="V2274" s="14"/>
      <c r="W2274" s="14"/>
      <c r="X2274" s="14"/>
      <c r="Y2274" s="14"/>
      <c r="Z2274" s="14"/>
    </row>
    <row r="2275">
      <c r="A2275" s="11">
        <v>43843.73959490741</v>
      </c>
      <c r="B2275" s="12" t="str">
        <f>HYPERLINK("https://twitter.com/ComprehensiveFn","@ComprehensiveFn")</f>
        <v>@ComprehensiveFn</v>
      </c>
      <c r="C2275" s="1" t="s">
        <v>10322</v>
      </c>
      <c r="D2275" s="1" t="s">
        <v>4800</v>
      </c>
      <c r="E2275" s="12" t="str">
        <f>HYPERLINK("https://twitter.com/ComprehensiveFn/status/1216853685738909696","1216853685738909696")</f>
        <v>1216853685738909696</v>
      </c>
      <c r="F2275" s="13" t="s">
        <v>10323</v>
      </c>
      <c r="G2275" s="14"/>
      <c r="H2275" s="14"/>
      <c r="I2275" s="15">
        <v>0.0</v>
      </c>
      <c r="J2275" s="15">
        <v>0.0</v>
      </c>
      <c r="K2275" s="12" t="str">
        <f>HYPERLINK("https://secure.fmgsuite.com","FMG Social")</f>
        <v>FMG Social</v>
      </c>
      <c r="L2275" s="16">
        <v>109.0</v>
      </c>
      <c r="M2275" s="16">
        <v>193.0</v>
      </c>
      <c r="N2275" s="16">
        <v>8.0</v>
      </c>
      <c r="O2275" s="17"/>
      <c r="P2275" s="18">
        <v>41527.65375</v>
      </c>
      <c r="Q2275" s="1" t="s">
        <v>10324</v>
      </c>
      <c r="R2275" s="1" t="s">
        <v>10325</v>
      </c>
      <c r="S2275" s="13" t="s">
        <v>10326</v>
      </c>
      <c r="T2275" s="14"/>
      <c r="U2275" s="19" t="str">
        <f>HYPERLINK("https://pbs.twimg.com/profile_images/378800000502391123/013605cdd8df49f30a3437d8840f605d.jpeg","View")</f>
        <v>View</v>
      </c>
      <c r="V2275" s="14"/>
      <c r="W2275" s="14"/>
      <c r="X2275" s="14"/>
      <c r="Y2275" s="14"/>
      <c r="Z2275" s="14"/>
    </row>
    <row r="2276">
      <c r="A2276" s="11">
        <v>43843.73643518519</v>
      </c>
      <c r="B2276" s="12" t="str">
        <f>HYPERLINK("https://twitter.com/PolyConundrum","@PolyConundrum")</f>
        <v>@PolyConundrum</v>
      </c>
      <c r="C2276" s="1" t="s">
        <v>826</v>
      </c>
      <c r="D2276" s="1" t="s">
        <v>10080</v>
      </c>
      <c r="E2276" s="12" t="str">
        <f>HYPERLINK("https://twitter.com/PolyConundrum/status/1216852542879096832","1216852542879096832")</f>
        <v>1216852542879096832</v>
      </c>
      <c r="F2276" s="13" t="s">
        <v>10081</v>
      </c>
      <c r="G2276" s="13" t="s">
        <v>10327</v>
      </c>
      <c r="H2276" s="14"/>
      <c r="I2276" s="15">
        <v>0.0</v>
      </c>
      <c r="J2276" s="15">
        <v>0.0</v>
      </c>
      <c r="K2276" s="12" t="str">
        <f>HYPERLINK("http://innerself.com/content/social.html","Jocial")</f>
        <v>Jocial</v>
      </c>
      <c r="L2276" s="16">
        <v>1339.0</v>
      </c>
      <c r="M2276" s="16">
        <v>1294.0</v>
      </c>
      <c r="N2276" s="16">
        <v>123.0</v>
      </c>
      <c r="O2276" s="17"/>
      <c r="P2276" s="18">
        <v>41353.64335648148</v>
      </c>
      <c r="Q2276" s="1" t="s">
        <v>830</v>
      </c>
      <c r="R2276" s="1" t="s">
        <v>831</v>
      </c>
      <c r="S2276" s="13" t="s">
        <v>832</v>
      </c>
      <c r="T2276" s="14"/>
      <c r="U2276" s="19" t="str">
        <f>HYPERLINK("https://pbs.twimg.com/profile_images/734517371222827008/kWmnbPYS.jpg","View")</f>
        <v>View</v>
      </c>
      <c r="V2276" s="14"/>
      <c r="W2276" s="14"/>
      <c r="X2276" s="14"/>
      <c r="Y2276" s="14"/>
      <c r="Z2276" s="14"/>
    </row>
    <row r="2277">
      <c r="A2277" s="11">
        <v>43843.73643518519</v>
      </c>
      <c r="B2277" s="12" t="str">
        <f>HYPERLINK("https://twitter.com/InnerSelfcom","@InnerSelfcom")</f>
        <v>@InnerSelfcom</v>
      </c>
      <c r="C2277" s="13" t="s">
        <v>833</v>
      </c>
      <c r="D2277" s="1" t="s">
        <v>10080</v>
      </c>
      <c r="E2277" s="12" t="str">
        <f>HYPERLINK("https://twitter.com/InnerSelfcom/status/1216852540211564544","1216852540211564544")</f>
        <v>1216852540211564544</v>
      </c>
      <c r="F2277" s="13" t="s">
        <v>10081</v>
      </c>
      <c r="G2277" s="13" t="s">
        <v>10328</v>
      </c>
      <c r="H2277" s="14"/>
      <c r="I2277" s="15">
        <v>0.0</v>
      </c>
      <c r="J2277" s="15">
        <v>0.0</v>
      </c>
      <c r="K2277" s="12" t="str">
        <f>HYPERLINK("https://innerself.com/content","InnerSelfcom")</f>
        <v>InnerSelfcom</v>
      </c>
      <c r="L2277" s="16">
        <v>2680.0</v>
      </c>
      <c r="M2277" s="16">
        <v>2592.0</v>
      </c>
      <c r="N2277" s="16">
        <v>309.0</v>
      </c>
      <c r="O2277" s="17"/>
      <c r="P2277" s="18">
        <v>40544.860300925924</v>
      </c>
      <c r="Q2277" s="1" t="s">
        <v>830</v>
      </c>
      <c r="R2277" s="1" t="s">
        <v>835</v>
      </c>
      <c r="S2277" s="13" t="s">
        <v>836</v>
      </c>
      <c r="T2277" s="14"/>
      <c r="U2277" s="19" t="str">
        <f>HYPERLINK("https://pbs.twimg.com/profile_images/554419299712892928/Z_KvUo-W.png","View")</f>
        <v>View</v>
      </c>
      <c r="V2277" s="14"/>
      <c r="W2277" s="14"/>
      <c r="X2277" s="14"/>
      <c r="Y2277" s="14"/>
      <c r="Z2277" s="14"/>
    </row>
    <row r="2278">
      <c r="A2278" s="11">
        <v>43843.72986111111</v>
      </c>
      <c r="B2278" s="12" t="str">
        <f>HYPERLINK("https://twitter.com/StressAddictSTL","@StressAddictSTL")</f>
        <v>@StressAddictSTL</v>
      </c>
      <c r="C2278" s="1" t="s">
        <v>10248</v>
      </c>
      <c r="D2278" s="1" t="s">
        <v>10329</v>
      </c>
      <c r="E2278" s="12" t="str">
        <f>HYPERLINK("https://twitter.com/StressAddictSTL/status/1216850159700713473","1216850159700713473")</f>
        <v>1216850159700713473</v>
      </c>
      <c r="F2278" s="1" t="s">
        <v>10330</v>
      </c>
      <c r="G2278" s="14"/>
      <c r="H2278" s="14"/>
      <c r="I2278" s="15">
        <v>0.0</v>
      </c>
      <c r="J2278" s="15">
        <v>0.0</v>
      </c>
      <c r="K2278" s="12" t="str">
        <f>HYPERLINK("http://instagram.com","Instagram")</f>
        <v>Instagram</v>
      </c>
      <c r="L2278" s="16">
        <v>2.0</v>
      </c>
      <c r="M2278" s="16">
        <v>134.0</v>
      </c>
      <c r="N2278" s="16">
        <v>0.0</v>
      </c>
      <c r="O2278" s="17"/>
      <c r="P2278" s="18">
        <v>43843.068564814814</v>
      </c>
      <c r="Q2278" s="14"/>
      <c r="R2278" s="1" t="s">
        <v>10252</v>
      </c>
      <c r="S2278" s="13" t="s">
        <v>10253</v>
      </c>
      <c r="T2278" s="14"/>
      <c r="U2278" s="19" t="str">
        <f>HYPERLINK("https://pbs.twimg.com/profile_images/1216610565415677954/tt616pdO.jpg","View")</f>
        <v>View</v>
      </c>
      <c r="V2278" s="14"/>
      <c r="W2278" s="14"/>
      <c r="X2278" s="14"/>
      <c r="Y2278" s="14"/>
      <c r="Z2278" s="14"/>
    </row>
    <row r="2279">
      <c r="A2279" s="11">
        <v>43843.72846064815</v>
      </c>
      <c r="B2279" s="12" t="str">
        <f>HYPERLINK("https://twitter.com/pharmahealthta1","@pharmahealthta1")</f>
        <v>@pharmahealthta1</v>
      </c>
      <c r="C2279" s="1" t="s">
        <v>10331</v>
      </c>
      <c r="D2279" s="1" t="s">
        <v>10332</v>
      </c>
      <c r="E2279" s="12" t="str">
        <f>HYPERLINK("https://twitter.com/pharmahealthta1/status/1216849652475187200","1216849652475187200")</f>
        <v>1216849652475187200</v>
      </c>
      <c r="F2279" s="13" t="s">
        <v>10333</v>
      </c>
      <c r="G2279" s="14"/>
      <c r="H2279" s="14"/>
      <c r="I2279" s="15">
        <v>0.0</v>
      </c>
      <c r="J2279" s="15">
        <v>0.0</v>
      </c>
      <c r="K2279" s="12" t="str">
        <f>HYPERLINK("http://twitter.com/download/android","Twitter for Android")</f>
        <v>Twitter for Android</v>
      </c>
      <c r="L2279" s="16">
        <v>40.0</v>
      </c>
      <c r="M2279" s="16">
        <v>256.0</v>
      </c>
      <c r="N2279" s="16">
        <v>0.0</v>
      </c>
      <c r="O2279" s="17"/>
      <c r="P2279" s="18">
        <v>43690.74863425926</v>
      </c>
      <c r="Q2279" s="14"/>
      <c r="R2279" s="1" t="s">
        <v>10334</v>
      </c>
      <c r="S2279" s="13" t="s">
        <v>10335</v>
      </c>
      <c r="T2279" s="14"/>
      <c r="U2279" s="19" t="str">
        <f>HYPERLINK("https://pbs.twimg.com/profile_images/1212457177933328386/ovIOKJ5T.jpg","View")</f>
        <v>View</v>
      </c>
      <c r="V2279" s="14"/>
      <c r="W2279" s="14"/>
      <c r="X2279" s="14"/>
      <c r="Y2279" s="14"/>
      <c r="Z2279" s="14"/>
    </row>
    <row r="2280">
      <c r="A2280" s="11">
        <v>43843.72577546297</v>
      </c>
      <c r="B2280" s="12" t="str">
        <f>HYPERLINK("https://twitter.com/TLA_champion","@TLA_champion")</f>
        <v>@TLA_champion</v>
      </c>
      <c r="C2280" s="1" t="s">
        <v>306</v>
      </c>
      <c r="D2280" s="1" t="s">
        <v>10336</v>
      </c>
      <c r="E2280" s="12" t="str">
        <f>HYPERLINK("https://twitter.com/TLA_champion/status/1216848677534388224","1216848677534388224")</f>
        <v>1216848677534388224</v>
      </c>
      <c r="F2280" s="14"/>
      <c r="G2280" s="13" t="s">
        <v>10337</v>
      </c>
      <c r="H2280" s="14"/>
      <c r="I2280" s="15">
        <v>0.0</v>
      </c>
      <c r="J2280" s="15">
        <v>0.0</v>
      </c>
      <c r="K2280" s="12" t="str">
        <f>HYPERLINK("https://buffer.com","Buffer")</f>
        <v>Buffer</v>
      </c>
      <c r="L2280" s="16">
        <v>1270.0</v>
      </c>
      <c r="M2280" s="16">
        <v>2002.0</v>
      </c>
      <c r="N2280" s="16">
        <v>92.0</v>
      </c>
      <c r="O2280" s="17"/>
      <c r="P2280" s="18">
        <v>42024.52983796297</v>
      </c>
      <c r="Q2280" s="1" t="s">
        <v>309</v>
      </c>
      <c r="R2280" s="1" t="s">
        <v>310</v>
      </c>
      <c r="S2280" s="13" t="s">
        <v>311</v>
      </c>
      <c r="T2280" s="14"/>
      <c r="U2280" s="19" t="str">
        <f>HYPERLINK("https://pbs.twimg.com/profile_images/928633251148828673/rZ78O3tA.jpg","View")</f>
        <v>View</v>
      </c>
      <c r="V2280" s="14"/>
      <c r="W2280" s="14"/>
      <c r="X2280" s="14"/>
      <c r="Y2280" s="14"/>
      <c r="Z2280" s="14"/>
    </row>
    <row r="2281">
      <c r="A2281" s="11">
        <v>43843.72560185185</v>
      </c>
      <c r="B2281" s="12" t="str">
        <f>HYPERLINK("https://twitter.com/AsegsTv","@AsegsTv")</f>
        <v>@AsegsTv</v>
      </c>
      <c r="C2281" s="13" t="s">
        <v>10338</v>
      </c>
      <c r="D2281" s="1" t="s">
        <v>10339</v>
      </c>
      <c r="E2281" s="12" t="str">
        <f>HYPERLINK("https://twitter.com/AsegsTv/status/1216848617291624455","1216848617291624455")</f>
        <v>1216848617291624455</v>
      </c>
      <c r="F2281" s="14"/>
      <c r="G2281" s="14"/>
      <c r="H2281" s="14"/>
      <c r="I2281" s="15">
        <v>0.0</v>
      </c>
      <c r="J2281" s="15">
        <v>0.0</v>
      </c>
      <c r="K2281" s="12" t="str">
        <f t="shared" ref="K2281:K2282" si="233">HYPERLINK("http://twitter.com/download/iphone","Twitter for iPhone")</f>
        <v>Twitter for iPhone</v>
      </c>
      <c r="L2281" s="16">
        <v>7.0</v>
      </c>
      <c r="M2281" s="16">
        <v>58.0</v>
      </c>
      <c r="N2281" s="16">
        <v>0.0</v>
      </c>
      <c r="O2281" s="17"/>
      <c r="P2281" s="18">
        <v>43842.76722222222</v>
      </c>
      <c r="Q2281" s="1" t="s">
        <v>10340</v>
      </c>
      <c r="R2281" s="1" t="s">
        <v>10341</v>
      </c>
      <c r="S2281" s="13" t="s">
        <v>10342</v>
      </c>
      <c r="T2281" s="14"/>
      <c r="U2281" s="19" t="str">
        <f>HYPERLINK("https://pbs.twimg.com/profile_images/1216548002996936704/EoJ_eUWg.jpg","View")</f>
        <v>View</v>
      </c>
      <c r="V2281" s="14"/>
      <c r="W2281" s="14"/>
      <c r="X2281" s="14"/>
      <c r="Y2281" s="14"/>
      <c r="Z2281" s="14"/>
    </row>
    <row r="2282">
      <c r="A2282" s="11">
        <v>43843.72430555556</v>
      </c>
      <c r="B2282" s="12" t="str">
        <f>HYPERLINK("https://twitter.com/GSafarian","@GSafarian")</f>
        <v>@GSafarian</v>
      </c>
      <c r="C2282" s="1" t="s">
        <v>10343</v>
      </c>
      <c r="D2282" s="1" t="s">
        <v>10344</v>
      </c>
      <c r="E2282" s="12" t="str">
        <f>HYPERLINK("https://twitter.com/GSafarian/status/1216848146770219009","1216848146770219009")</f>
        <v>1216848146770219009</v>
      </c>
      <c r="F2282" s="1" t="s">
        <v>10345</v>
      </c>
      <c r="G2282" s="13" t="s">
        <v>10346</v>
      </c>
      <c r="H2282" s="14"/>
      <c r="I2282" s="15">
        <v>0.0</v>
      </c>
      <c r="J2282" s="15">
        <v>1.0</v>
      </c>
      <c r="K2282" s="12" t="str">
        <f t="shared" si="233"/>
        <v>Twitter for iPhone</v>
      </c>
      <c r="L2282" s="16">
        <v>760.0</v>
      </c>
      <c r="M2282" s="16">
        <v>797.0</v>
      </c>
      <c r="N2282" s="16">
        <v>28.0</v>
      </c>
      <c r="O2282" s="17"/>
      <c r="P2282" s="18">
        <v>39976.99134259259</v>
      </c>
      <c r="Q2282" s="1" t="s">
        <v>102</v>
      </c>
      <c r="R2282" s="1" t="s">
        <v>10347</v>
      </c>
      <c r="S2282" s="13" t="s">
        <v>10348</v>
      </c>
      <c r="T2282" s="14"/>
      <c r="U2282" s="19" t="str">
        <f>HYPERLINK("https://pbs.twimg.com/profile_images/912728837955260416/6EtgszZa.jpg","View")</f>
        <v>View</v>
      </c>
      <c r="V2282" s="14"/>
      <c r="W2282" s="14"/>
      <c r="X2282" s="14"/>
      <c r="Y2282" s="14"/>
      <c r="Z2282" s="14"/>
    </row>
    <row r="2283">
      <c r="A2283" s="11">
        <v>43843.71896990741</v>
      </c>
      <c r="B2283" s="12" t="str">
        <f>HYPERLINK("https://twitter.com/PsykoPoet","@PsykoPoet")</f>
        <v>@PsykoPoet</v>
      </c>
      <c r="C2283" s="1" t="s">
        <v>10349</v>
      </c>
      <c r="D2283" s="1" t="s">
        <v>10350</v>
      </c>
      <c r="E2283" s="12" t="str">
        <f>HYPERLINK("https://twitter.com/PsykoPoet/status/1216846211245858816","1216846211245858816")</f>
        <v>1216846211245858816</v>
      </c>
      <c r="F2283" s="14"/>
      <c r="G2283" s="14"/>
      <c r="H2283" s="14"/>
      <c r="I2283" s="15">
        <v>0.0</v>
      </c>
      <c r="J2283" s="15">
        <v>1.0</v>
      </c>
      <c r="K2283" s="12" t="str">
        <f>HYPERLINK("http://twitter.com/download/android","Twitter for Android")</f>
        <v>Twitter for Android</v>
      </c>
      <c r="L2283" s="16">
        <v>99.0</v>
      </c>
      <c r="M2283" s="16">
        <v>76.0</v>
      </c>
      <c r="N2283" s="16">
        <v>5.0</v>
      </c>
      <c r="O2283" s="17"/>
      <c r="P2283" s="18">
        <v>42030.5484375</v>
      </c>
      <c r="Q2283" s="1" t="s">
        <v>10351</v>
      </c>
      <c r="R2283" s="1" t="s">
        <v>10352</v>
      </c>
      <c r="S2283" s="13" t="s">
        <v>10353</v>
      </c>
      <c r="T2283" s="14"/>
      <c r="U2283" s="19" t="str">
        <f>HYPERLINK("https://pbs.twimg.com/profile_images/1211765306101764096/ipGppz_s.jpg","View")</f>
        <v>View</v>
      </c>
      <c r="V2283" s="14"/>
      <c r="W2283" s="14"/>
      <c r="X2283" s="14"/>
      <c r="Y2283" s="14"/>
      <c r="Z2283" s="14"/>
    </row>
    <row r="2284">
      <c r="A2284" s="11">
        <v>43843.71875</v>
      </c>
      <c r="B2284" s="12" t="str">
        <f>HYPERLINK("https://twitter.com/TrainingMindful","@TrainingMindful")</f>
        <v>@TrainingMindful</v>
      </c>
      <c r="C2284" s="1" t="s">
        <v>94</v>
      </c>
      <c r="D2284" s="1" t="s">
        <v>1314</v>
      </c>
      <c r="E2284" s="12" t="str">
        <f>HYPERLINK("https://twitter.com/TrainingMindful/status/1216846133382742017","1216846133382742017")</f>
        <v>1216846133382742017</v>
      </c>
      <c r="F2284" s="13" t="s">
        <v>1315</v>
      </c>
      <c r="G2284" s="14"/>
      <c r="H2284" s="14"/>
      <c r="I2284" s="15">
        <v>2.0</v>
      </c>
      <c r="J2284" s="15">
        <v>3.0</v>
      </c>
      <c r="K2284" s="12" t="str">
        <f>HYPERLINK("https://www.socialoomph.com","SocialOomph")</f>
        <v>SocialOomph</v>
      </c>
      <c r="L2284" s="16">
        <v>185303.0</v>
      </c>
      <c r="M2284" s="16">
        <v>43980.0</v>
      </c>
      <c r="N2284" s="16">
        <v>2800.0</v>
      </c>
      <c r="O2284" s="17"/>
      <c r="P2284" s="18">
        <v>41286.039305555554</v>
      </c>
      <c r="Q2284" s="1" t="s">
        <v>97</v>
      </c>
      <c r="R2284" s="1" t="s">
        <v>98</v>
      </c>
      <c r="S2284" s="13" t="s">
        <v>99</v>
      </c>
      <c r="T2284" s="14"/>
      <c r="U2284" s="19" t="str">
        <f>HYPERLINK("https://pbs.twimg.com/profile_images/566526924059459584/gdMxDA9x.jpeg","View")</f>
        <v>View</v>
      </c>
      <c r="V2284" s="14"/>
      <c r="W2284" s="14"/>
      <c r="X2284" s="14"/>
      <c r="Y2284" s="14"/>
      <c r="Z2284" s="14"/>
    </row>
    <row r="2285">
      <c r="A2285" s="11">
        <v>43843.71079861111</v>
      </c>
      <c r="B2285" s="12" t="str">
        <f>HYPERLINK("https://twitter.com/nyopencenter","@nyopencenter")</f>
        <v>@nyopencenter</v>
      </c>
      <c r="C2285" s="1" t="s">
        <v>10354</v>
      </c>
      <c r="D2285" s="1" t="s">
        <v>10355</v>
      </c>
      <c r="E2285" s="12" t="str">
        <f>HYPERLINK("https://twitter.com/nyopencenter/status/1216843251384291329","1216843251384291329")</f>
        <v>1216843251384291329</v>
      </c>
      <c r="F2285" s="13" t="s">
        <v>10356</v>
      </c>
      <c r="G2285" s="13" t="s">
        <v>10357</v>
      </c>
      <c r="H2285" s="14"/>
      <c r="I2285" s="15">
        <v>0.0</v>
      </c>
      <c r="J2285" s="15">
        <v>0.0</v>
      </c>
      <c r="K2285" s="12" t="str">
        <f>HYPERLINK("https://mobile.twitter.com","Twitter Web App")</f>
        <v>Twitter Web App</v>
      </c>
      <c r="L2285" s="16">
        <v>3880.0</v>
      </c>
      <c r="M2285" s="16">
        <v>877.0</v>
      </c>
      <c r="N2285" s="16">
        <v>190.0</v>
      </c>
      <c r="O2285" s="17"/>
      <c r="P2285" s="18">
        <v>39881.58688657408</v>
      </c>
      <c r="Q2285" s="1" t="s">
        <v>1116</v>
      </c>
      <c r="R2285" s="1" t="s">
        <v>10358</v>
      </c>
      <c r="S2285" s="13" t="s">
        <v>10359</v>
      </c>
      <c r="T2285" s="14"/>
      <c r="U2285" s="19" t="str">
        <f>HYPERLINK("https://pbs.twimg.com/profile_images/1088172634511196161/A14w9K88.jpg","View")</f>
        <v>View</v>
      </c>
      <c r="V2285" s="14"/>
      <c r="W2285" s="14"/>
      <c r="X2285" s="14"/>
      <c r="Y2285" s="14"/>
      <c r="Z2285" s="14"/>
    </row>
    <row r="2286">
      <c r="A2286" s="11">
        <v>43843.708923611106</v>
      </c>
      <c r="B2286" s="12" t="str">
        <f>HYPERLINK("https://twitter.com/DrBruceAJohnson","@DrBruceAJohnson")</f>
        <v>@DrBruceAJohnson</v>
      </c>
      <c r="C2286" s="1" t="s">
        <v>10360</v>
      </c>
      <c r="D2286" s="1" t="s">
        <v>10361</v>
      </c>
      <c r="E2286" s="12" t="str">
        <f>HYPERLINK("https://twitter.com/DrBruceAJohnson/status/1216842571454042112","1216842571454042112")</f>
        <v>1216842571454042112</v>
      </c>
      <c r="F2286" s="13" t="s">
        <v>10362</v>
      </c>
      <c r="G2286" s="14"/>
      <c r="H2286" s="14"/>
      <c r="I2286" s="15">
        <v>0.0</v>
      </c>
      <c r="J2286" s="15">
        <v>0.0</v>
      </c>
      <c r="K2286" s="12" t="str">
        <f t="shared" ref="K2286:K2288" si="234">HYPERLINK("https://www.hootsuite.com","Hootsuite Inc.")</f>
        <v>Hootsuite Inc.</v>
      </c>
      <c r="L2286" s="16">
        <v>3654.0</v>
      </c>
      <c r="M2286" s="16">
        <v>3306.0</v>
      </c>
      <c r="N2286" s="16">
        <v>77.0</v>
      </c>
      <c r="O2286" s="17"/>
      <c r="P2286" s="18">
        <v>42835.72357638889</v>
      </c>
      <c r="Q2286" s="1" t="s">
        <v>56</v>
      </c>
      <c r="R2286" s="1" t="s">
        <v>10363</v>
      </c>
      <c r="S2286" s="13" t="s">
        <v>10364</v>
      </c>
      <c r="T2286" s="14"/>
      <c r="U2286" s="19" t="str">
        <f>HYPERLINK("https://pbs.twimg.com/profile_images/997553146590195712/fvAGUIeq.jpg","View")</f>
        <v>View</v>
      </c>
      <c r="V2286" s="14"/>
      <c r="W2286" s="14"/>
      <c r="X2286" s="14"/>
      <c r="Y2286" s="14"/>
      <c r="Z2286" s="14"/>
    </row>
    <row r="2287">
      <c r="A2287" s="11">
        <v>43843.708773148144</v>
      </c>
      <c r="B2287" s="12" t="str">
        <f>HYPERLINK("https://twitter.com/modernonsocial","@modernonsocial")</f>
        <v>@modernonsocial</v>
      </c>
      <c r="C2287" s="1" t="s">
        <v>4405</v>
      </c>
      <c r="D2287" s="1" t="s">
        <v>10365</v>
      </c>
      <c r="E2287" s="12" t="str">
        <f>HYPERLINK("https://twitter.com/modernonsocial/status/1216842516026273795","1216842516026273795")</f>
        <v>1216842516026273795</v>
      </c>
      <c r="F2287" s="14"/>
      <c r="G2287" s="14"/>
      <c r="H2287" s="14"/>
      <c r="I2287" s="15">
        <v>0.0</v>
      </c>
      <c r="J2287" s="15">
        <v>1.0</v>
      </c>
      <c r="K2287" s="12" t="str">
        <f t="shared" si="234"/>
        <v>Hootsuite Inc.</v>
      </c>
      <c r="L2287" s="16">
        <v>3382.0</v>
      </c>
      <c r="M2287" s="16">
        <v>118.0</v>
      </c>
      <c r="N2287" s="16">
        <v>16.0</v>
      </c>
      <c r="O2287" s="17"/>
      <c r="P2287" s="18">
        <v>43072.67818287037</v>
      </c>
      <c r="Q2287" s="1" t="s">
        <v>56</v>
      </c>
      <c r="R2287" s="1" t="s">
        <v>4407</v>
      </c>
      <c r="S2287" s="13" t="s">
        <v>4408</v>
      </c>
      <c r="T2287" s="14"/>
      <c r="U2287" s="19" t="str">
        <f>HYPERLINK("https://pbs.twimg.com/profile_images/937430616215375872/tdUxISHx.jpg","View")</f>
        <v>View</v>
      </c>
      <c r="V2287" s="14"/>
      <c r="W2287" s="14"/>
      <c r="X2287" s="14"/>
      <c r="Y2287" s="14"/>
      <c r="Z2287" s="14"/>
    </row>
    <row r="2288">
      <c r="A2288" s="11">
        <v>43843.708761574075</v>
      </c>
      <c r="B2288" s="12" t="str">
        <f>HYPERLINK("https://twitter.com/edynathan1","@edynathan1")</f>
        <v>@edynathan1</v>
      </c>
      <c r="C2288" s="1" t="s">
        <v>1112</v>
      </c>
      <c r="D2288" s="1" t="s">
        <v>10366</v>
      </c>
      <c r="E2288" s="12" t="str">
        <f>HYPERLINK("https://twitter.com/edynathan1/status/1216842511211094017","1216842511211094017")</f>
        <v>1216842511211094017</v>
      </c>
      <c r="F2288" s="13" t="s">
        <v>10367</v>
      </c>
      <c r="G2288" s="14"/>
      <c r="H2288" s="14"/>
      <c r="I2288" s="15">
        <v>0.0</v>
      </c>
      <c r="J2288" s="15">
        <v>0.0</v>
      </c>
      <c r="K2288" s="12" t="str">
        <f t="shared" si="234"/>
        <v>Hootsuite Inc.</v>
      </c>
      <c r="L2288" s="16">
        <v>1719.0</v>
      </c>
      <c r="M2288" s="16">
        <v>984.0</v>
      </c>
      <c r="N2288" s="16">
        <v>63.0</v>
      </c>
      <c r="O2288" s="17"/>
      <c r="P2288" s="18">
        <v>40184.54211805556</v>
      </c>
      <c r="Q2288" s="1" t="s">
        <v>1116</v>
      </c>
      <c r="R2288" s="1" t="s">
        <v>1117</v>
      </c>
      <c r="S2288" s="13" t="s">
        <v>1118</v>
      </c>
      <c r="T2288" s="14"/>
      <c r="U2288" s="19" t="str">
        <f>HYPERLINK("https://pbs.twimg.com/profile_images/997883145214218241/aJxC-fhT.jpg","View")</f>
        <v>View</v>
      </c>
      <c r="V2288" s="14"/>
      <c r="W2288" s="14"/>
      <c r="X2288" s="14"/>
      <c r="Y2288" s="14"/>
      <c r="Z2288" s="14"/>
    </row>
    <row r="2289">
      <c r="A2289" s="11">
        <v>43843.70855324074</v>
      </c>
      <c r="B2289" s="12" t="str">
        <f>HYPERLINK("https://twitter.com/imassoc","@imassoc")</f>
        <v>@imassoc</v>
      </c>
      <c r="C2289" s="1" t="s">
        <v>681</v>
      </c>
      <c r="D2289" s="1" t="s">
        <v>10368</v>
      </c>
      <c r="E2289" s="12" t="str">
        <f>HYPERLINK("https://twitter.com/imassoc/status/1216842437752164352","1216842437752164352")</f>
        <v>1216842437752164352</v>
      </c>
      <c r="F2289" s="13" t="s">
        <v>10369</v>
      </c>
      <c r="G2289" s="13" t="s">
        <v>10370</v>
      </c>
      <c r="H2289" s="14"/>
      <c r="I2289" s="15">
        <v>0.0</v>
      </c>
      <c r="J2289" s="15">
        <v>0.0</v>
      </c>
      <c r="K2289" s="12" t="str">
        <f>HYPERLINK("https://smarterqueue.com","SmarterQueue")</f>
        <v>SmarterQueue</v>
      </c>
      <c r="L2289" s="16">
        <v>1784.0</v>
      </c>
      <c r="M2289" s="16">
        <v>1764.0</v>
      </c>
      <c r="N2289" s="16">
        <v>26.0</v>
      </c>
      <c r="O2289" s="17"/>
      <c r="P2289" s="18">
        <v>39933.66706018519</v>
      </c>
      <c r="Q2289" s="1" t="s">
        <v>685</v>
      </c>
      <c r="R2289" s="1" t="s">
        <v>686</v>
      </c>
      <c r="S2289" s="13" t="s">
        <v>687</v>
      </c>
      <c r="T2289" s="14"/>
      <c r="U2289" s="19" t="str">
        <f>HYPERLINK("https://pbs.twimg.com/profile_images/1103439197493354496/d6a5fEJG.png","View")</f>
        <v>View</v>
      </c>
      <c r="V2289" s="14"/>
      <c r="W2289" s="14"/>
      <c r="X2289" s="14"/>
      <c r="Y2289" s="14"/>
      <c r="Z2289" s="14"/>
    </row>
    <row r="2290">
      <c r="A2290" s="11">
        <v>43843.70855324074</v>
      </c>
      <c r="B2290" s="12" t="str">
        <f>HYPERLINK("https://twitter.com/lachynicolson","@lachynicolson")</f>
        <v>@lachynicolson</v>
      </c>
      <c r="C2290" s="1" t="s">
        <v>10371</v>
      </c>
      <c r="D2290" s="1" t="s">
        <v>10372</v>
      </c>
      <c r="E2290" s="12" t="str">
        <f>HYPERLINK("https://twitter.com/lachynicolson/status/1216842436800061440","1216842436800061440")</f>
        <v>1216842436800061440</v>
      </c>
      <c r="F2290" s="13" t="s">
        <v>10373</v>
      </c>
      <c r="G2290" s="13" t="s">
        <v>10374</v>
      </c>
      <c r="H2290" s="14"/>
      <c r="I2290" s="15">
        <v>0.0</v>
      </c>
      <c r="J2290" s="15">
        <v>1.0</v>
      </c>
      <c r="K2290" s="12" t="str">
        <f>HYPERLINK("https://buffer.com","Buffer")</f>
        <v>Buffer</v>
      </c>
      <c r="L2290" s="16">
        <v>658.0</v>
      </c>
      <c r="M2290" s="16">
        <v>632.0</v>
      </c>
      <c r="N2290" s="16">
        <v>142.0</v>
      </c>
      <c r="O2290" s="17"/>
      <c r="P2290" s="18">
        <v>40430.779641203706</v>
      </c>
      <c r="Q2290" s="1" t="s">
        <v>51</v>
      </c>
      <c r="R2290" s="1" t="s">
        <v>10375</v>
      </c>
      <c r="S2290" s="13" t="s">
        <v>10376</v>
      </c>
      <c r="T2290" s="14"/>
      <c r="U2290" s="19" t="str">
        <f>HYPERLINK("https://pbs.twimg.com/profile_images/1096639288651829250/hjg__jE7.png","View")</f>
        <v>View</v>
      </c>
      <c r="V2290" s="14"/>
      <c r="W2290" s="14"/>
      <c r="X2290" s="14"/>
      <c r="Y2290" s="14"/>
      <c r="Z2290" s="14"/>
    </row>
    <row r="2291">
      <c r="A2291" s="11">
        <v>43843.708506944444</v>
      </c>
      <c r="B2291" s="12" t="str">
        <f>HYPERLINK("https://twitter.com/parentsinbiz","@parentsinbiz")</f>
        <v>@parentsinbiz</v>
      </c>
      <c r="C2291" s="1" t="s">
        <v>10377</v>
      </c>
      <c r="D2291" s="1" t="s">
        <v>10378</v>
      </c>
      <c r="E2291" s="12" t="str">
        <f>HYPERLINK("https://twitter.com/parentsinbiz/status/1216842420299669507","1216842420299669507")</f>
        <v>1216842420299669507</v>
      </c>
      <c r="F2291" s="13" t="s">
        <v>10379</v>
      </c>
      <c r="G2291" s="13" t="s">
        <v>10380</v>
      </c>
      <c r="H2291" s="14"/>
      <c r="I2291" s="15">
        <v>0.0</v>
      </c>
      <c r="J2291" s="15">
        <v>1.0</v>
      </c>
      <c r="K2291" s="12" t="str">
        <f>HYPERLINK("https://smarterqueue.com","SmarterQueue")</f>
        <v>SmarterQueue</v>
      </c>
      <c r="L2291" s="16">
        <v>1229.0</v>
      </c>
      <c r="M2291" s="16">
        <v>1059.0</v>
      </c>
      <c r="N2291" s="16">
        <v>88.0</v>
      </c>
      <c r="O2291" s="17"/>
      <c r="P2291" s="18">
        <v>42047.41121527778</v>
      </c>
      <c r="Q2291" s="1" t="s">
        <v>268</v>
      </c>
      <c r="R2291" s="1" t="s">
        <v>10381</v>
      </c>
      <c r="S2291" s="13" t="s">
        <v>10382</v>
      </c>
      <c r="T2291" s="14"/>
      <c r="U2291" s="19" t="str">
        <f>HYPERLINK("https://pbs.twimg.com/profile_images/1040232105240944642/EQenld1c.jpg","View")</f>
        <v>View</v>
      </c>
      <c r="V2291" s="14"/>
      <c r="W2291" s="14"/>
      <c r="X2291" s="14"/>
      <c r="Y2291" s="14"/>
      <c r="Z2291" s="14"/>
    </row>
    <row r="2292">
      <c r="A2292" s="11">
        <v>43843.69804398148</v>
      </c>
      <c r="B2292" s="12" t="str">
        <f>HYPERLINK("https://twitter.com/teapotmOnk","@teapotmOnk")</f>
        <v>@teapotmOnk</v>
      </c>
      <c r="C2292" s="1" t="s">
        <v>10383</v>
      </c>
      <c r="D2292" s="1" t="s">
        <v>10384</v>
      </c>
      <c r="E2292" s="12" t="str">
        <f>HYPERLINK("https://twitter.com/teapotmOnk/status/1216838630737633281","1216838630737633281")</f>
        <v>1216838630737633281</v>
      </c>
      <c r="F2292" s="13" t="s">
        <v>10385</v>
      </c>
      <c r="G2292" s="14"/>
      <c r="H2292" s="14"/>
      <c r="I2292" s="15">
        <v>0.0</v>
      </c>
      <c r="J2292" s="15">
        <v>0.0</v>
      </c>
      <c r="K2292" s="12" t="str">
        <f>HYPERLINK("https://www.hootsuite.com","Hootsuite Inc.")</f>
        <v>Hootsuite Inc.</v>
      </c>
      <c r="L2292" s="16">
        <v>1504.0</v>
      </c>
      <c r="M2292" s="16">
        <v>995.0</v>
      </c>
      <c r="N2292" s="16">
        <v>72.0</v>
      </c>
      <c r="O2292" s="17"/>
      <c r="P2292" s="18">
        <v>39854.47974537037</v>
      </c>
      <c r="Q2292" s="1" t="s">
        <v>10386</v>
      </c>
      <c r="R2292" s="1" t="s">
        <v>10387</v>
      </c>
      <c r="S2292" s="13" t="s">
        <v>10388</v>
      </c>
      <c r="T2292" s="14"/>
      <c r="U2292" s="19" t="str">
        <f>HYPERLINK("https://pbs.twimg.com/profile_images/1013392272652750853/UImF93sT.jpg","View")</f>
        <v>View</v>
      </c>
      <c r="V2292" s="14"/>
      <c r="W2292" s="14"/>
      <c r="X2292" s="14"/>
      <c r="Y2292" s="14"/>
      <c r="Z2292" s="14"/>
    </row>
    <row r="2293">
      <c r="A2293" s="11">
        <v>43843.69766203704</v>
      </c>
      <c r="B2293" s="12" t="str">
        <f>HYPERLINK("https://twitter.com/DrIRoutineology","@DrIRoutineology")</f>
        <v>@DrIRoutineology</v>
      </c>
      <c r="C2293" s="1" t="s">
        <v>10389</v>
      </c>
      <c r="D2293" s="1" t="s">
        <v>10390</v>
      </c>
      <c r="E2293" s="12" t="str">
        <f>HYPERLINK("https://twitter.com/DrIRoutineology/status/1216838490836566017","1216838490836566017")</f>
        <v>1216838490836566017</v>
      </c>
      <c r="F2293" s="13" t="s">
        <v>10391</v>
      </c>
      <c r="G2293" s="13" t="s">
        <v>10392</v>
      </c>
      <c r="H2293" s="14"/>
      <c r="I2293" s="15">
        <v>0.0</v>
      </c>
      <c r="J2293" s="15">
        <v>0.0</v>
      </c>
      <c r="K2293" s="12" t="str">
        <f>HYPERLINK("https://mobile.twitter.com","Twitter Web App")</f>
        <v>Twitter Web App</v>
      </c>
      <c r="L2293" s="16">
        <v>496.0</v>
      </c>
      <c r="M2293" s="16">
        <v>690.0</v>
      </c>
      <c r="N2293" s="16">
        <v>1.0</v>
      </c>
      <c r="O2293" s="17"/>
      <c r="P2293" s="18">
        <v>43546.66824074074</v>
      </c>
      <c r="Q2293" s="1" t="s">
        <v>10393</v>
      </c>
      <c r="R2293" s="1" t="s">
        <v>10394</v>
      </c>
      <c r="S2293" s="13" t="s">
        <v>10395</v>
      </c>
      <c r="T2293" s="14"/>
      <c r="U2293" s="19" t="str">
        <f>HYPERLINK("https://pbs.twimg.com/profile_images/1111380760466866176/A9HCUcR1.png","View")</f>
        <v>View</v>
      </c>
      <c r="V2293" s="14"/>
      <c r="W2293" s="14"/>
      <c r="X2293" s="14"/>
      <c r="Y2293" s="14"/>
      <c r="Z2293" s="14"/>
    </row>
    <row r="2294">
      <c r="A2294" s="11">
        <v>43843.69758101852</v>
      </c>
      <c r="B2294" s="12" t="str">
        <f>HYPERLINK("https://twitter.com/Cindy_Locher","@Cindy_Locher")</f>
        <v>@Cindy_Locher</v>
      </c>
      <c r="C2294" s="1" t="s">
        <v>8445</v>
      </c>
      <c r="D2294" s="1" t="s">
        <v>10396</v>
      </c>
      <c r="E2294" s="12" t="str">
        <f>HYPERLINK("https://twitter.com/Cindy_Locher/status/1216838462118207489","1216838462118207489")</f>
        <v>1216838462118207489</v>
      </c>
      <c r="F2294" s="13" t="s">
        <v>10397</v>
      </c>
      <c r="G2294" s="13" t="s">
        <v>10398</v>
      </c>
      <c r="H2294" s="14"/>
      <c r="I2294" s="15">
        <v>0.0</v>
      </c>
      <c r="J2294" s="15">
        <v>0.0</v>
      </c>
      <c r="K2294" s="12" t="str">
        <f>HYPERLINK("https://missinglettr.com","Missinglettr")</f>
        <v>Missinglettr</v>
      </c>
      <c r="L2294" s="16">
        <v>40964.0</v>
      </c>
      <c r="M2294" s="16">
        <v>27440.0</v>
      </c>
      <c r="N2294" s="16">
        <v>257.0</v>
      </c>
      <c r="O2294" s="17"/>
      <c r="P2294" s="18">
        <v>39580.90241898148</v>
      </c>
      <c r="Q2294" s="1" t="s">
        <v>8449</v>
      </c>
      <c r="R2294" s="1" t="s">
        <v>8450</v>
      </c>
      <c r="S2294" s="13" t="s">
        <v>8451</v>
      </c>
      <c r="T2294" s="14"/>
      <c r="U2294" s="19" t="str">
        <f>HYPERLINK("https://pbs.twimg.com/profile_images/779296372411338752/j2DngFQ2.jpg","View")</f>
        <v>View</v>
      </c>
      <c r="V2294" s="14"/>
      <c r="W2294" s="14"/>
      <c r="X2294" s="14"/>
      <c r="Y2294" s="14"/>
      <c r="Z2294" s="14"/>
    </row>
    <row r="2295">
      <c r="A2295" s="11">
        <v>43843.69494212963</v>
      </c>
      <c r="B2295" s="12" t="str">
        <f>HYPERLINK("https://twitter.com/MarcelaPuig12","@MarcelaPuig12")</f>
        <v>@MarcelaPuig12</v>
      </c>
      <c r="C2295" s="1" t="s">
        <v>6044</v>
      </c>
      <c r="D2295" s="1" t="s">
        <v>10204</v>
      </c>
      <c r="E2295" s="12" t="str">
        <f>HYPERLINK("https://twitter.com/MarcelaPuig12/status/1216837502738161664","1216837502738161664")</f>
        <v>1216837502738161664</v>
      </c>
      <c r="F2295" s="13" t="s">
        <v>6046</v>
      </c>
      <c r="G2295" s="13" t="s">
        <v>10399</v>
      </c>
      <c r="H2295" s="14"/>
      <c r="I2295" s="15">
        <v>0.0</v>
      </c>
      <c r="J2295" s="15">
        <v>0.0</v>
      </c>
      <c r="K2295" s="12" t="str">
        <f>HYPERLINK("http://twitter.com/download/android","Twitter for Android")</f>
        <v>Twitter for Android</v>
      </c>
      <c r="L2295" s="16">
        <v>219.0</v>
      </c>
      <c r="M2295" s="16">
        <v>840.0</v>
      </c>
      <c r="N2295" s="16">
        <v>0.0</v>
      </c>
      <c r="O2295" s="17"/>
      <c r="P2295" s="18">
        <v>43753.540717592594</v>
      </c>
      <c r="Q2295" s="14"/>
      <c r="R2295" s="1" t="s">
        <v>6048</v>
      </c>
      <c r="S2295" s="14"/>
      <c r="T2295" s="14"/>
      <c r="U2295" s="19" t="str">
        <f>HYPERLINK("https://pbs.twimg.com/profile_images/1186176562363797505/dBd_JwtD.jpg","View")</f>
        <v>View</v>
      </c>
      <c r="V2295" s="14"/>
      <c r="W2295" s="14"/>
      <c r="X2295" s="14"/>
      <c r="Y2295" s="14"/>
      <c r="Z2295" s="14"/>
    </row>
    <row r="2296">
      <c r="A2296" s="11">
        <v>43843.68975694444</v>
      </c>
      <c r="B2296" s="12" t="str">
        <f>HYPERLINK("https://twitter.com/NFormulary","@NFormulary")</f>
        <v>@NFormulary</v>
      </c>
      <c r="C2296" s="1" t="s">
        <v>2307</v>
      </c>
      <c r="D2296" s="1" t="s">
        <v>10400</v>
      </c>
      <c r="E2296" s="12" t="str">
        <f>HYPERLINK("https://twitter.com/NFormulary/status/1216835625967591424","1216835625967591424")</f>
        <v>1216835625967591424</v>
      </c>
      <c r="F2296" s="13" t="s">
        <v>2309</v>
      </c>
      <c r="G2296" s="13" t="s">
        <v>10401</v>
      </c>
      <c r="H2296" s="14"/>
      <c r="I2296" s="15">
        <v>0.0</v>
      </c>
      <c r="J2296" s="15">
        <v>1.0</v>
      </c>
      <c r="K2296" s="12" t="str">
        <f>HYPERLINK("https://mobile.twitter.com","Twitter Web App")</f>
        <v>Twitter Web App</v>
      </c>
      <c r="L2296" s="16">
        <v>1524.0</v>
      </c>
      <c r="M2296" s="16">
        <v>3423.0</v>
      </c>
      <c r="N2296" s="16">
        <v>59.0</v>
      </c>
      <c r="O2296" s="17"/>
      <c r="P2296" s="18">
        <v>41107.42282407408</v>
      </c>
      <c r="Q2296" s="1" t="s">
        <v>2311</v>
      </c>
      <c r="R2296" s="1" t="s">
        <v>2312</v>
      </c>
      <c r="S2296" s="13" t="s">
        <v>2313</v>
      </c>
      <c r="T2296" s="14"/>
      <c r="U2296" s="19" t="str">
        <f>HYPERLINK("https://pbs.twimg.com/profile_images/1212114222148136962/iEBnqmKP.jpg","View")</f>
        <v>View</v>
      </c>
      <c r="V2296" s="14"/>
      <c r="W2296" s="14"/>
      <c r="X2296" s="14"/>
      <c r="Y2296" s="14"/>
      <c r="Z2296" s="14"/>
    </row>
    <row r="2297">
      <c r="A2297" s="11">
        <v>43843.68752314815</v>
      </c>
      <c r="B2297" s="12" t="str">
        <f>HYPERLINK("https://twitter.com/morefromchris","@morefromchris")</f>
        <v>@morefromchris</v>
      </c>
      <c r="C2297" s="1" t="s">
        <v>10402</v>
      </c>
      <c r="D2297" s="1" t="s">
        <v>10403</v>
      </c>
      <c r="E2297" s="12" t="str">
        <f>HYPERLINK("https://twitter.com/morefromchris/status/1216834817087524865","1216834817087524865")</f>
        <v>1216834817087524865</v>
      </c>
      <c r="F2297" s="1" t="s">
        <v>10404</v>
      </c>
      <c r="G2297" s="14"/>
      <c r="H2297" s="14"/>
      <c r="I2297" s="15">
        <v>0.0</v>
      </c>
      <c r="J2297" s="15">
        <v>1.0</v>
      </c>
      <c r="K2297" s="12" t="str">
        <f>HYPERLINK("http://twitter.com/download/iphone","Twitter for iPhone")</f>
        <v>Twitter for iPhone</v>
      </c>
      <c r="L2297" s="16">
        <v>2311.0</v>
      </c>
      <c r="M2297" s="16">
        <v>2770.0</v>
      </c>
      <c r="N2297" s="16">
        <v>50.0</v>
      </c>
      <c r="O2297" s="17"/>
      <c r="P2297" s="18">
        <v>41368.53344907407</v>
      </c>
      <c r="Q2297" s="1" t="s">
        <v>3543</v>
      </c>
      <c r="R2297" s="1" t="s">
        <v>10405</v>
      </c>
      <c r="S2297" s="13" t="s">
        <v>10406</v>
      </c>
      <c r="T2297" s="14"/>
      <c r="U2297" s="19" t="str">
        <f>HYPERLINK("https://pbs.twimg.com/profile_images/752048781756076032/ndjhOE47.jpg","View")</f>
        <v>View</v>
      </c>
      <c r="V2297" s="14"/>
      <c r="W2297" s="14"/>
      <c r="X2297" s="14"/>
      <c r="Y2297" s="14"/>
      <c r="Z2297" s="14"/>
    </row>
    <row r="2298">
      <c r="A2298" s="11">
        <v>43843.68622685185</v>
      </c>
      <c r="B2298" s="12" t="str">
        <f>HYPERLINK("https://twitter.com/AnnaWrestler","@AnnaWrestler")</f>
        <v>@AnnaWrestler</v>
      </c>
      <c r="C2298" s="1" t="s">
        <v>10407</v>
      </c>
      <c r="D2298" s="1" t="s">
        <v>10408</v>
      </c>
      <c r="E2298" s="12" t="str">
        <f>HYPERLINK("https://twitter.com/AnnaWrestler/status/1216834345996038144","1216834345996038144")</f>
        <v>1216834345996038144</v>
      </c>
      <c r="F2298" s="13" t="s">
        <v>10409</v>
      </c>
      <c r="G2298" s="14"/>
      <c r="H2298" s="14"/>
      <c r="I2298" s="15">
        <v>0.0</v>
      </c>
      <c r="J2298" s="15">
        <v>0.0</v>
      </c>
      <c r="K2298" s="12" t="str">
        <f>HYPERLINK("https://mobile.twitter.com","Twitter Web App")</f>
        <v>Twitter Web App</v>
      </c>
      <c r="L2298" s="16">
        <v>6972.0</v>
      </c>
      <c r="M2298" s="16">
        <v>118.0</v>
      </c>
      <c r="N2298" s="16">
        <v>2.0</v>
      </c>
      <c r="O2298" s="17"/>
      <c r="P2298" s="18">
        <v>43371.192152777774</v>
      </c>
      <c r="Q2298" s="1" t="s">
        <v>10410</v>
      </c>
      <c r="R2298" s="1" t="s">
        <v>10411</v>
      </c>
      <c r="S2298" s="14"/>
      <c r="T2298" s="14"/>
      <c r="U2298" s="19" t="str">
        <f>HYPERLINK("https://pbs.twimg.com/profile_images/1109165661127876609/ep5yy2Wa.png","View")</f>
        <v>View</v>
      </c>
      <c r="V2298" s="14"/>
      <c r="W2298" s="14"/>
      <c r="X2298" s="14"/>
      <c r="Y2298" s="14"/>
      <c r="Z2298" s="14"/>
    </row>
    <row r="2299">
      <c r="A2299" s="11">
        <v>43843.68393518518</v>
      </c>
      <c r="B2299" s="12" t="str">
        <f>HYPERLINK("https://twitter.com/AndreaBarlow74","@AndreaBarlow74")</f>
        <v>@AndreaBarlow74</v>
      </c>
      <c r="C2299" s="1" t="s">
        <v>10412</v>
      </c>
      <c r="D2299" s="1" t="s">
        <v>10413</v>
      </c>
      <c r="E2299" s="12" t="str">
        <f>HYPERLINK("https://twitter.com/AndreaBarlow74/status/1216833515523887104","1216833515523887104")</f>
        <v>1216833515523887104</v>
      </c>
      <c r="F2299" s="14"/>
      <c r="G2299" s="14"/>
      <c r="H2299" s="14"/>
      <c r="I2299" s="15">
        <v>0.0</v>
      </c>
      <c r="J2299" s="15">
        <v>0.0</v>
      </c>
      <c r="K2299" s="12" t="str">
        <f t="shared" ref="K2299:K2300" si="235">HYPERLINK("http://twitter.com/download/iphone","Twitter for iPhone")</f>
        <v>Twitter for iPhone</v>
      </c>
      <c r="L2299" s="16">
        <v>728.0</v>
      </c>
      <c r="M2299" s="16">
        <v>985.0</v>
      </c>
      <c r="N2299" s="16">
        <v>2.0</v>
      </c>
      <c r="O2299" s="17"/>
      <c r="P2299" s="18">
        <v>41177.38929398148</v>
      </c>
      <c r="Q2299" s="1" t="s">
        <v>1405</v>
      </c>
      <c r="R2299" s="1" t="s">
        <v>10414</v>
      </c>
      <c r="S2299" s="14"/>
      <c r="T2299" s="14"/>
      <c r="U2299" s="19" t="str">
        <f>HYPERLINK("https://pbs.twimg.com/profile_images/1210702087367118853/OEZ1siCM.jpg","View")</f>
        <v>View</v>
      </c>
      <c r="V2299" s="14"/>
      <c r="W2299" s="14"/>
      <c r="X2299" s="14"/>
      <c r="Y2299" s="14"/>
      <c r="Z2299" s="14"/>
    </row>
    <row r="2300">
      <c r="A2300" s="11">
        <v>43843.68079861111</v>
      </c>
      <c r="B2300" s="12" t="str">
        <f>HYPERLINK("https://twitter.com/ScottSavor","@ScottSavor")</f>
        <v>@ScottSavor</v>
      </c>
      <c r="C2300" s="1" t="s">
        <v>10415</v>
      </c>
      <c r="D2300" s="1" t="s">
        <v>10416</v>
      </c>
      <c r="E2300" s="12" t="str">
        <f>HYPERLINK("https://twitter.com/ScottSavor/status/1216832379077251073","1216832379077251073")</f>
        <v>1216832379077251073</v>
      </c>
      <c r="F2300" s="14"/>
      <c r="G2300" s="13" t="s">
        <v>10417</v>
      </c>
      <c r="H2300" s="14"/>
      <c r="I2300" s="15">
        <v>2.0</v>
      </c>
      <c r="J2300" s="15">
        <v>6.0</v>
      </c>
      <c r="K2300" s="12" t="str">
        <f t="shared" si="235"/>
        <v>Twitter for iPhone</v>
      </c>
      <c r="L2300" s="16">
        <v>6995.0</v>
      </c>
      <c r="M2300" s="16">
        <v>0.0</v>
      </c>
      <c r="N2300" s="16">
        <v>31.0</v>
      </c>
      <c r="O2300" s="17"/>
      <c r="P2300" s="18">
        <v>41142.95552083333</v>
      </c>
      <c r="Q2300" s="1" t="s">
        <v>297</v>
      </c>
      <c r="R2300" s="1" t="s">
        <v>10418</v>
      </c>
      <c r="S2300" s="13" t="s">
        <v>10419</v>
      </c>
      <c r="T2300" s="14"/>
      <c r="U2300" s="19" t="str">
        <f>HYPERLINK("https://pbs.twimg.com/profile_images/1120556891720101889/H92gtbNy.jpg","View")</f>
        <v>View</v>
      </c>
      <c r="V2300" s="14"/>
      <c r="W2300" s="14"/>
      <c r="X2300" s="14"/>
      <c r="Y2300" s="14"/>
      <c r="Z2300" s="14"/>
    </row>
    <row r="2301">
      <c r="A2301" s="11">
        <v>43843.67582175926</v>
      </c>
      <c r="B2301" s="12" t="str">
        <f>HYPERLINK("https://twitter.com/TherapiesWhole","@TherapiesWhole")</f>
        <v>@TherapiesWhole</v>
      </c>
      <c r="C2301" s="1" t="s">
        <v>10420</v>
      </c>
      <c r="D2301" s="1" t="s">
        <v>10421</v>
      </c>
      <c r="E2301" s="12" t="str">
        <f>HYPERLINK("https://twitter.com/TherapiesWhole/status/1216830577162301442","1216830577162301442")</f>
        <v>1216830577162301442</v>
      </c>
      <c r="F2301" s="14"/>
      <c r="G2301" s="13" t="s">
        <v>10422</v>
      </c>
      <c r="H2301" s="14"/>
      <c r="I2301" s="15">
        <v>0.0</v>
      </c>
      <c r="J2301" s="15">
        <v>0.0</v>
      </c>
      <c r="K2301" s="12" t="str">
        <f t="shared" ref="K2301:K2302" si="236">HYPERLINK("https://mobile.twitter.com","Twitter Web App")</f>
        <v>Twitter Web App</v>
      </c>
      <c r="L2301" s="16">
        <v>8.0</v>
      </c>
      <c r="M2301" s="16">
        <v>38.0</v>
      </c>
      <c r="N2301" s="16">
        <v>0.0</v>
      </c>
      <c r="O2301" s="17"/>
      <c r="P2301" s="18">
        <v>43728.507106481484</v>
      </c>
      <c r="Q2301" s="1" t="s">
        <v>10423</v>
      </c>
      <c r="R2301" s="1" t="s">
        <v>10424</v>
      </c>
      <c r="S2301" s="13" t="s">
        <v>10425</v>
      </c>
      <c r="T2301" s="14"/>
      <c r="U2301" s="19" t="str">
        <f>HYPERLINK("https://pbs.twimg.com/profile_images/1213948782011768832/vgKxok45.jpg","View")</f>
        <v>View</v>
      </c>
      <c r="V2301" s="14"/>
      <c r="W2301" s="14"/>
      <c r="X2301" s="14"/>
      <c r="Y2301" s="14"/>
      <c r="Z2301" s="14"/>
    </row>
    <row r="2302">
      <c r="A2302" s="11">
        <v>43843.675416666665</v>
      </c>
      <c r="B2302" s="12" t="str">
        <f>HYPERLINK("https://twitter.com/Dragofix","@Dragofix")</f>
        <v>@Dragofix</v>
      </c>
      <c r="C2302" s="1" t="s">
        <v>10426</v>
      </c>
      <c r="D2302" s="1" t="s">
        <v>10427</v>
      </c>
      <c r="E2302" s="12" t="str">
        <f>HYPERLINK("https://twitter.com/Dragofix/status/1216830428230955010","1216830428230955010")</f>
        <v>1216830428230955010</v>
      </c>
      <c r="F2302" s="13" t="s">
        <v>10428</v>
      </c>
      <c r="G2302" s="14"/>
      <c r="H2302" s="14"/>
      <c r="I2302" s="15">
        <v>3.0</v>
      </c>
      <c r="J2302" s="15">
        <v>4.0</v>
      </c>
      <c r="K2302" s="12" t="str">
        <f t="shared" si="236"/>
        <v>Twitter Web App</v>
      </c>
      <c r="L2302" s="16">
        <v>3629.0</v>
      </c>
      <c r="M2302" s="16">
        <v>4835.0</v>
      </c>
      <c r="N2302" s="16">
        <v>536.0</v>
      </c>
      <c r="O2302" s="17"/>
      <c r="P2302" s="18">
        <v>40014.77180555556</v>
      </c>
      <c r="Q2302" s="1" t="s">
        <v>10429</v>
      </c>
      <c r="R2302" s="1" t="s">
        <v>10430</v>
      </c>
      <c r="S2302" s="14"/>
      <c r="T2302" s="14"/>
      <c r="U2302" s="19" t="str">
        <f>HYPERLINK("https://pbs.twimg.com/profile_images/1098468035395026944/E2VmaNB6.png","View")</f>
        <v>View</v>
      </c>
      <c r="V2302" s="14"/>
      <c r="W2302" s="14"/>
      <c r="X2302" s="14"/>
      <c r="Y2302" s="14"/>
      <c r="Z2302" s="14"/>
    </row>
    <row r="2303">
      <c r="A2303" s="11">
        <v>43843.66914351852</v>
      </c>
      <c r="B2303" s="12" t="str">
        <f>HYPERLINK("https://twitter.com/Meyer13Randy","@Meyer13Randy")</f>
        <v>@Meyer13Randy</v>
      </c>
      <c r="C2303" s="1" t="s">
        <v>2039</v>
      </c>
      <c r="D2303" s="1" t="s">
        <v>10431</v>
      </c>
      <c r="E2303" s="12" t="str">
        <f>HYPERLINK("https://twitter.com/Meyer13Randy/status/1216828154397937664","1216828154397937664")</f>
        <v>1216828154397937664</v>
      </c>
      <c r="F2303" s="14"/>
      <c r="G2303" s="13" t="s">
        <v>10432</v>
      </c>
      <c r="H2303" s="14"/>
      <c r="I2303" s="15">
        <v>0.0</v>
      </c>
      <c r="J2303" s="15">
        <v>0.0</v>
      </c>
      <c r="K2303" s="12" t="str">
        <f>HYPERLINK("http://twitter.com/download/android","Twitter for Android")</f>
        <v>Twitter for Android</v>
      </c>
      <c r="L2303" s="16">
        <v>3.0</v>
      </c>
      <c r="M2303" s="16">
        <v>41.0</v>
      </c>
      <c r="N2303" s="16">
        <v>0.0</v>
      </c>
      <c r="O2303" s="17"/>
      <c r="P2303" s="18">
        <v>41312.70101851852</v>
      </c>
      <c r="Q2303" s="1" t="s">
        <v>2042</v>
      </c>
      <c r="R2303" s="14"/>
      <c r="S2303" s="14"/>
      <c r="T2303" s="14"/>
      <c r="U2303" s="19" t="str">
        <f>HYPERLINK("https://pbs.twimg.com/profile_images/1194079133082554368/uImmUwZa.jpg","View")</f>
        <v>View</v>
      </c>
      <c r="V2303" s="14"/>
      <c r="W2303" s="14"/>
      <c r="X2303" s="14"/>
      <c r="Y2303" s="14"/>
      <c r="Z2303" s="14"/>
    </row>
    <row r="2304">
      <c r="A2304" s="11">
        <v>43843.667129629626</v>
      </c>
      <c r="B2304" s="12" t="str">
        <f>HYPERLINK("https://twitter.com/TMNinja","@TMNinja")</f>
        <v>@TMNinja</v>
      </c>
      <c r="C2304" s="1" t="s">
        <v>558</v>
      </c>
      <c r="D2304" s="1" t="s">
        <v>559</v>
      </c>
      <c r="E2304" s="12" t="str">
        <f>HYPERLINK("https://twitter.com/TMNinja/status/1216827425616732161","1216827425616732161")</f>
        <v>1216827425616732161</v>
      </c>
      <c r="F2304" s="13" t="s">
        <v>560</v>
      </c>
      <c r="G2304" s="13" t="s">
        <v>10433</v>
      </c>
      <c r="H2304" s="14"/>
      <c r="I2304" s="15">
        <v>0.0</v>
      </c>
      <c r="J2304" s="15">
        <v>0.0</v>
      </c>
      <c r="K2304" s="12" t="str">
        <f>HYPERLINK("https://buffer.com","Buffer")</f>
        <v>Buffer</v>
      </c>
      <c r="L2304" s="16">
        <v>34405.0</v>
      </c>
      <c r="M2304" s="16">
        <v>15405.0</v>
      </c>
      <c r="N2304" s="16">
        <v>1884.0</v>
      </c>
      <c r="O2304" s="20" t="s">
        <v>38</v>
      </c>
      <c r="P2304" s="18">
        <v>39982.609548611115</v>
      </c>
      <c r="Q2304" s="1" t="s">
        <v>550</v>
      </c>
      <c r="R2304" s="1" t="s">
        <v>562</v>
      </c>
      <c r="S2304" s="13" t="s">
        <v>563</v>
      </c>
      <c r="T2304" s="14"/>
      <c r="U2304" s="19" t="str">
        <f>HYPERLINK("https://pbs.twimg.com/profile_images/1734246631/Craig_BW_Headshot_small.jpg.jpg","View")</f>
        <v>View</v>
      </c>
      <c r="V2304" s="14"/>
      <c r="W2304" s="14"/>
      <c r="X2304" s="14"/>
      <c r="Y2304" s="14"/>
      <c r="Z2304" s="14"/>
    </row>
    <row r="2305">
      <c r="A2305" s="11">
        <v>43843.667071759264</v>
      </c>
      <c r="B2305" s="12" t="str">
        <f>HYPERLINK("https://twitter.com/StockmanAgency","@StockmanAgency")</f>
        <v>@StockmanAgency</v>
      </c>
      <c r="C2305" s="1" t="s">
        <v>10434</v>
      </c>
      <c r="D2305" s="1" t="s">
        <v>10435</v>
      </c>
      <c r="E2305" s="12" t="str">
        <f>HYPERLINK("https://twitter.com/StockmanAgency/status/1216827406721462272","1216827406721462272")</f>
        <v>1216827406721462272</v>
      </c>
      <c r="F2305" s="13" t="s">
        <v>10436</v>
      </c>
      <c r="G2305" s="13" t="s">
        <v>10437</v>
      </c>
      <c r="H2305" s="14"/>
      <c r="I2305" s="15">
        <v>0.0</v>
      </c>
      <c r="J2305" s="15">
        <v>1.0</v>
      </c>
      <c r="K2305" s="12" t="str">
        <f>HYPERLINK("http://www.falcon.io","Falcon Social Media Management ")</f>
        <v>Falcon Social Media Management </v>
      </c>
      <c r="L2305" s="16">
        <v>22.0</v>
      </c>
      <c r="M2305" s="16">
        <v>181.0</v>
      </c>
      <c r="N2305" s="16">
        <v>0.0</v>
      </c>
      <c r="O2305" s="17"/>
      <c r="P2305" s="18">
        <v>43528.43380787037</v>
      </c>
      <c r="Q2305" s="1" t="s">
        <v>6245</v>
      </c>
      <c r="R2305" s="1" t="s">
        <v>10438</v>
      </c>
      <c r="S2305" s="13" t="s">
        <v>10439</v>
      </c>
      <c r="T2305" s="14"/>
      <c r="U2305" s="19" t="str">
        <f>HYPERLINK("https://pbs.twimg.com/profile_images/1102591621009420289/kb2vZty-.jpg","View")</f>
        <v>View</v>
      </c>
      <c r="V2305" s="14"/>
      <c r="W2305" s="14"/>
      <c r="X2305" s="14"/>
      <c r="Y2305" s="14"/>
      <c r="Z2305" s="14"/>
    </row>
    <row r="2306">
      <c r="A2306" s="11">
        <v>43843.66690972222</v>
      </c>
      <c r="B2306" s="12" t="str">
        <f>HYPERLINK("https://twitter.com/J_Ferraro_LCSW","@J_Ferraro_LCSW")</f>
        <v>@J_Ferraro_LCSW</v>
      </c>
      <c r="C2306" s="1" t="s">
        <v>4277</v>
      </c>
      <c r="D2306" s="1" t="s">
        <v>4278</v>
      </c>
      <c r="E2306" s="12" t="str">
        <f>HYPERLINK("https://twitter.com/J_Ferraro_LCSW/status/1216827344473743360","1216827344473743360")</f>
        <v>1216827344473743360</v>
      </c>
      <c r="F2306" s="13" t="s">
        <v>4279</v>
      </c>
      <c r="G2306" s="13" t="s">
        <v>10440</v>
      </c>
      <c r="H2306" s="14"/>
      <c r="I2306" s="15">
        <v>0.0</v>
      </c>
      <c r="J2306" s="15">
        <v>0.0</v>
      </c>
      <c r="K2306" s="12" t="str">
        <f>HYPERLINK("https://buffer.com","Buffer")</f>
        <v>Buffer</v>
      </c>
      <c r="L2306" s="16">
        <v>1294.0</v>
      </c>
      <c r="M2306" s="16">
        <v>966.0</v>
      </c>
      <c r="N2306" s="16">
        <v>247.0</v>
      </c>
      <c r="O2306" s="17"/>
      <c r="P2306" s="18">
        <v>39981.01886574074</v>
      </c>
      <c r="Q2306" s="1" t="s">
        <v>4281</v>
      </c>
      <c r="R2306" s="1" t="s">
        <v>4282</v>
      </c>
      <c r="S2306" s="13" t="s">
        <v>4283</v>
      </c>
      <c r="T2306" s="14"/>
      <c r="U2306" s="19" t="str">
        <f>HYPERLINK("https://pbs.twimg.com/profile_images/1036006434184605698/0tiizpmO.jpg","View")</f>
        <v>View</v>
      </c>
      <c r="V2306" s="14"/>
      <c r="W2306" s="14"/>
      <c r="X2306" s="14"/>
      <c r="Y2306" s="14"/>
      <c r="Z2306" s="14"/>
    </row>
    <row r="2307">
      <c r="A2307" s="11">
        <v>43843.66668981481</v>
      </c>
      <c r="B2307" s="12" t="str">
        <f>HYPERLINK("https://twitter.com/PeggyJohnson7","@PeggyJohnson7")</f>
        <v>@PeggyJohnson7</v>
      </c>
      <c r="C2307" s="1" t="s">
        <v>10441</v>
      </c>
      <c r="D2307" s="1" t="s">
        <v>193</v>
      </c>
      <c r="E2307" s="12" t="str">
        <f>HYPERLINK("https://twitter.com/PeggyJohnson7/status/1216827265767628801","1216827265767628801")</f>
        <v>1216827265767628801</v>
      </c>
      <c r="F2307" s="13" t="s">
        <v>10442</v>
      </c>
      <c r="G2307" s="14"/>
      <c r="H2307" s="14"/>
      <c r="I2307" s="15">
        <v>0.0</v>
      </c>
      <c r="J2307" s="15">
        <v>0.0</v>
      </c>
      <c r="K2307" s="12" t="str">
        <f>HYPERLINK("http://twitter.com","Twitter Web Client")</f>
        <v>Twitter Web Client</v>
      </c>
      <c r="L2307" s="16">
        <v>780.0</v>
      </c>
      <c r="M2307" s="16">
        <v>230.0</v>
      </c>
      <c r="N2307" s="16">
        <v>272.0</v>
      </c>
      <c r="O2307" s="17"/>
      <c r="P2307" s="18">
        <v>40826.69905092593</v>
      </c>
      <c r="Q2307" s="1" t="s">
        <v>10443</v>
      </c>
      <c r="R2307" s="1" t="s">
        <v>10444</v>
      </c>
      <c r="S2307" s="14"/>
      <c r="T2307" s="14"/>
      <c r="U2307" s="19" t="str">
        <f>HYPERLINK("https://pbs.twimg.com/profile_images/778028179504111616/hZFjXVho.jpg","View")</f>
        <v>View</v>
      </c>
      <c r="V2307" s="14"/>
      <c r="W2307" s="14"/>
      <c r="X2307" s="14"/>
      <c r="Y2307" s="14"/>
      <c r="Z2307" s="14"/>
    </row>
    <row r="2308">
      <c r="A2308" s="11">
        <v>43843.66505787037</v>
      </c>
      <c r="B2308" s="12" t="str">
        <f>HYPERLINK("https://twitter.com/4UWell","@4UWell")</f>
        <v>@4UWell</v>
      </c>
      <c r="C2308" s="1" t="s">
        <v>5973</v>
      </c>
      <c r="D2308" s="1" t="s">
        <v>10445</v>
      </c>
      <c r="E2308" s="12" t="str">
        <f>HYPERLINK("https://twitter.com/4UWell/status/1216826675687718912","1216826675687718912")</f>
        <v>1216826675687718912</v>
      </c>
      <c r="F2308" s="14"/>
      <c r="G2308" s="13" t="s">
        <v>10446</v>
      </c>
      <c r="H2308" s="14"/>
      <c r="I2308" s="15">
        <v>47.0</v>
      </c>
      <c r="J2308" s="15">
        <v>107.0</v>
      </c>
      <c r="K2308" s="12" t="str">
        <f>HYPERLINK("https://buffer.com","Buffer")</f>
        <v>Buffer</v>
      </c>
      <c r="L2308" s="16">
        <v>74040.0</v>
      </c>
      <c r="M2308" s="16">
        <v>67982.0</v>
      </c>
      <c r="N2308" s="16">
        <v>462.0</v>
      </c>
      <c r="O2308" s="17"/>
      <c r="P2308" s="18">
        <v>43279.97793981481</v>
      </c>
      <c r="Q2308" s="1" t="s">
        <v>5976</v>
      </c>
      <c r="R2308" s="1" t="s">
        <v>5977</v>
      </c>
      <c r="S2308" s="14"/>
      <c r="T2308" s="14"/>
      <c r="U2308" s="19" t="str">
        <f>HYPERLINK("https://pbs.twimg.com/profile_images/1200176078091935745/Gnk94Jrn.jpg","View")</f>
        <v>View</v>
      </c>
      <c r="V2308" s="14"/>
      <c r="W2308" s="14"/>
      <c r="X2308" s="14"/>
      <c r="Y2308" s="14"/>
      <c r="Z2308" s="14"/>
    </row>
    <row r="2309">
      <c r="A2309" s="11">
        <v>43843.66383101852</v>
      </c>
      <c r="B2309" s="12" t="str">
        <f>HYPERLINK("https://twitter.com/LisaEllisRDMSW","@LisaEllisRDMSW")</f>
        <v>@LisaEllisRDMSW</v>
      </c>
      <c r="C2309" s="1" t="s">
        <v>10447</v>
      </c>
      <c r="D2309" s="1" t="s">
        <v>10448</v>
      </c>
      <c r="E2309" s="12" t="str">
        <f>HYPERLINK("https://twitter.com/LisaEllisRDMSW/status/1216826231527624704","1216826231527624704")</f>
        <v>1216826231527624704</v>
      </c>
      <c r="F2309" s="13" t="s">
        <v>10449</v>
      </c>
      <c r="G2309" s="14"/>
      <c r="H2309" s="14"/>
      <c r="I2309" s="15">
        <v>0.0</v>
      </c>
      <c r="J2309" s="15">
        <v>0.0</v>
      </c>
      <c r="K2309" s="12" t="str">
        <f>HYPERLINK("https://mobile.twitter.com","Twitter Web App")</f>
        <v>Twitter Web App</v>
      </c>
      <c r="L2309" s="16">
        <v>354.0</v>
      </c>
      <c r="M2309" s="16">
        <v>725.0</v>
      </c>
      <c r="N2309" s="16">
        <v>21.0</v>
      </c>
      <c r="O2309" s="17"/>
      <c r="P2309" s="18">
        <v>42231.72913194445</v>
      </c>
      <c r="Q2309" s="1" t="s">
        <v>10450</v>
      </c>
      <c r="R2309" s="1" t="s">
        <v>10451</v>
      </c>
      <c r="S2309" s="13" t="s">
        <v>10452</v>
      </c>
      <c r="T2309" s="14"/>
      <c r="U2309" s="19" t="str">
        <f>HYPERLINK("https://pbs.twimg.com/profile_images/640223921401282560/W3woUw-Z.jpg","View")</f>
        <v>View</v>
      </c>
      <c r="V2309" s="14"/>
      <c r="W2309" s="14"/>
      <c r="X2309" s="14"/>
      <c r="Y2309" s="14"/>
      <c r="Z2309" s="14"/>
    </row>
    <row r="2310">
      <c r="A2310" s="11">
        <v>43843.66134259259</v>
      </c>
      <c r="B2310" s="12" t="str">
        <f>HYPERLINK("https://twitter.com/MCAPN_CO_UK","@MCAPN_CO_UK")</f>
        <v>@MCAPN_CO_UK</v>
      </c>
      <c r="C2310" s="1" t="s">
        <v>10453</v>
      </c>
      <c r="D2310" s="1" t="s">
        <v>10454</v>
      </c>
      <c r="E2310" s="12" t="str">
        <f>HYPERLINK("https://twitter.com/MCAPN_CO_UK/status/1216825328460615682","1216825328460615682")</f>
        <v>1216825328460615682</v>
      </c>
      <c r="F2310" s="13" t="s">
        <v>6677</v>
      </c>
      <c r="G2310" s="14"/>
      <c r="H2310" s="14"/>
      <c r="I2310" s="15">
        <v>0.0</v>
      </c>
      <c r="J2310" s="15">
        <v>1.0</v>
      </c>
      <c r="K2310" s="12" t="str">
        <f>HYPERLINK("http://twitter.com/download/android","Twitter for Android")</f>
        <v>Twitter for Android</v>
      </c>
      <c r="L2310" s="16">
        <v>2701.0</v>
      </c>
      <c r="M2310" s="16">
        <v>3967.0</v>
      </c>
      <c r="N2310" s="16">
        <v>47.0</v>
      </c>
      <c r="O2310" s="17"/>
      <c r="P2310" s="18">
        <v>42203.57114583333</v>
      </c>
      <c r="Q2310" s="1" t="s">
        <v>10455</v>
      </c>
      <c r="R2310" s="1" t="s">
        <v>10456</v>
      </c>
      <c r="S2310" s="13" t="s">
        <v>10457</v>
      </c>
      <c r="T2310" s="14"/>
      <c r="U2310" s="19" t="str">
        <f>HYPERLINK("https://pbs.twimg.com/profile_images/1148882226807037952/io427qcf.png","View")</f>
        <v>View</v>
      </c>
      <c r="V2310" s="14"/>
      <c r="W2310" s="14"/>
      <c r="X2310" s="14"/>
      <c r="Y2310" s="14"/>
      <c r="Z2310" s="14"/>
    </row>
    <row r="2311">
      <c r="A2311" s="11">
        <v>43843.656319444446</v>
      </c>
      <c r="B2311" s="12" t="str">
        <f>HYPERLINK("https://twitter.com/TheCalmPeople","@TheCalmPeople")</f>
        <v>@TheCalmPeople</v>
      </c>
      <c r="C2311" s="1" t="s">
        <v>2145</v>
      </c>
      <c r="D2311" s="1" t="s">
        <v>10458</v>
      </c>
      <c r="E2311" s="12" t="str">
        <f>HYPERLINK("https://twitter.com/TheCalmPeople/status/1216823508627607552","1216823508627607552")</f>
        <v>1216823508627607552</v>
      </c>
      <c r="F2311" s="14"/>
      <c r="G2311" s="13" t="s">
        <v>10459</v>
      </c>
      <c r="H2311" s="14"/>
      <c r="I2311" s="15">
        <v>0.0</v>
      </c>
      <c r="J2311" s="15">
        <v>0.0</v>
      </c>
      <c r="K2311" s="12" t="str">
        <f t="shared" ref="K2311:K2313" si="237">HYPERLINK("https://www.hootsuite.com","Hootsuite Inc.")</f>
        <v>Hootsuite Inc.</v>
      </c>
      <c r="L2311" s="16">
        <v>1748.0</v>
      </c>
      <c r="M2311" s="16">
        <v>261.0</v>
      </c>
      <c r="N2311" s="16">
        <v>39.0</v>
      </c>
      <c r="O2311" s="17"/>
      <c r="P2311" s="18">
        <v>39970.570706018516</v>
      </c>
      <c r="Q2311" s="1" t="s">
        <v>864</v>
      </c>
      <c r="R2311" s="1" t="s">
        <v>2148</v>
      </c>
      <c r="S2311" s="13" t="s">
        <v>2149</v>
      </c>
      <c r="T2311" s="14"/>
      <c r="U2311" s="19" t="str">
        <f>HYPERLINK("https://pbs.twimg.com/profile_images/651434318506528768/fuSNk5ze.jpg","View")</f>
        <v>View</v>
      </c>
      <c r="V2311" s="14"/>
      <c r="W2311" s="14"/>
      <c r="X2311" s="14"/>
      <c r="Y2311" s="14"/>
      <c r="Z2311" s="14"/>
    </row>
    <row r="2312">
      <c r="A2312" s="11">
        <v>43843.656319444446</v>
      </c>
      <c r="B2312" s="12" t="str">
        <f>HYPERLINK("https://twitter.com/thestressclinic","@thestressclinic")</f>
        <v>@thestressclinic</v>
      </c>
      <c r="C2312" s="1" t="s">
        <v>282</v>
      </c>
      <c r="D2312" s="1" t="s">
        <v>10460</v>
      </c>
      <c r="E2312" s="12" t="str">
        <f>HYPERLINK("https://twitter.com/thestressclinic/status/1216823507075698694","1216823507075698694")</f>
        <v>1216823507075698694</v>
      </c>
      <c r="F2312" s="14"/>
      <c r="G2312" s="14"/>
      <c r="H2312" s="14"/>
      <c r="I2312" s="15">
        <v>0.0</v>
      </c>
      <c r="J2312" s="15">
        <v>0.0</v>
      </c>
      <c r="K2312" s="12" t="str">
        <f t="shared" si="237"/>
        <v>Hootsuite Inc.</v>
      </c>
      <c r="L2312" s="16">
        <v>548.0</v>
      </c>
      <c r="M2312" s="16">
        <v>148.0</v>
      </c>
      <c r="N2312" s="16">
        <v>21.0</v>
      </c>
      <c r="O2312" s="17"/>
      <c r="P2312" s="18">
        <v>40837.51666666666</v>
      </c>
      <c r="Q2312" s="1" t="s">
        <v>284</v>
      </c>
      <c r="R2312" s="1" t="s">
        <v>285</v>
      </c>
      <c r="S2312" s="13" t="s">
        <v>286</v>
      </c>
      <c r="T2312" s="14"/>
      <c r="U2312" s="19" t="str">
        <f>HYPERLINK("https://pbs.twimg.com/profile_images/1786841943/RelaxButton.jpg","View")</f>
        <v>View</v>
      </c>
      <c r="V2312" s="14"/>
      <c r="W2312" s="14"/>
      <c r="X2312" s="14"/>
      <c r="Y2312" s="14"/>
      <c r="Z2312" s="14"/>
    </row>
    <row r="2313">
      <c r="A2313" s="11">
        <v>43843.64975694445</v>
      </c>
      <c r="B2313" s="12" t="str">
        <f>HYPERLINK("https://twitter.com/RedwayHR","@RedwayHR")</f>
        <v>@RedwayHR</v>
      </c>
      <c r="C2313" s="1" t="s">
        <v>4265</v>
      </c>
      <c r="D2313" s="1" t="s">
        <v>4266</v>
      </c>
      <c r="E2313" s="12" t="str">
        <f>HYPERLINK("https://twitter.com/RedwayHR/status/1216821131455410177","1216821131455410177")</f>
        <v>1216821131455410177</v>
      </c>
      <c r="F2313" s="13" t="s">
        <v>4267</v>
      </c>
      <c r="G2313" s="13" t="s">
        <v>10461</v>
      </c>
      <c r="H2313" s="14"/>
      <c r="I2313" s="15">
        <v>0.0</v>
      </c>
      <c r="J2313" s="15">
        <v>0.0</v>
      </c>
      <c r="K2313" s="12" t="str">
        <f t="shared" si="237"/>
        <v>Hootsuite Inc.</v>
      </c>
      <c r="L2313" s="16">
        <v>188.0</v>
      </c>
      <c r="M2313" s="16">
        <v>218.0</v>
      </c>
      <c r="N2313" s="16">
        <v>7.0</v>
      </c>
      <c r="O2313" s="17"/>
      <c r="P2313" s="18">
        <v>41374.669710648144</v>
      </c>
      <c r="Q2313" s="1" t="s">
        <v>1270</v>
      </c>
      <c r="R2313" s="1" t="s">
        <v>4269</v>
      </c>
      <c r="S2313" s="13" t="s">
        <v>4270</v>
      </c>
      <c r="T2313" s="14"/>
      <c r="U2313" s="19" t="str">
        <f>HYPERLINK("https://pbs.twimg.com/profile_images/1197536035120521218/E04eAkgX.jpg","View")</f>
        <v>View</v>
      </c>
      <c r="V2313" s="14"/>
      <c r="W2313" s="14"/>
      <c r="X2313" s="14"/>
      <c r="Y2313" s="14"/>
      <c r="Z2313" s="14"/>
    </row>
    <row r="2314">
      <c r="A2314" s="11">
        <v>43843.64840277778</v>
      </c>
      <c r="B2314" s="12" t="str">
        <f>HYPERLINK("https://twitter.com/RoweIsFamous","@RoweIsFamous")</f>
        <v>@RoweIsFamous</v>
      </c>
      <c r="C2314" s="1" t="s">
        <v>10462</v>
      </c>
      <c r="D2314" s="1" t="s">
        <v>10463</v>
      </c>
      <c r="E2314" s="12" t="str">
        <f>HYPERLINK("https://twitter.com/RoweIsFamous/status/1216820640700948480","1216820640700948480")</f>
        <v>1216820640700948480</v>
      </c>
      <c r="F2314" s="13" t="s">
        <v>10464</v>
      </c>
      <c r="G2314" s="14"/>
      <c r="H2314" s="12" t="str">
        <f>HYPERLINK("https://ctrlq.org/maps/address/#37.6933,-97.3358","Map")</f>
        <v>Map</v>
      </c>
      <c r="I2314" s="15">
        <v>1.0</v>
      </c>
      <c r="J2314" s="15">
        <v>0.0</v>
      </c>
      <c r="K2314" s="12" t="str">
        <f>HYPERLINK("http://instagram.com","Instagram")</f>
        <v>Instagram</v>
      </c>
      <c r="L2314" s="16">
        <v>842.0</v>
      </c>
      <c r="M2314" s="16">
        <v>563.0</v>
      </c>
      <c r="N2314" s="16">
        <v>27.0</v>
      </c>
      <c r="O2314" s="17"/>
      <c r="P2314" s="18">
        <v>39737.65494212963</v>
      </c>
      <c r="Q2314" s="1" t="s">
        <v>10465</v>
      </c>
      <c r="R2314" s="1" t="s">
        <v>10466</v>
      </c>
      <c r="S2314" s="13" t="s">
        <v>10467</v>
      </c>
      <c r="T2314" s="14"/>
      <c r="U2314" s="19" t="str">
        <f>HYPERLINK("https://pbs.twimg.com/profile_images/1095402074685136896/dihC4ez8.jpg","View")</f>
        <v>View</v>
      </c>
      <c r="V2314" s="14"/>
      <c r="W2314" s="14"/>
      <c r="X2314" s="14"/>
      <c r="Y2314" s="14"/>
      <c r="Z2314" s="14"/>
    </row>
    <row r="2315">
      <c r="A2315" s="11">
        <v>43843.64696759259</v>
      </c>
      <c r="B2315" s="12" t="str">
        <f>HYPERLINK("https://twitter.com/A_MasterMassage","@A_MasterMassage")</f>
        <v>@A_MasterMassage</v>
      </c>
      <c r="C2315" s="1" t="s">
        <v>10468</v>
      </c>
      <c r="D2315" s="1" t="s">
        <v>10469</v>
      </c>
      <c r="E2315" s="12" t="str">
        <f>HYPERLINK("https://twitter.com/A_MasterMassage/status/1216820117989838848","1216820117989838848")</f>
        <v>1216820117989838848</v>
      </c>
      <c r="F2315" s="1" t="s">
        <v>10470</v>
      </c>
      <c r="G2315" s="13" t="s">
        <v>10471</v>
      </c>
      <c r="H2315" s="14"/>
      <c r="I2315" s="15">
        <v>0.0</v>
      </c>
      <c r="J2315" s="15">
        <v>2.0</v>
      </c>
      <c r="K2315" s="12" t="str">
        <f>HYPERLINK("https://mobile.twitter.com","Twitter Web App")</f>
        <v>Twitter Web App</v>
      </c>
      <c r="L2315" s="16">
        <v>74.0</v>
      </c>
      <c r="M2315" s="16">
        <v>170.0</v>
      </c>
      <c r="N2315" s="16">
        <v>1.0</v>
      </c>
      <c r="O2315" s="17"/>
      <c r="P2315" s="18">
        <v>43312.16637731482</v>
      </c>
      <c r="Q2315" s="1" t="s">
        <v>10472</v>
      </c>
      <c r="R2315" s="1" t="s">
        <v>10473</v>
      </c>
      <c r="S2315" s="13" t="s">
        <v>10474</v>
      </c>
      <c r="T2315" s="14"/>
      <c r="U2315" s="19" t="str">
        <f>HYPERLINK("https://pbs.twimg.com/profile_images/1121572177801662464/C_QSGIad.png","View")</f>
        <v>View</v>
      </c>
      <c r="V2315" s="14"/>
      <c r="W2315" s="14"/>
      <c r="X2315" s="14"/>
      <c r="Y2315" s="14"/>
      <c r="Z2315" s="14"/>
    </row>
    <row r="2316">
      <c r="A2316" s="11">
        <v>43843.64422453704</v>
      </c>
      <c r="B2316" s="12" t="str">
        <f>HYPERLINK("https://twitter.com/puregreenxpress","@puregreenxpress")</f>
        <v>@puregreenxpress</v>
      </c>
      <c r="C2316" s="1" t="s">
        <v>6403</v>
      </c>
      <c r="D2316" s="1" t="s">
        <v>10475</v>
      </c>
      <c r="E2316" s="12" t="str">
        <f>HYPERLINK("https://twitter.com/puregreenxpress/status/1216819124074176514","1216819124074176514")</f>
        <v>1216819124074176514</v>
      </c>
      <c r="F2316" s="13" t="s">
        <v>10476</v>
      </c>
      <c r="G2316" s="14"/>
      <c r="H2316" s="14"/>
      <c r="I2316" s="15">
        <v>0.0</v>
      </c>
      <c r="J2316" s="15">
        <v>0.0</v>
      </c>
      <c r="K2316" s="12" t="str">
        <f>HYPERLINK("http://twitter.com","Twitter Web Client")</f>
        <v>Twitter Web Client</v>
      </c>
      <c r="L2316" s="16">
        <v>4232.0</v>
      </c>
      <c r="M2316" s="16">
        <v>3939.0</v>
      </c>
      <c r="N2316" s="16">
        <v>18.0</v>
      </c>
      <c r="O2316" s="17"/>
      <c r="P2316" s="18">
        <v>42832.91449074074</v>
      </c>
      <c r="Q2316" s="1" t="s">
        <v>4938</v>
      </c>
      <c r="R2316" s="1" t="s">
        <v>6406</v>
      </c>
      <c r="S2316" s="13" t="s">
        <v>6407</v>
      </c>
      <c r="T2316" s="14"/>
      <c r="U2316" s="19" t="str">
        <f>HYPERLINK("https://pbs.twimg.com/profile_images/850531013323218944/qtaGwM5r.jpg","View")</f>
        <v>View</v>
      </c>
      <c r="V2316" s="14"/>
      <c r="W2316" s="14"/>
      <c r="X2316" s="14"/>
      <c r="Y2316" s="14"/>
      <c r="Z2316" s="14"/>
    </row>
    <row r="2317">
      <c r="A2317" s="11">
        <v>43843.64236111111</v>
      </c>
      <c r="B2317" s="12" t="str">
        <f>HYPERLINK("https://twitter.com/TheBizJournal","@TheBizJournal")</f>
        <v>@TheBizJournal</v>
      </c>
      <c r="C2317" s="1" t="s">
        <v>373</v>
      </c>
      <c r="D2317" s="1" t="s">
        <v>10477</v>
      </c>
      <c r="E2317" s="12" t="str">
        <f>HYPERLINK("https://twitter.com/TheBizJournal/status/1216818451022520328","1216818451022520328")</f>
        <v>1216818451022520328</v>
      </c>
      <c r="F2317" s="13" t="s">
        <v>10478</v>
      </c>
      <c r="G2317" s="13" t="s">
        <v>10479</v>
      </c>
      <c r="H2317" s="14"/>
      <c r="I2317" s="15">
        <v>0.0</v>
      </c>
      <c r="J2317" s="15">
        <v>2.0</v>
      </c>
      <c r="K2317" s="12" t="str">
        <f>HYPERLINK("http://www.hubspot.com/","HubSpot")</f>
        <v>HubSpot</v>
      </c>
      <c r="L2317" s="16">
        <v>3930.0</v>
      </c>
      <c r="M2317" s="16">
        <v>1132.0</v>
      </c>
      <c r="N2317" s="16">
        <v>249.0</v>
      </c>
      <c r="O2317" s="17"/>
      <c r="P2317" s="18">
        <v>40704.370046296295</v>
      </c>
      <c r="Q2317" s="1" t="s">
        <v>377</v>
      </c>
      <c r="R2317" s="1" t="s">
        <v>378</v>
      </c>
      <c r="S2317" s="13" t="s">
        <v>379</v>
      </c>
      <c r="T2317" s="14"/>
      <c r="U2317" s="19" t="str">
        <f>HYPERLINK("https://pbs.twimg.com/profile_images/3216080241/c95cef074691e30c112dd3db0de71989.jpeg","View")</f>
        <v>View</v>
      </c>
      <c r="V2317" s="14"/>
      <c r="W2317" s="14"/>
      <c r="X2317" s="14"/>
      <c r="Y2317" s="14"/>
      <c r="Z2317" s="14"/>
    </row>
    <row r="2318">
      <c r="A2318" s="11">
        <v>43843.64195601852</v>
      </c>
      <c r="B2318" s="12" t="str">
        <f>HYPERLINK("https://twitter.com/happyconfident1","@happyconfident1")</f>
        <v>@happyconfident1</v>
      </c>
      <c r="C2318" s="1" t="s">
        <v>10480</v>
      </c>
      <c r="D2318" s="1" t="s">
        <v>10481</v>
      </c>
      <c r="E2318" s="12" t="str">
        <f>HYPERLINK("https://twitter.com/happyconfident1/status/1216818303374712832","1216818303374712832")</f>
        <v>1216818303374712832</v>
      </c>
      <c r="F2318" s="13" t="s">
        <v>10482</v>
      </c>
      <c r="G2318" s="13" t="s">
        <v>10483</v>
      </c>
      <c r="H2318" s="14"/>
      <c r="I2318" s="15">
        <v>3.0</v>
      </c>
      <c r="J2318" s="15">
        <v>4.0</v>
      </c>
      <c r="K2318" s="12" t="str">
        <f t="shared" ref="K2318:K2319" si="238">HYPERLINK("https://mobile.twitter.com","Twitter Web App")</f>
        <v>Twitter Web App</v>
      </c>
      <c r="L2318" s="16">
        <v>149.0</v>
      </c>
      <c r="M2318" s="16">
        <v>233.0</v>
      </c>
      <c r="N2318" s="16">
        <v>3.0</v>
      </c>
      <c r="O2318" s="17"/>
      <c r="P2318" s="18">
        <v>43430.32486111111</v>
      </c>
      <c r="Q2318" s="1" t="s">
        <v>1194</v>
      </c>
      <c r="R2318" s="1" t="s">
        <v>10484</v>
      </c>
      <c r="S2318" s="13" t="s">
        <v>10485</v>
      </c>
      <c r="T2318" s="14"/>
      <c r="U2318" s="19" t="str">
        <f>HYPERLINK("https://pbs.twimg.com/profile_images/1067037480594083841/kssfK6EN.jpg","View")</f>
        <v>View</v>
      </c>
      <c r="V2318" s="14"/>
      <c r="W2318" s="14"/>
      <c r="X2318" s="14"/>
      <c r="Y2318" s="14"/>
      <c r="Z2318" s="14"/>
    </row>
    <row r="2319">
      <c r="A2319" s="11">
        <v>43843.64068287037</v>
      </c>
      <c r="B2319" s="12" t="str">
        <f>HYPERLINK("https://twitter.com/KKelleyHolland","@KKelleyHolland")</f>
        <v>@KKelleyHolland</v>
      </c>
      <c r="C2319" s="1" t="s">
        <v>6688</v>
      </c>
      <c r="D2319" s="1" t="s">
        <v>10486</v>
      </c>
      <c r="E2319" s="12" t="str">
        <f>HYPERLINK("https://twitter.com/KKelleyHolland/status/1216817842391339008","1216817842391339008")</f>
        <v>1216817842391339008</v>
      </c>
      <c r="F2319" s="13" t="s">
        <v>10487</v>
      </c>
      <c r="G2319" s="13" t="s">
        <v>10488</v>
      </c>
      <c r="H2319" s="14"/>
      <c r="I2319" s="15">
        <v>0.0</v>
      </c>
      <c r="J2319" s="15">
        <v>0.0</v>
      </c>
      <c r="K2319" s="12" t="str">
        <f t="shared" si="238"/>
        <v>Twitter Web App</v>
      </c>
      <c r="L2319" s="16">
        <v>1473.0</v>
      </c>
      <c r="M2319" s="16">
        <v>831.0</v>
      </c>
      <c r="N2319" s="16">
        <v>69.0</v>
      </c>
      <c r="O2319" s="20" t="s">
        <v>38</v>
      </c>
      <c r="P2319" s="18">
        <v>41466.95107638889</v>
      </c>
      <c r="Q2319" s="1" t="s">
        <v>6692</v>
      </c>
      <c r="R2319" s="1" t="s">
        <v>6693</v>
      </c>
      <c r="S2319" s="13" t="s">
        <v>6694</v>
      </c>
      <c r="T2319" s="14"/>
      <c r="U2319" s="19" t="str">
        <f>HYPERLINK("https://pbs.twimg.com/profile_images/788719782497517570/JRTxUN1C.jpg","View")</f>
        <v>View</v>
      </c>
      <c r="V2319" s="14"/>
      <c r="W2319" s="14"/>
      <c r="X2319" s="14"/>
      <c r="Y2319" s="14"/>
      <c r="Z2319" s="14"/>
    </row>
    <row r="2320">
      <c r="A2320" s="11">
        <v>43843.63664351852</v>
      </c>
      <c r="B2320" s="12" t="str">
        <f>HYPERLINK("https://twitter.com/melottimedia","@melottimedia")</f>
        <v>@melottimedia</v>
      </c>
      <c r="C2320" s="1" t="s">
        <v>10489</v>
      </c>
      <c r="D2320" s="1" t="s">
        <v>10490</v>
      </c>
      <c r="E2320" s="12" t="str">
        <f>HYPERLINK("https://twitter.com/melottimedia/status/1216816378444824576","1216816378444824576")</f>
        <v>1216816378444824576</v>
      </c>
      <c r="F2320" s="14"/>
      <c r="G2320" s="13" t="s">
        <v>10491</v>
      </c>
      <c r="H2320" s="14"/>
      <c r="I2320" s="15">
        <v>0.0</v>
      </c>
      <c r="J2320" s="15">
        <v>0.0</v>
      </c>
      <c r="K2320" s="12" t="str">
        <f>HYPERLINK("http://twitter.com/download/android","Twitter for Android")</f>
        <v>Twitter for Android</v>
      </c>
      <c r="L2320" s="16">
        <v>455.0</v>
      </c>
      <c r="M2320" s="16">
        <v>320.0</v>
      </c>
      <c r="N2320" s="16">
        <v>151.0</v>
      </c>
      <c r="O2320" s="17"/>
      <c r="P2320" s="18">
        <v>40972.19417824074</v>
      </c>
      <c r="Q2320" s="1" t="s">
        <v>33</v>
      </c>
      <c r="R2320" s="1" t="s">
        <v>10492</v>
      </c>
      <c r="S2320" s="13" t="s">
        <v>10493</v>
      </c>
      <c r="T2320" s="14"/>
      <c r="U2320" s="19" t="str">
        <f>HYPERLINK("https://pbs.twimg.com/profile_images/944362999078195201/Hxh-my91.jpg","View")</f>
        <v>View</v>
      </c>
      <c r="V2320" s="14"/>
      <c r="W2320" s="14"/>
      <c r="X2320" s="14"/>
      <c r="Y2320" s="14"/>
      <c r="Z2320" s="14"/>
    </row>
    <row r="2321">
      <c r="A2321" s="11">
        <v>43843.63559027778</v>
      </c>
      <c r="B2321" s="12" t="str">
        <f>HYPERLINK("https://twitter.com/HealthTalkToday","@HealthTalkToday")</f>
        <v>@HealthTalkToday</v>
      </c>
      <c r="C2321" s="1" t="s">
        <v>10494</v>
      </c>
      <c r="D2321" s="1" t="s">
        <v>10495</v>
      </c>
      <c r="E2321" s="12" t="str">
        <f>HYPERLINK("https://twitter.com/HealthTalkToday/status/1216815995479826435","1216815995479826435")</f>
        <v>1216815995479826435</v>
      </c>
      <c r="F2321" s="13" t="s">
        <v>10496</v>
      </c>
      <c r="G2321" s="13" t="s">
        <v>10497</v>
      </c>
      <c r="H2321" s="14"/>
      <c r="I2321" s="15">
        <v>0.0</v>
      </c>
      <c r="J2321" s="15">
        <v>0.0</v>
      </c>
      <c r="K2321" s="12" t="str">
        <f>HYPERLINK("https://www.socialoomph.com","SocialOomph")</f>
        <v>SocialOomph</v>
      </c>
      <c r="L2321" s="16">
        <v>9375.0</v>
      </c>
      <c r="M2321" s="16">
        <v>9014.0</v>
      </c>
      <c r="N2321" s="16">
        <v>170.0</v>
      </c>
      <c r="O2321" s="17"/>
      <c r="P2321" s="18">
        <v>39659.503958333335</v>
      </c>
      <c r="Q2321" s="1" t="s">
        <v>10498</v>
      </c>
      <c r="R2321" s="1" t="s">
        <v>10499</v>
      </c>
      <c r="S2321" s="13" t="s">
        <v>10500</v>
      </c>
      <c r="T2321" s="14"/>
      <c r="U2321" s="19" t="str">
        <f>HYPERLINK("https://pbs.twimg.com/profile_images/467876020133953536/JcGx64KJ.png","View")</f>
        <v>View</v>
      </c>
      <c r="V2321" s="14"/>
      <c r="W2321" s="14"/>
      <c r="X2321" s="14"/>
      <c r="Y2321" s="14"/>
      <c r="Z2321" s="14"/>
    </row>
    <row r="2322">
      <c r="A2322" s="11">
        <v>43843.634780092594</v>
      </c>
      <c r="B2322" s="12" t="str">
        <f>HYPERLINK("https://twitter.com/karen_spilsbury","@karen_spilsbury")</f>
        <v>@karen_spilsbury</v>
      </c>
      <c r="C2322" s="1" t="s">
        <v>10501</v>
      </c>
      <c r="D2322" s="1" t="s">
        <v>10502</v>
      </c>
      <c r="E2322" s="12" t="str">
        <f>HYPERLINK("https://twitter.com/karen_spilsbury/status/1216815703354945537","1216815703354945537")</f>
        <v>1216815703354945537</v>
      </c>
      <c r="F2322" s="13" t="s">
        <v>10503</v>
      </c>
      <c r="G2322" s="13" t="s">
        <v>10504</v>
      </c>
      <c r="H2322" s="14"/>
      <c r="I2322" s="15">
        <v>5.0</v>
      </c>
      <c r="J2322" s="15">
        <v>6.0</v>
      </c>
      <c r="K2322" s="12" t="str">
        <f>HYPERLINK("http://twitter.com/download/iphone","Twitter for iPhone")</f>
        <v>Twitter for iPhone</v>
      </c>
      <c r="L2322" s="16">
        <v>71.0</v>
      </c>
      <c r="M2322" s="16">
        <v>74.0</v>
      </c>
      <c r="N2322" s="16">
        <v>0.0</v>
      </c>
      <c r="O2322" s="17"/>
      <c r="P2322" s="18">
        <v>43403.48873842593</v>
      </c>
      <c r="Q2322" s="1" t="s">
        <v>10505</v>
      </c>
      <c r="R2322" s="1" t="s">
        <v>10506</v>
      </c>
      <c r="S2322" s="13" t="s">
        <v>10503</v>
      </c>
      <c r="T2322" s="14"/>
      <c r="U2322" s="19" t="str">
        <f>HYPERLINK("https://pbs.twimg.com/profile_images/1081600564318928898/jDUeqr84.jpg","View")</f>
        <v>View</v>
      </c>
      <c r="V2322" s="14"/>
      <c r="W2322" s="14"/>
      <c r="X2322" s="14"/>
      <c r="Y2322" s="14"/>
      <c r="Z2322" s="14"/>
    </row>
    <row r="2323">
      <c r="A2323" s="11">
        <v>43843.63196759259</v>
      </c>
      <c r="B2323" s="12" t="str">
        <f>HYPERLINK("https://twitter.com/AIHA","@AIHA")</f>
        <v>@AIHA</v>
      </c>
      <c r="C2323" s="1" t="s">
        <v>10507</v>
      </c>
      <c r="D2323" s="1" t="s">
        <v>10508</v>
      </c>
      <c r="E2323" s="12" t="str">
        <f>HYPERLINK("https://twitter.com/AIHA/status/1216814681882529793","1216814681882529793")</f>
        <v>1216814681882529793</v>
      </c>
      <c r="F2323" s="13" t="s">
        <v>10509</v>
      </c>
      <c r="G2323" s="13" t="s">
        <v>10510</v>
      </c>
      <c r="H2323" s="14"/>
      <c r="I2323" s="15">
        <v>0.0</v>
      </c>
      <c r="J2323" s="15">
        <v>2.0</v>
      </c>
      <c r="K2323" s="12" t="str">
        <f>HYPERLINK("https://sproutsocial.com","Sprout Social")</f>
        <v>Sprout Social</v>
      </c>
      <c r="L2323" s="16">
        <v>9170.0</v>
      </c>
      <c r="M2323" s="16">
        <v>2740.0</v>
      </c>
      <c r="N2323" s="16">
        <v>232.0</v>
      </c>
      <c r="O2323" s="17"/>
      <c r="P2323" s="18">
        <v>39827.655277777776</v>
      </c>
      <c r="Q2323" s="1" t="s">
        <v>10511</v>
      </c>
      <c r="R2323" s="1" t="s">
        <v>10512</v>
      </c>
      <c r="S2323" s="13" t="s">
        <v>10513</v>
      </c>
      <c r="T2323" s="14"/>
      <c r="U2323" s="19" t="str">
        <f>HYPERLINK("https://pbs.twimg.com/profile_images/525070909409751040/_q_C43w4.jpeg","View")</f>
        <v>View</v>
      </c>
      <c r="V2323" s="14"/>
      <c r="W2323" s="14"/>
      <c r="X2323" s="14"/>
      <c r="Y2323" s="14"/>
      <c r="Z2323" s="14"/>
    </row>
    <row r="2324">
      <c r="A2324" s="11">
        <v>43843.63153935185</v>
      </c>
      <c r="B2324" s="12" t="str">
        <f>HYPERLINK("https://twitter.com/SoIsFibroReal","@SoIsFibroReal")</f>
        <v>@SoIsFibroReal</v>
      </c>
      <c r="C2324" s="1" t="s">
        <v>1543</v>
      </c>
      <c r="D2324" s="1" t="s">
        <v>10514</v>
      </c>
      <c r="E2324" s="12" t="str">
        <f>HYPERLINK("https://twitter.com/SoIsFibroReal/status/1216814528366809094","1216814528366809094")</f>
        <v>1216814528366809094</v>
      </c>
      <c r="F2324" s="13" t="s">
        <v>1545</v>
      </c>
      <c r="G2324" s="14"/>
      <c r="H2324" s="14"/>
      <c r="I2324" s="15">
        <v>0.0</v>
      </c>
      <c r="J2324" s="15">
        <v>0.0</v>
      </c>
      <c r="K2324" s="12" t="str">
        <f>HYPERLINK("https://mobile.twitter.com","Twitter Web App")</f>
        <v>Twitter Web App</v>
      </c>
      <c r="L2324" s="16">
        <v>4890.0</v>
      </c>
      <c r="M2324" s="16">
        <v>5373.0</v>
      </c>
      <c r="N2324" s="16">
        <v>38.0</v>
      </c>
      <c r="O2324" s="17"/>
      <c r="P2324" s="18">
        <v>42783.583125000005</v>
      </c>
      <c r="Q2324" s="1" t="s">
        <v>143</v>
      </c>
      <c r="R2324" s="1" t="s">
        <v>1546</v>
      </c>
      <c r="S2324" s="13" t="s">
        <v>1547</v>
      </c>
      <c r="T2324" s="14"/>
      <c r="U2324" s="19" t="str">
        <f>HYPERLINK("https://pbs.twimg.com/profile_images/833390340778422278/g2ya39PE.jpg","View")</f>
        <v>View</v>
      </c>
      <c r="V2324" s="14"/>
      <c r="W2324" s="14"/>
      <c r="X2324" s="14"/>
      <c r="Y2324" s="14"/>
      <c r="Z2324" s="14"/>
    </row>
    <row r="2325">
      <c r="A2325" s="11">
        <v>43843.63005787037</v>
      </c>
      <c r="B2325" s="12" t="str">
        <f>HYPERLINK("https://twitter.com/Tim_Olsen","@Tim_Olsen")</f>
        <v>@Tim_Olsen</v>
      </c>
      <c r="C2325" s="1" t="s">
        <v>1433</v>
      </c>
      <c r="D2325" s="1" t="s">
        <v>10515</v>
      </c>
      <c r="E2325" s="12" t="str">
        <f>HYPERLINK("https://twitter.com/Tim_Olsen/status/1216813991663718405","1216813991663718405")</f>
        <v>1216813991663718405</v>
      </c>
      <c r="F2325" s="13" t="s">
        <v>10516</v>
      </c>
      <c r="G2325" s="13" t="s">
        <v>10517</v>
      </c>
      <c r="H2325" s="14"/>
      <c r="I2325" s="15">
        <v>0.0</v>
      </c>
      <c r="J2325" s="15">
        <v>0.0</v>
      </c>
      <c r="K2325" s="12" t="str">
        <f>HYPERLINK("https://www.socialoomph.com","SocialOomph")</f>
        <v>SocialOomph</v>
      </c>
      <c r="L2325" s="16">
        <v>2683.0</v>
      </c>
      <c r="M2325" s="16">
        <v>4362.0</v>
      </c>
      <c r="N2325" s="16">
        <v>34.0</v>
      </c>
      <c r="O2325" s="17"/>
      <c r="P2325" s="18">
        <v>41795.724074074074</v>
      </c>
      <c r="Q2325" s="1" t="s">
        <v>1436</v>
      </c>
      <c r="R2325" s="1" t="s">
        <v>1437</v>
      </c>
      <c r="S2325" s="14"/>
      <c r="T2325" s="14"/>
      <c r="U2325" s="19" t="str">
        <f>HYPERLINK("https://pbs.twimg.com/profile_images/891762184518156288/snccGYyx.jpg","View")</f>
        <v>View</v>
      </c>
      <c r="V2325" s="14"/>
      <c r="W2325" s="14"/>
      <c r="X2325" s="14"/>
      <c r="Y2325" s="14"/>
      <c r="Z2325" s="14"/>
    </row>
    <row r="2326">
      <c r="A2326" s="11">
        <v>43843.629907407405</v>
      </c>
      <c r="B2326" s="12" t="str">
        <f>HYPERLINK("https://twitter.com/GleeYoga","@GleeYoga")</f>
        <v>@GleeYoga</v>
      </c>
      <c r="C2326" s="1" t="s">
        <v>4351</v>
      </c>
      <c r="D2326" s="1" t="s">
        <v>10518</v>
      </c>
      <c r="E2326" s="12" t="str">
        <f>HYPERLINK("https://twitter.com/GleeYoga/status/1216813937129164800","1216813937129164800")</f>
        <v>1216813937129164800</v>
      </c>
      <c r="F2326" s="13" t="s">
        <v>4723</v>
      </c>
      <c r="G2326" s="13" t="s">
        <v>10519</v>
      </c>
      <c r="H2326" s="14"/>
      <c r="I2326" s="15">
        <v>0.0</v>
      </c>
      <c r="J2326" s="15">
        <v>0.0</v>
      </c>
      <c r="K2326" s="12" t="str">
        <f>HYPERLINK("https://dlvrit.com/","dlvr.it")</f>
        <v>dlvr.it</v>
      </c>
      <c r="L2326" s="16">
        <v>1551.0</v>
      </c>
      <c r="M2326" s="16">
        <v>24.0</v>
      </c>
      <c r="N2326" s="16">
        <v>126.0</v>
      </c>
      <c r="O2326" s="17"/>
      <c r="P2326" s="18">
        <v>42505.1422337963</v>
      </c>
      <c r="Q2326" s="1" t="s">
        <v>928</v>
      </c>
      <c r="R2326" s="1" t="s">
        <v>4355</v>
      </c>
      <c r="S2326" s="13" t="s">
        <v>4356</v>
      </c>
      <c r="T2326" s="14"/>
      <c r="U2326" s="19" t="str">
        <f>HYPERLINK("https://pbs.twimg.com/profile_images/731750901778513921/mHNyQ2EL.jpg","View")</f>
        <v>View</v>
      </c>
      <c r="V2326" s="14"/>
      <c r="W2326" s="14"/>
      <c r="X2326" s="14"/>
      <c r="Y2326" s="14"/>
      <c r="Z2326" s="14"/>
    </row>
    <row r="2327">
      <c r="A2327" s="11">
        <v>43843.6290625</v>
      </c>
      <c r="B2327" s="12" t="str">
        <f>HYPERLINK("https://twitter.com/TheGutStuff","@TheGutStuff")</f>
        <v>@TheGutStuff</v>
      </c>
      <c r="C2327" s="1" t="s">
        <v>10520</v>
      </c>
      <c r="D2327" s="1" t="s">
        <v>10521</v>
      </c>
      <c r="E2327" s="12" t="str">
        <f>HYPERLINK("https://twitter.com/TheGutStuff/status/1216813629724614656","1216813629724614656")</f>
        <v>1216813629724614656</v>
      </c>
      <c r="F2327" s="13" t="s">
        <v>10522</v>
      </c>
      <c r="G2327" s="13" t="s">
        <v>10523</v>
      </c>
      <c r="H2327" s="14"/>
      <c r="I2327" s="15">
        <v>0.0</v>
      </c>
      <c r="J2327" s="15">
        <v>1.0</v>
      </c>
      <c r="K2327" s="12" t="str">
        <f t="shared" ref="K2327:K2328" si="239">HYPERLINK("https://www.later.com","LaterMedia")</f>
        <v>LaterMedia</v>
      </c>
      <c r="L2327" s="16">
        <v>5085.0</v>
      </c>
      <c r="M2327" s="16">
        <v>898.0</v>
      </c>
      <c r="N2327" s="16">
        <v>58.0</v>
      </c>
      <c r="O2327" s="17"/>
      <c r="P2327" s="18">
        <v>42886.5564699074</v>
      </c>
      <c r="Q2327" s="1" t="s">
        <v>268</v>
      </c>
      <c r="R2327" s="1" t="s">
        <v>10524</v>
      </c>
      <c r="S2327" s="13" t="s">
        <v>10525</v>
      </c>
      <c r="T2327" s="14"/>
      <c r="U2327" s="19" t="str">
        <f>HYPERLINK("https://pbs.twimg.com/profile_images/1216769679018074112/l7vkDjZu.jpg","View")</f>
        <v>View</v>
      </c>
      <c r="V2327" s="14"/>
      <c r="W2327" s="14"/>
      <c r="X2327" s="14"/>
      <c r="Y2327" s="14"/>
      <c r="Z2327" s="14"/>
    </row>
    <row r="2328">
      <c r="A2328" s="11">
        <v>43843.62903935185</v>
      </c>
      <c r="B2328" s="12" t="str">
        <f>HYPERLINK("https://twitter.com/AngelFaceMedia","@AngelFaceMedia")</f>
        <v>@AngelFaceMedia</v>
      </c>
      <c r="C2328" s="1" t="s">
        <v>6520</v>
      </c>
      <c r="D2328" s="1" t="s">
        <v>10526</v>
      </c>
      <c r="E2328" s="12" t="str">
        <f>HYPERLINK("https://twitter.com/AngelFaceMedia/status/1216813620610453505","1216813620610453505")</f>
        <v>1216813620610453505</v>
      </c>
      <c r="F2328" s="14"/>
      <c r="G2328" s="13" t="s">
        <v>10527</v>
      </c>
      <c r="H2328" s="14"/>
      <c r="I2328" s="15">
        <v>1.0</v>
      </c>
      <c r="J2328" s="15">
        <v>0.0</v>
      </c>
      <c r="K2328" s="12" t="str">
        <f t="shared" si="239"/>
        <v>LaterMedia</v>
      </c>
      <c r="L2328" s="16">
        <v>4609.0</v>
      </c>
      <c r="M2328" s="16">
        <v>4796.0</v>
      </c>
      <c r="N2328" s="16">
        <v>524.0</v>
      </c>
      <c r="O2328" s="17"/>
      <c r="P2328" s="18">
        <v>40356.48460648148</v>
      </c>
      <c r="Q2328" s="1" t="s">
        <v>521</v>
      </c>
      <c r="R2328" s="1" t="s">
        <v>6523</v>
      </c>
      <c r="S2328" s="14"/>
      <c r="T2328" s="14"/>
      <c r="U2328" s="19" t="str">
        <f>HYPERLINK("https://pbs.twimg.com/profile_images/801836897345609729/c2DydRe_.jpg","View")</f>
        <v>View</v>
      </c>
      <c r="V2328" s="14"/>
      <c r="W2328" s="14"/>
      <c r="X2328" s="14"/>
      <c r="Y2328" s="14"/>
      <c r="Z2328" s="14"/>
    </row>
    <row r="2329">
      <c r="A2329" s="11">
        <v>43843.62869212963</v>
      </c>
      <c r="B2329" s="12" t="str">
        <f>HYPERLINK("https://twitter.com/garywhit33","@garywhit33")</f>
        <v>@garywhit33</v>
      </c>
      <c r="C2329" s="1" t="s">
        <v>6311</v>
      </c>
      <c r="D2329" s="1" t="s">
        <v>10528</v>
      </c>
      <c r="E2329" s="12" t="str">
        <f>HYPERLINK("https://twitter.com/garywhit33/status/1216813497834713088","1216813497834713088")</f>
        <v>1216813497834713088</v>
      </c>
      <c r="F2329" s="13" t="s">
        <v>6313</v>
      </c>
      <c r="G2329" s="13" t="s">
        <v>10529</v>
      </c>
      <c r="H2329" s="14"/>
      <c r="I2329" s="15">
        <v>0.0</v>
      </c>
      <c r="J2329" s="15">
        <v>0.0</v>
      </c>
      <c r="K2329" s="12" t="str">
        <f t="shared" ref="K2329:K2331" si="240">HYPERLINK("https://www.hootsuite.com","Hootsuite Inc.")</f>
        <v>Hootsuite Inc.</v>
      </c>
      <c r="L2329" s="16">
        <v>11.0</v>
      </c>
      <c r="M2329" s="16">
        <v>15.0</v>
      </c>
      <c r="N2329" s="16">
        <v>0.0</v>
      </c>
      <c r="O2329" s="17"/>
      <c r="P2329" s="18">
        <v>41824.01782407407</v>
      </c>
      <c r="Q2329" s="1" t="s">
        <v>6315</v>
      </c>
      <c r="R2329" s="1" t="s">
        <v>6316</v>
      </c>
      <c r="S2329" s="13" t="s">
        <v>6313</v>
      </c>
      <c r="T2329" s="14"/>
      <c r="U2329" s="19" t="str">
        <f>HYPERLINK("https://pbs.twimg.com/profile_images/1164720750600704000/kTyDMLaQ.jpg","View")</f>
        <v>View</v>
      </c>
      <c r="V2329" s="14"/>
      <c r="W2329" s="14"/>
      <c r="X2329" s="14"/>
      <c r="Y2329" s="14"/>
      <c r="Z2329" s="14"/>
    </row>
    <row r="2330">
      <c r="A2330" s="11">
        <v>43843.62604166666</v>
      </c>
      <c r="B2330" s="12" t="str">
        <f>HYPERLINK("https://twitter.com/PaulaMyrie3","@PaulaMyrie3")</f>
        <v>@PaulaMyrie3</v>
      </c>
      <c r="C2330" s="1" t="s">
        <v>10530</v>
      </c>
      <c r="D2330" s="1" t="s">
        <v>10531</v>
      </c>
      <c r="E2330" s="12" t="str">
        <f>HYPERLINK("https://twitter.com/PaulaMyrie3/status/1216812534285635584","1216812534285635584")</f>
        <v>1216812534285635584</v>
      </c>
      <c r="F2330" s="13" t="s">
        <v>10532</v>
      </c>
      <c r="G2330" s="13" t="s">
        <v>10533</v>
      </c>
      <c r="H2330" s="14"/>
      <c r="I2330" s="15">
        <v>0.0</v>
      </c>
      <c r="J2330" s="15">
        <v>0.0</v>
      </c>
      <c r="K2330" s="12" t="str">
        <f t="shared" si="240"/>
        <v>Hootsuite Inc.</v>
      </c>
      <c r="L2330" s="16">
        <v>13.0</v>
      </c>
      <c r="M2330" s="16">
        <v>11.0</v>
      </c>
      <c r="N2330" s="16">
        <v>0.0</v>
      </c>
      <c r="O2330" s="17"/>
      <c r="P2330" s="18">
        <v>43521.29115740741</v>
      </c>
      <c r="Q2330" s="1" t="s">
        <v>10534</v>
      </c>
      <c r="R2330" s="1" t="s">
        <v>10535</v>
      </c>
      <c r="S2330" s="13" t="s">
        <v>10536</v>
      </c>
      <c r="T2330" s="14"/>
      <c r="U2330" s="19" t="str">
        <f>HYPERLINK("https://pbs.twimg.com/profile_images/1145005169438015493/3BVKOmQa.png","View")</f>
        <v>View</v>
      </c>
      <c r="V2330" s="14"/>
      <c r="W2330" s="14"/>
      <c r="X2330" s="14"/>
      <c r="Y2330" s="14"/>
      <c r="Z2330" s="14"/>
    </row>
    <row r="2331">
      <c r="A2331" s="11">
        <v>43843.62571759259</v>
      </c>
      <c r="B2331" s="12" t="str">
        <f>HYPERLINK("https://twitter.com/modernonsocial","@modernonsocial")</f>
        <v>@modernonsocial</v>
      </c>
      <c r="C2331" s="1" t="s">
        <v>4405</v>
      </c>
      <c r="D2331" s="1" t="s">
        <v>10537</v>
      </c>
      <c r="E2331" s="12" t="str">
        <f>HYPERLINK("https://twitter.com/modernonsocial/status/1216812418841677825","1216812418841677825")</f>
        <v>1216812418841677825</v>
      </c>
      <c r="F2331" s="14"/>
      <c r="G2331" s="14"/>
      <c r="H2331" s="14"/>
      <c r="I2331" s="15">
        <v>0.0</v>
      </c>
      <c r="J2331" s="15">
        <v>1.0</v>
      </c>
      <c r="K2331" s="12" t="str">
        <f t="shared" si="240"/>
        <v>Hootsuite Inc.</v>
      </c>
      <c r="L2331" s="16">
        <v>3382.0</v>
      </c>
      <c r="M2331" s="16">
        <v>118.0</v>
      </c>
      <c r="N2331" s="16">
        <v>16.0</v>
      </c>
      <c r="O2331" s="17"/>
      <c r="P2331" s="18">
        <v>43072.67818287037</v>
      </c>
      <c r="Q2331" s="1" t="s">
        <v>56</v>
      </c>
      <c r="R2331" s="1" t="s">
        <v>4407</v>
      </c>
      <c r="S2331" s="13" t="s">
        <v>4408</v>
      </c>
      <c r="T2331" s="14"/>
      <c r="U2331" s="19" t="str">
        <f>HYPERLINK("https://pbs.twimg.com/profile_images/937430616215375872/tdUxISHx.jpg","View")</f>
        <v>View</v>
      </c>
      <c r="V2331" s="14"/>
      <c r="W2331" s="14"/>
      <c r="X2331" s="14"/>
      <c r="Y2331" s="14"/>
      <c r="Z2331" s="14"/>
    </row>
    <row r="2332">
      <c r="A2332" s="11">
        <v>43843.62501157407</v>
      </c>
      <c r="B2332" s="12" t="str">
        <f>HYPERLINK("https://twitter.com/anappleeveryday","@anappleeveryday")</f>
        <v>@anappleeveryday</v>
      </c>
      <c r="C2332" s="1" t="s">
        <v>10538</v>
      </c>
      <c r="D2332" s="1" t="s">
        <v>10539</v>
      </c>
      <c r="E2332" s="12" t="str">
        <f>HYPERLINK("https://twitter.com/anappleeveryday/status/1216812160577261568","1216812160577261568")</f>
        <v>1216812160577261568</v>
      </c>
      <c r="F2332" s="13" t="s">
        <v>10540</v>
      </c>
      <c r="G2332" s="13" t="s">
        <v>10541</v>
      </c>
      <c r="H2332" s="14"/>
      <c r="I2332" s="15">
        <v>0.0</v>
      </c>
      <c r="J2332" s="15">
        <v>1.0</v>
      </c>
      <c r="K2332" s="12" t="str">
        <f>HYPERLINK("http://postplanner.com","Post Planner Inc.")</f>
        <v>Post Planner Inc.</v>
      </c>
      <c r="L2332" s="16">
        <v>876.0</v>
      </c>
      <c r="M2332" s="16">
        <v>1557.0</v>
      </c>
      <c r="N2332" s="16">
        <v>30.0</v>
      </c>
      <c r="O2332" s="17"/>
      <c r="P2332" s="18">
        <v>41063.78472222222</v>
      </c>
      <c r="Q2332" s="1" t="s">
        <v>10542</v>
      </c>
      <c r="R2332" s="1" t="s">
        <v>10543</v>
      </c>
      <c r="S2332" s="13" t="s">
        <v>10544</v>
      </c>
      <c r="T2332" s="14"/>
      <c r="U2332" s="19" t="str">
        <f>HYPERLINK("https://pbs.twimg.com/profile_images/378800000629297015/200c04e4a06bdd273db49622a485d4d1.jpeg","View")</f>
        <v>View</v>
      </c>
      <c r="V2332" s="14"/>
      <c r="W2332" s="14"/>
      <c r="X2332" s="14"/>
      <c r="Y2332" s="14"/>
      <c r="Z2332" s="14"/>
    </row>
    <row r="2333">
      <c r="A2333" s="11">
        <v>43843.621562500004</v>
      </c>
      <c r="B2333" s="12" t="str">
        <f>HYPERLINK("https://twitter.com/tsiwtta","@tsiwtta")</f>
        <v>@tsiwtta</v>
      </c>
      <c r="C2333" s="1" t="s">
        <v>10545</v>
      </c>
      <c r="D2333" s="1" t="s">
        <v>10546</v>
      </c>
      <c r="E2333" s="12" t="str">
        <f>HYPERLINK("https://twitter.com/tsiwtta/status/1216810913673699330","1216810913673699330")</f>
        <v>1216810913673699330</v>
      </c>
      <c r="F2333" s="13" t="s">
        <v>10547</v>
      </c>
      <c r="G2333" s="13" t="s">
        <v>10548</v>
      </c>
      <c r="H2333" s="14"/>
      <c r="I2333" s="15">
        <v>1.0</v>
      </c>
      <c r="J2333" s="15">
        <v>0.0</v>
      </c>
      <c r="K2333" s="12" t="str">
        <f>HYPERLINK("https://buffer.com","Buffer")</f>
        <v>Buffer</v>
      </c>
      <c r="L2333" s="16">
        <v>308.0</v>
      </c>
      <c r="M2333" s="16">
        <v>466.0</v>
      </c>
      <c r="N2333" s="16">
        <v>48.0</v>
      </c>
      <c r="O2333" s="17"/>
      <c r="P2333" s="18">
        <v>42410.78545138889</v>
      </c>
      <c r="Q2333" s="14"/>
      <c r="R2333" s="1" t="s">
        <v>10549</v>
      </c>
      <c r="S2333" s="14"/>
      <c r="T2333" s="14"/>
      <c r="U2333" s="19" t="str">
        <f>HYPERLINK("https://pbs.twimg.com/profile_images/733404613290950656/gwCuEOre.jpg","View")</f>
        <v>View</v>
      </c>
      <c r="V2333" s="14"/>
      <c r="W2333" s="14"/>
      <c r="X2333" s="14"/>
      <c r="Y2333" s="14"/>
      <c r="Z2333" s="14"/>
    </row>
    <row r="2334">
      <c r="A2334" s="11">
        <v>43843.619988425926</v>
      </c>
      <c r="B2334" s="12" t="str">
        <f>HYPERLINK("https://twitter.com/Rawe___","@Rawe___")</f>
        <v>@Rawe___</v>
      </c>
      <c r="C2334" s="1" t="s">
        <v>10550</v>
      </c>
      <c r="D2334" s="1" t="s">
        <v>10551</v>
      </c>
      <c r="E2334" s="12" t="str">
        <f>HYPERLINK("https://twitter.com/Rawe___/status/1216810343269310465","1216810343269310465")</f>
        <v>1216810343269310465</v>
      </c>
      <c r="F2334" s="13" t="s">
        <v>10552</v>
      </c>
      <c r="G2334" s="14"/>
      <c r="H2334" s="14"/>
      <c r="I2334" s="15">
        <v>2.0</v>
      </c>
      <c r="J2334" s="15">
        <v>2.0</v>
      </c>
      <c r="K2334" s="12" t="str">
        <f>HYPERLINK("http://twitter.com/download/android","Twitter for Android")</f>
        <v>Twitter for Android</v>
      </c>
      <c r="L2334" s="16">
        <v>265.0</v>
      </c>
      <c r="M2334" s="16">
        <v>894.0</v>
      </c>
      <c r="N2334" s="16">
        <v>1.0</v>
      </c>
      <c r="O2334" s="17"/>
      <c r="P2334" s="18">
        <v>43515.25392361111</v>
      </c>
      <c r="Q2334" s="1" t="s">
        <v>10553</v>
      </c>
      <c r="R2334" s="1" t="s">
        <v>10554</v>
      </c>
      <c r="S2334" s="13" t="s">
        <v>10555</v>
      </c>
      <c r="T2334" s="14"/>
      <c r="U2334" s="19" t="str">
        <f>HYPERLINK("https://pbs.twimg.com/profile_images/1159824459634814977/t8umj-7D.jpg","View")</f>
        <v>View</v>
      </c>
      <c r="V2334" s="14"/>
      <c r="W2334" s="14"/>
      <c r="X2334" s="14"/>
      <c r="Y2334" s="14"/>
      <c r="Z2334" s="14"/>
    </row>
    <row r="2335">
      <c r="A2335" s="11">
        <v>43843.61991898148</v>
      </c>
      <c r="B2335" s="12" t="str">
        <f>HYPERLINK("https://twitter.com/happyconfident1","@happyconfident1")</f>
        <v>@happyconfident1</v>
      </c>
      <c r="C2335" s="1" t="s">
        <v>10480</v>
      </c>
      <c r="D2335" s="1" t="s">
        <v>10556</v>
      </c>
      <c r="E2335" s="12" t="str">
        <f>HYPERLINK("https://twitter.com/happyconfident1/status/1216810318439092224","1216810318439092224")</f>
        <v>1216810318439092224</v>
      </c>
      <c r="F2335" s="13" t="s">
        <v>10557</v>
      </c>
      <c r="G2335" s="13" t="s">
        <v>10558</v>
      </c>
      <c r="H2335" s="14"/>
      <c r="I2335" s="15">
        <v>1.0</v>
      </c>
      <c r="J2335" s="15">
        <v>2.0</v>
      </c>
      <c r="K2335" s="12" t="str">
        <f>HYPERLINK("https://mobile.twitter.com","Twitter Web App")</f>
        <v>Twitter Web App</v>
      </c>
      <c r="L2335" s="16">
        <v>149.0</v>
      </c>
      <c r="M2335" s="16">
        <v>233.0</v>
      </c>
      <c r="N2335" s="16">
        <v>3.0</v>
      </c>
      <c r="O2335" s="17"/>
      <c r="P2335" s="18">
        <v>43430.32486111111</v>
      </c>
      <c r="Q2335" s="1" t="s">
        <v>1194</v>
      </c>
      <c r="R2335" s="1" t="s">
        <v>10484</v>
      </c>
      <c r="S2335" s="13" t="s">
        <v>10485</v>
      </c>
      <c r="T2335" s="14"/>
      <c r="U2335" s="19" t="str">
        <f>HYPERLINK("https://pbs.twimg.com/profile_images/1067037480594083841/kssfK6EN.jpg","View")</f>
        <v>View</v>
      </c>
      <c r="V2335" s="14"/>
      <c r="W2335" s="14"/>
      <c r="X2335" s="14"/>
      <c r="Y2335" s="14"/>
      <c r="Z2335" s="14"/>
    </row>
    <row r="2336">
      <c r="A2336" s="11">
        <v>43843.61844907407</v>
      </c>
      <c r="B2336" s="12" t="str">
        <f>HYPERLINK("https://twitter.com/ZenCarson","@ZenCarson")</f>
        <v>@ZenCarson</v>
      </c>
      <c r="C2336" s="1" t="s">
        <v>8866</v>
      </c>
      <c r="D2336" s="1" t="s">
        <v>10559</v>
      </c>
      <c r="E2336" s="12" t="str">
        <f>HYPERLINK("https://twitter.com/ZenCarson/status/1216809785456234496","1216809785456234496")</f>
        <v>1216809785456234496</v>
      </c>
      <c r="F2336" s="13" t="s">
        <v>10560</v>
      </c>
      <c r="G2336" s="14"/>
      <c r="H2336" s="14"/>
      <c r="I2336" s="15">
        <v>5.0</v>
      </c>
      <c r="J2336" s="15">
        <v>8.0</v>
      </c>
      <c r="K2336" s="12" t="str">
        <f>HYPERLINK("http://twitter.com/download/android","Twitter for Android")</f>
        <v>Twitter for Android</v>
      </c>
      <c r="L2336" s="16">
        <v>1793.0</v>
      </c>
      <c r="M2336" s="16">
        <v>1886.0</v>
      </c>
      <c r="N2336" s="16">
        <v>0.0</v>
      </c>
      <c r="O2336" s="17"/>
      <c r="P2336" s="18">
        <v>43364.340960648144</v>
      </c>
      <c r="Q2336" s="14"/>
      <c r="R2336" s="1" t="s">
        <v>8869</v>
      </c>
      <c r="S2336" s="13" t="s">
        <v>8870</v>
      </c>
      <c r="T2336" s="14"/>
      <c r="U2336" s="19" t="str">
        <f>HYPERLINK("https://pbs.twimg.com/profile_images/1043110468481638401/N-MknxQJ.png","View")</f>
        <v>View</v>
      </c>
      <c r="V2336" s="14"/>
      <c r="W2336" s="14"/>
      <c r="X2336" s="14"/>
      <c r="Y2336" s="14"/>
      <c r="Z2336" s="14"/>
    </row>
    <row r="2337">
      <c r="A2337" s="11">
        <v>43843.61809027778</v>
      </c>
      <c r="B2337" s="12" t="str">
        <f>HYPERLINK("https://twitter.com/DivergentCIO","@DivergentCIO")</f>
        <v>@DivergentCIO</v>
      </c>
      <c r="C2337" s="1" t="s">
        <v>536</v>
      </c>
      <c r="D2337" s="1" t="s">
        <v>537</v>
      </c>
      <c r="E2337" s="12" t="str">
        <f>HYPERLINK("https://twitter.com/DivergentCIO/status/1216809653889310723","1216809653889310723")</f>
        <v>1216809653889310723</v>
      </c>
      <c r="F2337" s="13" t="s">
        <v>538</v>
      </c>
      <c r="G2337" s="14"/>
      <c r="H2337" s="14"/>
      <c r="I2337" s="15">
        <v>2.0</v>
      </c>
      <c r="J2337" s="15">
        <v>2.0</v>
      </c>
      <c r="K2337" s="12" t="str">
        <f>HYPERLINK("https://buffer.com","Buffer")</f>
        <v>Buffer</v>
      </c>
      <c r="L2337" s="16">
        <v>28703.0</v>
      </c>
      <c r="M2337" s="16">
        <v>25615.0</v>
      </c>
      <c r="N2337" s="16">
        <v>1729.0</v>
      </c>
      <c r="O2337" s="17"/>
      <c r="P2337" s="18">
        <v>42071.738854166666</v>
      </c>
      <c r="Q2337" s="1" t="s">
        <v>539</v>
      </c>
      <c r="R2337" s="1" t="s">
        <v>540</v>
      </c>
      <c r="S2337" s="13" t="s">
        <v>541</v>
      </c>
      <c r="T2337" s="14"/>
      <c r="U2337" s="19" t="str">
        <f>HYPERLINK("https://pbs.twimg.com/profile_images/767507322583199745/rpfbzBzg.jpg","View")</f>
        <v>View</v>
      </c>
      <c r="V2337" s="14"/>
      <c r="W2337" s="14"/>
      <c r="X2337" s="14"/>
      <c r="Y2337" s="14"/>
      <c r="Z2337" s="14"/>
    </row>
    <row r="2338">
      <c r="A2338" s="11">
        <v>43843.6155787037</v>
      </c>
      <c r="B2338" s="12" t="str">
        <f>HYPERLINK("https://twitter.com/caroletwitt_","@caroletwitt_")</f>
        <v>@caroletwitt_</v>
      </c>
      <c r="C2338" s="1" t="s">
        <v>10561</v>
      </c>
      <c r="D2338" s="1" t="s">
        <v>10562</v>
      </c>
      <c r="E2338" s="12" t="str">
        <f>HYPERLINK("https://twitter.com/caroletwitt_/status/1216808744287338497","1216808744287338497")</f>
        <v>1216808744287338497</v>
      </c>
      <c r="F2338" s="13" t="s">
        <v>10563</v>
      </c>
      <c r="G2338" s="13" t="s">
        <v>10564</v>
      </c>
      <c r="H2338" s="14"/>
      <c r="I2338" s="15">
        <v>1.0</v>
      </c>
      <c r="J2338" s="15">
        <v>4.0</v>
      </c>
      <c r="K2338" s="12" t="str">
        <f>HYPERLINK("http://twitter.com/download/android","Twitter for Android")</f>
        <v>Twitter for Android</v>
      </c>
      <c r="L2338" s="16">
        <v>2382.0</v>
      </c>
      <c r="M2338" s="16">
        <v>1890.0</v>
      </c>
      <c r="N2338" s="16">
        <v>17.0</v>
      </c>
      <c r="O2338" s="17"/>
      <c r="P2338" s="18">
        <v>43590.564687499995</v>
      </c>
      <c r="Q2338" s="1" t="s">
        <v>10565</v>
      </c>
      <c r="R2338" s="1" t="s">
        <v>10566</v>
      </c>
      <c r="S2338" s="14"/>
      <c r="T2338" s="14"/>
      <c r="U2338" s="19" t="str">
        <f>HYPERLINK("https://pbs.twimg.com/profile_images/1125094859159814144/alGLs2yz.jpg","View")</f>
        <v>View</v>
      </c>
      <c r="V2338" s="14"/>
      <c r="W2338" s="14"/>
      <c r="X2338" s="14"/>
      <c r="Y2338" s="14"/>
      <c r="Z2338" s="14"/>
    </row>
    <row r="2339">
      <c r="A2339" s="11">
        <v>43843.61287037037</v>
      </c>
      <c r="B2339" s="12" t="str">
        <f>HYPERLINK("https://twitter.com/PolyConundrum","@PolyConundrum")</f>
        <v>@PolyConundrum</v>
      </c>
      <c r="C2339" s="1" t="s">
        <v>826</v>
      </c>
      <c r="D2339" s="1" t="s">
        <v>10567</v>
      </c>
      <c r="E2339" s="12" t="str">
        <f>HYPERLINK("https://twitter.com/PolyConundrum/status/1216807764464406529","1216807764464406529")</f>
        <v>1216807764464406529</v>
      </c>
      <c r="F2339" s="13" t="s">
        <v>10568</v>
      </c>
      <c r="G2339" s="13" t="s">
        <v>10569</v>
      </c>
      <c r="H2339" s="14"/>
      <c r="I2339" s="15">
        <v>0.0</v>
      </c>
      <c r="J2339" s="15">
        <v>0.0</v>
      </c>
      <c r="K2339" s="12" t="str">
        <f>HYPERLINK("http://innerself.com/content/social.html","Jocial")</f>
        <v>Jocial</v>
      </c>
      <c r="L2339" s="16">
        <v>1339.0</v>
      </c>
      <c r="M2339" s="16">
        <v>1294.0</v>
      </c>
      <c r="N2339" s="16">
        <v>123.0</v>
      </c>
      <c r="O2339" s="17"/>
      <c r="P2339" s="18">
        <v>41353.64335648148</v>
      </c>
      <c r="Q2339" s="1" t="s">
        <v>830</v>
      </c>
      <c r="R2339" s="1" t="s">
        <v>831</v>
      </c>
      <c r="S2339" s="13" t="s">
        <v>832</v>
      </c>
      <c r="T2339" s="14"/>
      <c r="U2339" s="19" t="str">
        <f>HYPERLINK("https://pbs.twimg.com/profile_images/734517371222827008/kWmnbPYS.jpg","View")</f>
        <v>View</v>
      </c>
      <c r="V2339" s="14"/>
      <c r="W2339" s="14"/>
      <c r="X2339" s="14"/>
      <c r="Y2339" s="14"/>
      <c r="Z2339" s="14"/>
    </row>
    <row r="2340">
      <c r="A2340" s="11">
        <v>43843.61287037037</v>
      </c>
      <c r="B2340" s="12" t="str">
        <f>HYPERLINK("https://twitter.com/InnerSelfcom","@InnerSelfcom")</f>
        <v>@InnerSelfcom</v>
      </c>
      <c r="C2340" s="13" t="s">
        <v>833</v>
      </c>
      <c r="D2340" s="1" t="s">
        <v>10567</v>
      </c>
      <c r="E2340" s="12" t="str">
        <f>HYPERLINK("https://twitter.com/InnerSelfcom/status/1216807762098905091","1216807762098905091")</f>
        <v>1216807762098905091</v>
      </c>
      <c r="F2340" s="13" t="s">
        <v>10568</v>
      </c>
      <c r="G2340" s="13" t="s">
        <v>10570</v>
      </c>
      <c r="H2340" s="14"/>
      <c r="I2340" s="15">
        <v>0.0</v>
      </c>
      <c r="J2340" s="15">
        <v>1.0</v>
      </c>
      <c r="K2340" s="12" t="str">
        <f>HYPERLINK("https://innerself.com/content","InnerSelfcom")</f>
        <v>InnerSelfcom</v>
      </c>
      <c r="L2340" s="16">
        <v>2680.0</v>
      </c>
      <c r="M2340" s="16">
        <v>2592.0</v>
      </c>
      <c r="N2340" s="16">
        <v>309.0</v>
      </c>
      <c r="O2340" s="17"/>
      <c r="P2340" s="18">
        <v>40544.860300925924</v>
      </c>
      <c r="Q2340" s="1" t="s">
        <v>830</v>
      </c>
      <c r="R2340" s="1" t="s">
        <v>835</v>
      </c>
      <c r="S2340" s="13" t="s">
        <v>836</v>
      </c>
      <c r="T2340" s="14"/>
      <c r="U2340" s="19" t="str">
        <f>HYPERLINK("https://pbs.twimg.com/profile_images/554419299712892928/Z_KvUo-W.png","View")</f>
        <v>View</v>
      </c>
      <c r="V2340" s="14"/>
      <c r="W2340" s="14"/>
      <c r="X2340" s="14"/>
      <c r="Y2340" s="14"/>
      <c r="Z2340" s="14"/>
    </row>
    <row r="2341">
      <c r="A2341" s="11">
        <v>43843.61167824074</v>
      </c>
      <c r="B2341" s="12" t="str">
        <f>HYPERLINK("https://twitter.com/drbeurkens","@drbeurkens")</f>
        <v>@drbeurkens</v>
      </c>
      <c r="C2341" s="1" t="s">
        <v>10571</v>
      </c>
      <c r="D2341" s="1" t="s">
        <v>10572</v>
      </c>
      <c r="E2341" s="12" t="str">
        <f>HYPERLINK("https://twitter.com/drbeurkens/status/1216807331566178304","1216807331566178304")</f>
        <v>1216807331566178304</v>
      </c>
      <c r="F2341" s="14"/>
      <c r="G2341" s="13" t="s">
        <v>10573</v>
      </c>
      <c r="H2341" s="14"/>
      <c r="I2341" s="15">
        <v>2.0</v>
      </c>
      <c r="J2341" s="15">
        <v>1.0</v>
      </c>
      <c r="K2341" s="12" t="str">
        <f>HYPERLINK("https://mobile.twitter.com","Twitter Web App")</f>
        <v>Twitter Web App</v>
      </c>
      <c r="L2341" s="16">
        <v>5735.0</v>
      </c>
      <c r="M2341" s="16">
        <v>133.0</v>
      </c>
      <c r="N2341" s="16">
        <v>72.0</v>
      </c>
      <c r="O2341" s="17"/>
      <c r="P2341" s="18">
        <v>41721.918287037035</v>
      </c>
      <c r="Q2341" s="14"/>
      <c r="R2341" s="1" t="s">
        <v>10574</v>
      </c>
      <c r="S2341" s="13" t="s">
        <v>10575</v>
      </c>
      <c r="T2341" s="14"/>
      <c r="U2341" s="19" t="str">
        <f>HYPERLINK("https://pbs.twimg.com/profile_images/1212457190121967617/6bE9-Rz8.jpg","View")</f>
        <v>View</v>
      </c>
      <c r="V2341" s="14"/>
      <c r="W2341" s="14"/>
      <c r="X2341" s="14"/>
      <c r="Y2341" s="14"/>
      <c r="Z2341" s="14"/>
    </row>
    <row r="2342">
      <c r="A2342" s="11">
        <v>43843.60443287037</v>
      </c>
      <c r="B2342" s="12" t="str">
        <f>HYPERLINK("https://twitter.com/FamilyKind","@FamilyKind")</f>
        <v>@FamilyKind</v>
      </c>
      <c r="C2342" s="1" t="s">
        <v>10576</v>
      </c>
      <c r="D2342" s="1" t="s">
        <v>10577</v>
      </c>
      <c r="E2342" s="12" t="str">
        <f>HYPERLINK("https://twitter.com/FamilyKind/status/1216804703985639426","1216804703985639426")</f>
        <v>1216804703985639426</v>
      </c>
      <c r="F2342" s="13" t="s">
        <v>10578</v>
      </c>
      <c r="G2342" s="14"/>
      <c r="H2342" s="14"/>
      <c r="I2342" s="15">
        <v>0.0</v>
      </c>
      <c r="J2342" s="15">
        <v>0.0</v>
      </c>
      <c r="K2342" s="12" t="str">
        <f>HYPERLINK("https://www.hootsuite.com","Hootsuite Inc.")</f>
        <v>Hootsuite Inc.</v>
      </c>
      <c r="L2342" s="16">
        <v>265.0</v>
      </c>
      <c r="M2342" s="16">
        <v>654.0</v>
      </c>
      <c r="N2342" s="16">
        <v>4.0</v>
      </c>
      <c r="O2342" s="17"/>
      <c r="P2342" s="18">
        <v>41065.499918981484</v>
      </c>
      <c r="Q2342" s="1" t="s">
        <v>4178</v>
      </c>
      <c r="R2342" s="1" t="s">
        <v>10579</v>
      </c>
      <c r="S2342" s="13" t="s">
        <v>10580</v>
      </c>
      <c r="T2342" s="14"/>
      <c r="U2342" s="19" t="str">
        <f>HYPERLINK("https://pbs.twimg.com/profile_images/2281349969/paw00nwykt5a1e1lz4q7.png","View")</f>
        <v>View</v>
      </c>
      <c r="V2342" s="14"/>
      <c r="W2342" s="14"/>
      <c r="X2342" s="14"/>
      <c r="Y2342" s="14"/>
      <c r="Z2342" s="14"/>
    </row>
    <row r="2343">
      <c r="A2343" s="11">
        <v>43843.60429398148</v>
      </c>
      <c r="B2343" s="12" t="str">
        <f>HYPERLINK("https://twitter.com/suefirthstress","@suefirthstress")</f>
        <v>@suefirthstress</v>
      </c>
      <c r="C2343" s="1" t="s">
        <v>1955</v>
      </c>
      <c r="D2343" s="1" t="s">
        <v>10581</v>
      </c>
      <c r="E2343" s="12" t="str">
        <f>HYPERLINK("https://twitter.com/suefirthstress/status/1216804653586952194","1216804653586952194")</f>
        <v>1216804653586952194</v>
      </c>
      <c r="F2343" s="13" t="s">
        <v>10582</v>
      </c>
      <c r="G2343" s="14"/>
      <c r="H2343" s="14"/>
      <c r="I2343" s="15">
        <v>0.0</v>
      </c>
      <c r="J2343" s="15">
        <v>0.0</v>
      </c>
      <c r="K2343" s="12" t="str">
        <f>HYPERLINK("https://twittimer.com","Twittimer")</f>
        <v>Twittimer</v>
      </c>
      <c r="L2343" s="16">
        <v>1177.0</v>
      </c>
      <c r="M2343" s="16">
        <v>2092.0</v>
      </c>
      <c r="N2343" s="16">
        <v>150.0</v>
      </c>
      <c r="O2343" s="17"/>
      <c r="P2343" s="18">
        <v>39838.33070601852</v>
      </c>
      <c r="Q2343" s="1" t="s">
        <v>1958</v>
      </c>
      <c r="R2343" s="1" t="s">
        <v>1959</v>
      </c>
      <c r="S2343" s="13" t="s">
        <v>1960</v>
      </c>
      <c r="T2343" s="14"/>
      <c r="U2343" s="19" t="str">
        <f>HYPERLINK("https://pbs.twimg.com/profile_images/75671563/400_87240010.jpg","View")</f>
        <v>View</v>
      </c>
      <c r="V2343" s="14"/>
      <c r="W2343" s="14"/>
      <c r="X2343" s="14"/>
      <c r="Y2343" s="14"/>
      <c r="Z2343" s="14"/>
    </row>
    <row r="2344">
      <c r="A2344" s="11">
        <v>43843.602627314816</v>
      </c>
      <c r="B2344" s="12" t="str">
        <f>HYPERLINK("https://twitter.com/impactfulcoach","@impactfulcoach")</f>
        <v>@impactfulcoach</v>
      </c>
      <c r="C2344" s="1" t="s">
        <v>10583</v>
      </c>
      <c r="D2344" s="1" t="s">
        <v>10584</v>
      </c>
      <c r="E2344" s="12" t="str">
        <f>HYPERLINK("https://twitter.com/impactfulcoach/status/1216804049762299904","1216804049762299904")</f>
        <v>1216804049762299904</v>
      </c>
      <c r="F2344" s="13" t="s">
        <v>10585</v>
      </c>
      <c r="G2344" s="14"/>
      <c r="H2344" s="14"/>
      <c r="I2344" s="15">
        <v>0.0</v>
      </c>
      <c r="J2344" s="15">
        <v>0.0</v>
      </c>
      <c r="K2344" s="12" t="str">
        <f>HYPERLINK("http://www.linkedin.com/","LinkedIn")</f>
        <v>LinkedIn</v>
      </c>
      <c r="L2344" s="16">
        <v>2791.0</v>
      </c>
      <c r="M2344" s="16">
        <v>2187.0</v>
      </c>
      <c r="N2344" s="16">
        <v>68.0</v>
      </c>
      <c r="O2344" s="17"/>
      <c r="P2344" s="18">
        <v>41421.60221064815</v>
      </c>
      <c r="Q2344" s="1" t="s">
        <v>10586</v>
      </c>
      <c r="R2344" s="1" t="s">
        <v>10587</v>
      </c>
      <c r="S2344" s="13" t="s">
        <v>10588</v>
      </c>
      <c r="T2344" s="14"/>
      <c r="U2344" s="19" t="str">
        <f>HYPERLINK("https://pbs.twimg.com/profile_images/1029700609467768833/jd5Dasyk.jpg","View")</f>
        <v>View</v>
      </c>
      <c r="V2344" s="14"/>
      <c r="W2344" s="14"/>
      <c r="X2344" s="14"/>
      <c r="Y2344" s="14"/>
      <c r="Z2344" s="14"/>
    </row>
    <row r="2345">
      <c r="A2345" s="11">
        <v>43843.60113425926</v>
      </c>
      <c r="B2345" s="12" t="str">
        <f>HYPERLINK("https://twitter.com/J867Smith","@J867Smith")</f>
        <v>@J867Smith</v>
      </c>
      <c r="C2345" s="1" t="s">
        <v>10589</v>
      </c>
      <c r="D2345" s="1" t="s">
        <v>10590</v>
      </c>
      <c r="E2345" s="12" t="str">
        <f>HYPERLINK("https://twitter.com/J867Smith/status/1216803510928510978","1216803510928510978")</f>
        <v>1216803510928510978</v>
      </c>
      <c r="F2345" s="14"/>
      <c r="G2345" s="14"/>
      <c r="H2345" s="14"/>
      <c r="I2345" s="15">
        <v>0.0</v>
      </c>
      <c r="J2345" s="15">
        <v>1.0</v>
      </c>
      <c r="K2345" s="12" t="str">
        <f>HYPERLINK("http://twitter.com/download/iphone","Twitter for iPhone")</f>
        <v>Twitter for iPhone</v>
      </c>
      <c r="L2345" s="16">
        <v>5548.0</v>
      </c>
      <c r="M2345" s="16">
        <v>5624.0</v>
      </c>
      <c r="N2345" s="16">
        <v>2.0</v>
      </c>
      <c r="O2345" s="17"/>
      <c r="P2345" s="18">
        <v>40258.87420138889</v>
      </c>
      <c r="Q2345" s="1" t="s">
        <v>10591</v>
      </c>
      <c r="R2345" s="1" t="s">
        <v>10592</v>
      </c>
      <c r="S2345" s="14"/>
      <c r="T2345" s="14"/>
      <c r="U2345" s="19" t="str">
        <f>HYPERLINK("https://pbs.twimg.com/profile_images/1216516742597332992/rktgxhsT.jpg","View")</f>
        <v>View</v>
      </c>
      <c r="V2345" s="14"/>
      <c r="W2345" s="14"/>
      <c r="X2345" s="14"/>
      <c r="Y2345" s="14"/>
      <c r="Z2345" s="14"/>
    </row>
    <row r="2346">
      <c r="A2346" s="11">
        <v>43843.59857638889</v>
      </c>
      <c r="B2346" s="12" t="str">
        <f>HYPERLINK("https://twitter.com/Ralston_co","@Ralston_co")</f>
        <v>@Ralston_co</v>
      </c>
      <c r="C2346" s="1" t="s">
        <v>10593</v>
      </c>
      <c r="D2346" s="1" t="s">
        <v>10594</v>
      </c>
      <c r="E2346" s="12" t="str">
        <f>HYPERLINK("https://twitter.com/Ralston_co/status/1216802583110717440","1216802583110717440")</f>
        <v>1216802583110717440</v>
      </c>
      <c r="F2346" s="13" t="s">
        <v>10595</v>
      </c>
      <c r="G2346" s="13" t="s">
        <v>10596</v>
      </c>
      <c r="H2346" s="14"/>
      <c r="I2346" s="15">
        <v>0.0</v>
      </c>
      <c r="J2346" s="15">
        <v>1.0</v>
      </c>
      <c r="K2346" s="12" t="str">
        <f>HYPERLINK("http://twitter.com","Twitter Web Client")</f>
        <v>Twitter Web Client</v>
      </c>
      <c r="L2346" s="16">
        <v>800.0</v>
      </c>
      <c r="M2346" s="16">
        <v>758.0</v>
      </c>
      <c r="N2346" s="16">
        <v>7.0</v>
      </c>
      <c r="O2346" s="17"/>
      <c r="P2346" s="18">
        <v>43223.2503125</v>
      </c>
      <c r="Q2346" s="1" t="s">
        <v>268</v>
      </c>
      <c r="R2346" s="1" t="s">
        <v>10597</v>
      </c>
      <c r="S2346" s="13" t="s">
        <v>10598</v>
      </c>
      <c r="T2346" s="14"/>
      <c r="U2346" s="19" t="str">
        <f>HYPERLINK("https://pbs.twimg.com/profile_images/994923320280846336/kn4Ve5Pt.jpg","View")</f>
        <v>View</v>
      </c>
      <c r="V2346" s="14"/>
      <c r="W2346" s="14"/>
      <c r="X2346" s="14"/>
      <c r="Y2346" s="14"/>
      <c r="Z2346" s="14"/>
    </row>
    <row r="2347">
      <c r="A2347" s="11">
        <v>43843.59850694444</v>
      </c>
      <c r="B2347" s="12" t="str">
        <f>HYPERLINK("https://twitter.com/UL1S3S","@UL1S3S")</f>
        <v>@UL1S3S</v>
      </c>
      <c r="C2347" s="1" t="s">
        <v>10599</v>
      </c>
      <c r="D2347" s="1" t="s">
        <v>10600</v>
      </c>
      <c r="E2347" s="12" t="str">
        <f>HYPERLINK("https://twitter.com/UL1S3S/status/1216802556497813504","1216802556497813504")</f>
        <v>1216802556497813504</v>
      </c>
      <c r="F2347" s="13" t="s">
        <v>10601</v>
      </c>
      <c r="G2347" s="14"/>
      <c r="H2347" s="14"/>
      <c r="I2347" s="15">
        <v>0.0</v>
      </c>
      <c r="J2347" s="15">
        <v>0.0</v>
      </c>
      <c r="K2347" s="12" t="str">
        <f>HYPERLINK("https://mobile.twitter.com","Twitter Web App")</f>
        <v>Twitter Web App</v>
      </c>
      <c r="L2347" s="16">
        <v>1738.0</v>
      </c>
      <c r="M2347" s="16">
        <v>1959.0</v>
      </c>
      <c r="N2347" s="16">
        <v>93.0</v>
      </c>
      <c r="O2347" s="17"/>
      <c r="P2347" s="18">
        <v>39980.84542824074</v>
      </c>
      <c r="Q2347" s="14"/>
      <c r="R2347" s="1" t="s">
        <v>10602</v>
      </c>
      <c r="S2347" s="13" t="s">
        <v>10603</v>
      </c>
      <c r="T2347" s="14"/>
      <c r="U2347" s="19" t="str">
        <f>HYPERLINK("https://pbs.twimg.com/profile_images/1201691522678300674/ryQqxAGq.jpg","View")</f>
        <v>View</v>
      </c>
      <c r="V2347" s="14"/>
      <c r="W2347" s="14"/>
      <c r="X2347" s="14"/>
      <c r="Y2347" s="14"/>
      <c r="Z2347" s="14"/>
    </row>
    <row r="2348">
      <c r="A2348" s="11">
        <v>43843.59722222222</v>
      </c>
      <c r="B2348" s="12" t="str">
        <f>HYPERLINK("https://twitter.com/KO_EliteCC","@KO_EliteCC")</f>
        <v>@KO_EliteCC</v>
      </c>
      <c r="C2348" s="1" t="s">
        <v>10604</v>
      </c>
      <c r="D2348" s="1" t="s">
        <v>10605</v>
      </c>
      <c r="E2348" s="12" t="str">
        <f>HYPERLINK("https://twitter.com/KO_EliteCC/status/1216802091903090688","1216802091903090688")</f>
        <v>1216802091903090688</v>
      </c>
      <c r="F2348" s="14"/>
      <c r="G2348" s="13" t="s">
        <v>10606</v>
      </c>
      <c r="H2348" s="14"/>
      <c r="I2348" s="15">
        <v>0.0</v>
      </c>
      <c r="J2348" s="15">
        <v>1.0</v>
      </c>
      <c r="K2348" s="12" t="str">
        <f>HYPERLINK("http://twitter.com/download/android","Twitter for Android")</f>
        <v>Twitter for Android</v>
      </c>
      <c r="L2348" s="16">
        <v>17.0</v>
      </c>
      <c r="M2348" s="16">
        <v>44.0</v>
      </c>
      <c r="N2348" s="16">
        <v>0.0</v>
      </c>
      <c r="O2348" s="17"/>
      <c r="P2348" s="18">
        <v>43214.85824074074</v>
      </c>
      <c r="Q2348" s="1" t="s">
        <v>10607</v>
      </c>
      <c r="R2348" s="1" t="s">
        <v>10608</v>
      </c>
      <c r="S2348" s="13" t="s">
        <v>10609</v>
      </c>
      <c r="T2348" s="14"/>
      <c r="U2348" s="19" t="str">
        <f>HYPERLINK("https://pbs.twimg.com/profile_images/1204960326061625344/jG9Dz7ee.jpg","View")</f>
        <v>View</v>
      </c>
      <c r="V2348" s="14"/>
      <c r="W2348" s="14"/>
      <c r="X2348" s="14"/>
      <c r="Y2348" s="14"/>
      <c r="Z2348" s="14"/>
    </row>
    <row r="2349">
      <c r="A2349" s="11">
        <v>43843.59523148148</v>
      </c>
      <c r="B2349" s="12" t="str">
        <f>HYPERLINK("https://twitter.com/SQLCAN","@SQLCAN")</f>
        <v>@SQLCAN</v>
      </c>
      <c r="C2349" s="1" t="s">
        <v>10610</v>
      </c>
      <c r="D2349" s="1" t="s">
        <v>10611</v>
      </c>
      <c r="E2349" s="12" t="str">
        <f>HYPERLINK("https://twitter.com/SQLCAN/status/1216801372189941760","1216801372189941760")</f>
        <v>1216801372189941760</v>
      </c>
      <c r="F2349" s="13" t="s">
        <v>10612</v>
      </c>
      <c r="G2349" s="14"/>
      <c r="H2349" s="14"/>
      <c r="I2349" s="15">
        <v>0.0</v>
      </c>
      <c r="J2349" s="15">
        <v>0.0</v>
      </c>
      <c r="K2349" s="12" t="str">
        <f>HYPERLINK("http://publicize.wp.com/","WordPress.com")</f>
        <v>WordPress.com</v>
      </c>
      <c r="L2349" s="16">
        <v>131.0</v>
      </c>
      <c r="M2349" s="16">
        <v>146.0</v>
      </c>
      <c r="N2349" s="16">
        <v>7.0</v>
      </c>
      <c r="O2349" s="17"/>
      <c r="P2349" s="18">
        <v>40793.607465277775</v>
      </c>
      <c r="Q2349" s="1" t="s">
        <v>143</v>
      </c>
      <c r="R2349" s="1" t="s">
        <v>10613</v>
      </c>
      <c r="S2349" s="13" t="s">
        <v>10614</v>
      </c>
      <c r="T2349" s="14"/>
      <c r="U2349" s="19" t="str">
        <f>HYPERLINK("https://pbs.twimg.com/profile_images/719017297281552385/Ud-haIB4.jpg","View")</f>
        <v>View</v>
      </c>
      <c r="V2349" s="14"/>
      <c r="W2349" s="14"/>
      <c r="X2349" s="14"/>
      <c r="Y2349" s="14"/>
      <c r="Z2349" s="14"/>
    </row>
    <row r="2350">
      <c r="A2350" s="11">
        <v>43843.594305555554</v>
      </c>
      <c r="B2350" s="12" t="str">
        <f>HYPERLINK("https://twitter.com/russell_bethan","@russell_bethan")</f>
        <v>@russell_bethan</v>
      </c>
      <c r="C2350" s="1" t="s">
        <v>10615</v>
      </c>
      <c r="D2350" s="1" t="s">
        <v>10616</v>
      </c>
      <c r="E2350" s="12" t="str">
        <f>HYPERLINK("https://twitter.com/russell_bethan/status/1216801035609690112","1216801035609690112")</f>
        <v>1216801035609690112</v>
      </c>
      <c r="F2350" s="14"/>
      <c r="G2350" s="14"/>
      <c r="H2350" s="14"/>
      <c r="I2350" s="15">
        <v>0.0</v>
      </c>
      <c r="J2350" s="15">
        <v>0.0</v>
      </c>
      <c r="K2350" s="12" t="str">
        <f>HYPERLINK("http://twitter.com/download/iphone","Twitter for iPhone")</f>
        <v>Twitter for iPhone</v>
      </c>
      <c r="L2350" s="16">
        <v>36.0</v>
      </c>
      <c r="M2350" s="16">
        <v>71.0</v>
      </c>
      <c r="N2350" s="16">
        <v>0.0</v>
      </c>
      <c r="O2350" s="17"/>
      <c r="P2350" s="18">
        <v>43477.58112268518</v>
      </c>
      <c r="Q2350" s="14"/>
      <c r="R2350" s="14"/>
      <c r="S2350" s="14"/>
      <c r="T2350" s="14"/>
      <c r="U2350" s="19" t="str">
        <f>HYPERLINK("https://pbs.twimg.com/profile_images/1163926296713469952/mU0SWNXa.jpg","View")</f>
        <v>View</v>
      </c>
      <c r="V2350" s="14"/>
      <c r="W2350" s="14"/>
      <c r="X2350" s="14"/>
      <c r="Y2350" s="14"/>
      <c r="Z2350" s="14"/>
    </row>
    <row r="2351">
      <c r="A2351" s="11">
        <v>43843.59375</v>
      </c>
      <c r="B2351" s="12" t="str">
        <f>HYPERLINK("https://twitter.com/TrainingMindful","@TrainingMindful")</f>
        <v>@TrainingMindful</v>
      </c>
      <c r="C2351" s="1" t="s">
        <v>94</v>
      </c>
      <c r="D2351" s="1" t="s">
        <v>10617</v>
      </c>
      <c r="E2351" s="12" t="str">
        <f>HYPERLINK("https://twitter.com/TrainingMindful/status/1216800835281346560","1216800835281346560")</f>
        <v>1216800835281346560</v>
      </c>
      <c r="F2351" s="13" t="s">
        <v>1476</v>
      </c>
      <c r="G2351" s="14"/>
      <c r="H2351" s="14"/>
      <c r="I2351" s="15">
        <v>3.0</v>
      </c>
      <c r="J2351" s="15">
        <v>6.0</v>
      </c>
      <c r="K2351" s="12" t="str">
        <f>HYPERLINK("https://www.socialoomph.com","SocialOomph")</f>
        <v>SocialOomph</v>
      </c>
      <c r="L2351" s="16">
        <v>185303.0</v>
      </c>
      <c r="M2351" s="16">
        <v>43980.0</v>
      </c>
      <c r="N2351" s="16">
        <v>2800.0</v>
      </c>
      <c r="O2351" s="17"/>
      <c r="P2351" s="18">
        <v>41286.039305555554</v>
      </c>
      <c r="Q2351" s="1" t="s">
        <v>97</v>
      </c>
      <c r="R2351" s="1" t="s">
        <v>98</v>
      </c>
      <c r="S2351" s="13" t="s">
        <v>99</v>
      </c>
      <c r="T2351" s="14"/>
      <c r="U2351" s="19" t="str">
        <f>HYPERLINK("https://pbs.twimg.com/profile_images/566526924059459584/gdMxDA9x.jpeg","View")</f>
        <v>View</v>
      </c>
      <c r="V2351" s="14"/>
      <c r="W2351" s="14"/>
      <c r="X2351" s="14"/>
      <c r="Y2351" s="14"/>
      <c r="Z2351" s="14"/>
    </row>
    <row r="2352">
      <c r="A2352" s="11">
        <v>43843.591678240744</v>
      </c>
      <c r="B2352" s="12" t="str">
        <f>HYPERLINK("https://twitter.com/DivergentCIO","@DivergentCIO")</f>
        <v>@DivergentCIO</v>
      </c>
      <c r="C2352" s="1" t="s">
        <v>536</v>
      </c>
      <c r="D2352" s="1" t="s">
        <v>571</v>
      </c>
      <c r="E2352" s="12" t="str">
        <f>HYPERLINK("https://twitter.com/DivergentCIO/status/1216800081761968129","1216800081761968129")</f>
        <v>1216800081761968129</v>
      </c>
      <c r="F2352" s="13" t="s">
        <v>572</v>
      </c>
      <c r="G2352" s="14"/>
      <c r="H2352" s="14"/>
      <c r="I2352" s="15">
        <v>0.0</v>
      </c>
      <c r="J2352" s="15">
        <v>0.0</v>
      </c>
      <c r="K2352" s="12" t="str">
        <f>HYPERLINK("https://buffer.com","Buffer")</f>
        <v>Buffer</v>
      </c>
      <c r="L2352" s="16">
        <v>28703.0</v>
      </c>
      <c r="M2352" s="16">
        <v>25615.0</v>
      </c>
      <c r="N2352" s="16">
        <v>1729.0</v>
      </c>
      <c r="O2352" s="17"/>
      <c r="P2352" s="18">
        <v>42071.738854166666</v>
      </c>
      <c r="Q2352" s="1" t="s">
        <v>539</v>
      </c>
      <c r="R2352" s="1" t="s">
        <v>540</v>
      </c>
      <c r="S2352" s="13" t="s">
        <v>541</v>
      </c>
      <c r="T2352" s="14"/>
      <c r="U2352" s="19" t="str">
        <f>HYPERLINK("https://pbs.twimg.com/profile_images/767507322583199745/rpfbzBzg.jpg","View")</f>
        <v>View</v>
      </c>
      <c r="V2352" s="14"/>
      <c r="W2352" s="14"/>
      <c r="X2352" s="14"/>
      <c r="Y2352" s="14"/>
      <c r="Z2352" s="14"/>
    </row>
    <row r="2353">
      <c r="A2353" s="11">
        <v>43843.59040509259</v>
      </c>
      <c r="B2353" s="12" t="str">
        <f>HYPERLINK("https://twitter.com/JoanneGore121","@JoanneGore121")</f>
        <v>@JoanneGore121</v>
      </c>
      <c r="C2353" s="1" t="s">
        <v>10618</v>
      </c>
      <c r="D2353" s="1" t="s">
        <v>10619</v>
      </c>
      <c r="E2353" s="12" t="str">
        <f>HYPERLINK("https://twitter.com/JoanneGore121/status/1216799621088935936","1216799621088935936")</f>
        <v>1216799621088935936</v>
      </c>
      <c r="F2353" s="13" t="s">
        <v>10620</v>
      </c>
      <c r="G2353" s="13" t="s">
        <v>10621</v>
      </c>
      <c r="H2353" s="14"/>
      <c r="I2353" s="15">
        <v>1.0</v>
      </c>
      <c r="J2353" s="15">
        <v>1.0</v>
      </c>
      <c r="K2353" s="12" t="str">
        <f>HYPERLINK("https://www.hootsuite.com","Hootsuite Inc.")</f>
        <v>Hootsuite Inc.</v>
      </c>
      <c r="L2353" s="16">
        <v>1499.0</v>
      </c>
      <c r="M2353" s="16">
        <v>1482.0</v>
      </c>
      <c r="N2353" s="16">
        <v>60.0</v>
      </c>
      <c r="O2353" s="17"/>
      <c r="P2353" s="18">
        <v>39909.62960648148</v>
      </c>
      <c r="Q2353" s="1" t="s">
        <v>10622</v>
      </c>
      <c r="R2353" s="1" t="s">
        <v>10623</v>
      </c>
      <c r="S2353" s="13" t="s">
        <v>10624</v>
      </c>
      <c r="T2353" s="14"/>
      <c r="U2353" s="19" t="str">
        <f>HYPERLINK("https://pbs.twimg.com/profile_images/971525313896296448/4OAPVwOu.jpg","View")</f>
        <v>View</v>
      </c>
      <c r="V2353" s="14"/>
      <c r="W2353" s="14"/>
      <c r="X2353" s="14"/>
      <c r="Y2353" s="14"/>
      <c r="Z2353" s="14"/>
    </row>
    <row r="2354">
      <c r="A2354" s="11">
        <v>43843.588425925926</v>
      </c>
      <c r="B2354" s="12" t="str">
        <f>HYPERLINK("https://twitter.com/Cindy_Locher","@Cindy_Locher")</f>
        <v>@Cindy_Locher</v>
      </c>
      <c r="C2354" s="1" t="s">
        <v>8445</v>
      </c>
      <c r="D2354" s="1" t="s">
        <v>10625</v>
      </c>
      <c r="E2354" s="12" t="str">
        <f>HYPERLINK("https://twitter.com/Cindy_Locher/status/1216798905062641669","1216798905062641669")</f>
        <v>1216798905062641669</v>
      </c>
      <c r="F2354" s="13" t="s">
        <v>10626</v>
      </c>
      <c r="G2354" s="13" t="s">
        <v>10627</v>
      </c>
      <c r="H2354" s="14"/>
      <c r="I2354" s="15">
        <v>1.0</v>
      </c>
      <c r="J2354" s="15">
        <v>1.0</v>
      </c>
      <c r="K2354" s="12" t="str">
        <f>HYPERLINK("https://missinglettr.com","Missinglettr")</f>
        <v>Missinglettr</v>
      </c>
      <c r="L2354" s="16">
        <v>40964.0</v>
      </c>
      <c r="M2354" s="16">
        <v>27440.0</v>
      </c>
      <c r="N2354" s="16">
        <v>257.0</v>
      </c>
      <c r="O2354" s="17"/>
      <c r="P2354" s="18">
        <v>39580.90241898148</v>
      </c>
      <c r="Q2354" s="1" t="s">
        <v>8449</v>
      </c>
      <c r="R2354" s="1" t="s">
        <v>8450</v>
      </c>
      <c r="S2354" s="13" t="s">
        <v>8451</v>
      </c>
      <c r="T2354" s="14"/>
      <c r="U2354" s="19" t="str">
        <f>HYPERLINK("https://pbs.twimg.com/profile_images/779296372411338752/j2DngFQ2.jpg","View")</f>
        <v>View</v>
      </c>
      <c r="V2354" s="14"/>
      <c r="W2354" s="14"/>
      <c r="X2354" s="14"/>
      <c r="Y2354" s="14"/>
      <c r="Z2354" s="14"/>
    </row>
    <row r="2355">
      <c r="A2355" s="11">
        <v>43843.58762731482</v>
      </c>
      <c r="B2355" s="12" t="str">
        <f>HYPERLINK("https://twitter.com/neuroflowlive","@neuroflowlive")</f>
        <v>@neuroflowlive</v>
      </c>
      <c r="C2355" s="1" t="s">
        <v>2288</v>
      </c>
      <c r="D2355" s="1" t="s">
        <v>10628</v>
      </c>
      <c r="E2355" s="12" t="str">
        <f>HYPERLINK("https://twitter.com/neuroflowlive/status/1216798615399694336","1216798615399694336")</f>
        <v>1216798615399694336</v>
      </c>
      <c r="F2355" s="14"/>
      <c r="G2355" s="13" t="s">
        <v>10629</v>
      </c>
      <c r="H2355" s="14"/>
      <c r="I2355" s="15">
        <v>0.0</v>
      </c>
      <c r="J2355" s="15">
        <v>0.0</v>
      </c>
      <c r="K2355" s="12" t="str">
        <f>HYPERLINK("http://www.hubspot.com/","HubSpot")</f>
        <v>HubSpot</v>
      </c>
      <c r="L2355" s="16">
        <v>888.0</v>
      </c>
      <c r="M2355" s="16">
        <v>1447.0</v>
      </c>
      <c r="N2355" s="16">
        <v>16.0</v>
      </c>
      <c r="O2355" s="17"/>
      <c r="P2355" s="18">
        <v>42802.66462962963</v>
      </c>
      <c r="Q2355" s="1" t="s">
        <v>2015</v>
      </c>
      <c r="R2355" s="1" t="s">
        <v>2291</v>
      </c>
      <c r="S2355" s="13" t="s">
        <v>2292</v>
      </c>
      <c r="T2355" s="14"/>
      <c r="U2355" s="19" t="str">
        <f>HYPERLINK("https://pbs.twimg.com/profile_images/1048386258378973184/mkvdztzj.jpg","View")</f>
        <v>View</v>
      </c>
      <c r="V2355" s="14"/>
      <c r="W2355" s="14"/>
      <c r="X2355" s="14"/>
      <c r="Y2355" s="14"/>
      <c r="Z2355" s="14"/>
    </row>
    <row r="2356">
      <c r="A2356" s="11">
        <v>43843.58688657408</v>
      </c>
      <c r="B2356" s="12" t="str">
        <f>HYPERLINK("https://twitter.com/Sneurofeedback","@Sneurofeedback")</f>
        <v>@Sneurofeedback</v>
      </c>
      <c r="C2356" s="1" t="s">
        <v>4474</v>
      </c>
      <c r="D2356" s="1" t="s">
        <v>10630</v>
      </c>
      <c r="E2356" s="12" t="str">
        <f>HYPERLINK("https://twitter.com/Sneurofeedback/status/1216798346104492039","1216798346104492039")</f>
        <v>1216798346104492039</v>
      </c>
      <c r="F2356" s="13" t="s">
        <v>10631</v>
      </c>
      <c r="G2356" s="14"/>
      <c r="H2356" s="14"/>
      <c r="I2356" s="15">
        <v>0.0</v>
      </c>
      <c r="J2356" s="15">
        <v>3.0</v>
      </c>
      <c r="K2356" s="12" t="str">
        <f>HYPERLINK("https://www.hootsuite.com","Hootsuite Inc.")</f>
        <v>Hootsuite Inc.</v>
      </c>
      <c r="L2356" s="16">
        <v>250.0</v>
      </c>
      <c r="M2356" s="16">
        <v>67.0</v>
      </c>
      <c r="N2356" s="16">
        <v>20.0</v>
      </c>
      <c r="O2356" s="17"/>
      <c r="P2356" s="18">
        <v>42078.529328703706</v>
      </c>
      <c r="Q2356" s="1" t="s">
        <v>132</v>
      </c>
      <c r="R2356" s="1" t="s">
        <v>4478</v>
      </c>
      <c r="S2356" s="13" t="s">
        <v>4479</v>
      </c>
      <c r="T2356" s="14"/>
      <c r="U2356" s="19" t="str">
        <f>HYPERLINK("https://pbs.twimg.com/profile_images/577543392923504640/VbJVpYS2.png","View")</f>
        <v>View</v>
      </c>
      <c r="V2356" s="14"/>
      <c r="W2356" s="14"/>
      <c r="X2356" s="14"/>
      <c r="Y2356" s="14"/>
      <c r="Z2356" s="14"/>
    </row>
    <row r="2357">
      <c r="A2357" s="11">
        <v>43843.584745370375</v>
      </c>
      <c r="B2357" s="12" t="str">
        <f>HYPERLINK("https://twitter.com/JBurlowski","@JBurlowski")</f>
        <v>@JBurlowski</v>
      </c>
      <c r="C2357" s="1" t="s">
        <v>2629</v>
      </c>
      <c r="D2357" s="1" t="s">
        <v>2630</v>
      </c>
      <c r="E2357" s="12" t="str">
        <f>HYPERLINK("https://twitter.com/JBurlowski/status/1216797570162462729","1216797570162462729")</f>
        <v>1216797570162462729</v>
      </c>
      <c r="F2357" s="13" t="s">
        <v>2631</v>
      </c>
      <c r="G2357" s="14"/>
      <c r="H2357" s="14"/>
      <c r="I2357" s="15">
        <v>0.0</v>
      </c>
      <c r="J2357" s="15">
        <v>0.0</v>
      </c>
      <c r="K2357" s="12" t="str">
        <f>HYPERLINK("https://coschedule.com","CoSchedule")</f>
        <v>CoSchedule</v>
      </c>
      <c r="L2357" s="16">
        <v>1044.0</v>
      </c>
      <c r="M2357" s="16">
        <v>615.0</v>
      </c>
      <c r="N2357" s="16">
        <v>168.0</v>
      </c>
      <c r="O2357" s="17"/>
      <c r="P2357" s="18">
        <v>40663.678564814814</v>
      </c>
      <c r="Q2357" s="1" t="s">
        <v>2632</v>
      </c>
      <c r="R2357" s="1" t="s">
        <v>2633</v>
      </c>
      <c r="S2357" s="13" t="s">
        <v>2634</v>
      </c>
      <c r="T2357" s="14"/>
      <c r="U2357" s="19" t="str">
        <f>HYPERLINK("https://pbs.twimg.com/profile_images/1334875801/JeanieB-048_web.jpg","View")</f>
        <v>View</v>
      </c>
      <c r="V2357" s="14"/>
      <c r="W2357" s="14"/>
      <c r="X2357" s="14"/>
      <c r="Y2357" s="14"/>
      <c r="Z2357" s="14"/>
    </row>
    <row r="2358">
      <c r="A2358" s="11">
        <v>43843.584444444445</v>
      </c>
      <c r="B2358" s="12" t="str">
        <f>HYPERLINK("https://twitter.com/hannah_828_","@hannah_828_")</f>
        <v>@hannah_828_</v>
      </c>
      <c r="C2358" s="1" t="s">
        <v>10632</v>
      </c>
      <c r="D2358" s="1" t="s">
        <v>10633</v>
      </c>
      <c r="E2358" s="12" t="str">
        <f>HYPERLINK("https://twitter.com/hannah_828_/status/1216797461936689152","1216797461936689152")</f>
        <v>1216797461936689152</v>
      </c>
      <c r="F2358" s="14"/>
      <c r="G2358" s="14"/>
      <c r="H2358" s="14"/>
      <c r="I2358" s="15">
        <v>0.0</v>
      </c>
      <c r="J2358" s="15">
        <v>0.0</v>
      </c>
      <c r="K2358" s="12" t="str">
        <f>HYPERLINK("http://twitter.com/download/iphone","Twitter for iPhone")</f>
        <v>Twitter for iPhone</v>
      </c>
      <c r="L2358" s="16">
        <v>6.0</v>
      </c>
      <c r="M2358" s="16">
        <v>53.0</v>
      </c>
      <c r="N2358" s="16">
        <v>0.0</v>
      </c>
      <c r="O2358" s="17"/>
      <c r="P2358" s="18">
        <v>43776.28690972222</v>
      </c>
      <c r="Q2358" s="1" t="s">
        <v>10634</v>
      </c>
      <c r="R2358" s="1" t="s">
        <v>10635</v>
      </c>
      <c r="S2358" s="14"/>
      <c r="T2358" s="14"/>
      <c r="U2358" s="19" t="str">
        <f>HYPERLINK("https://pbs.twimg.com/profile_images/1196071918287245312/-HLpq1uh.jpg","View")</f>
        <v>View</v>
      </c>
      <c r="V2358" s="14"/>
      <c r="W2358" s="14"/>
      <c r="X2358" s="14"/>
      <c r="Y2358" s="14"/>
      <c r="Z2358" s="14"/>
    </row>
    <row r="2359">
      <c r="A2359" s="11">
        <v>43843.58431712963</v>
      </c>
      <c r="B2359" s="12" t="str">
        <f>HYPERLINK("https://twitter.com/CSNN","@CSNN")</f>
        <v>@CSNN</v>
      </c>
      <c r="C2359" s="1" t="s">
        <v>8410</v>
      </c>
      <c r="D2359" s="1" t="s">
        <v>10636</v>
      </c>
      <c r="E2359" s="12" t="str">
        <f>HYPERLINK("https://twitter.com/CSNN/status/1216797414163722245","1216797414163722245")</f>
        <v>1216797414163722245</v>
      </c>
      <c r="F2359" s="13" t="s">
        <v>10637</v>
      </c>
      <c r="G2359" s="13" t="s">
        <v>10638</v>
      </c>
      <c r="H2359" s="14"/>
      <c r="I2359" s="15">
        <v>1.0</v>
      </c>
      <c r="J2359" s="15">
        <v>2.0</v>
      </c>
      <c r="K2359" s="12" t="str">
        <f t="shared" ref="K2359:K2361" si="241">HYPERLINK("https://www.hootsuite.com","Hootsuite Inc.")</f>
        <v>Hootsuite Inc.</v>
      </c>
      <c r="L2359" s="16">
        <v>2432.0</v>
      </c>
      <c r="M2359" s="16">
        <v>219.0</v>
      </c>
      <c r="N2359" s="16">
        <v>60.0</v>
      </c>
      <c r="O2359" s="17"/>
      <c r="P2359" s="18">
        <v>40814.394155092596</v>
      </c>
      <c r="Q2359" s="1" t="s">
        <v>8413</v>
      </c>
      <c r="R2359" s="1" t="s">
        <v>8414</v>
      </c>
      <c r="S2359" s="13" t="s">
        <v>8415</v>
      </c>
      <c r="T2359" s="14"/>
      <c r="U2359" s="19" t="str">
        <f>HYPERLINK("https://pbs.twimg.com/profile_images/954035763565473793/5bCXz4kD.jpg","View")</f>
        <v>View</v>
      </c>
      <c r="V2359" s="14"/>
      <c r="W2359" s="14"/>
      <c r="X2359" s="14"/>
      <c r="Y2359" s="14"/>
      <c r="Z2359" s="14"/>
    </row>
    <row r="2360">
      <c r="A2360" s="11">
        <v>43843.584074074075</v>
      </c>
      <c r="B2360" s="12" t="str">
        <f>HYPERLINK("https://twitter.com/CogitoCorp","@CogitoCorp")</f>
        <v>@CogitoCorp</v>
      </c>
      <c r="C2360" s="1" t="s">
        <v>10639</v>
      </c>
      <c r="D2360" s="1" t="s">
        <v>10640</v>
      </c>
      <c r="E2360" s="12" t="str">
        <f>HYPERLINK("https://twitter.com/CogitoCorp/status/1216797327773650944","1216797327773650944")</f>
        <v>1216797327773650944</v>
      </c>
      <c r="F2360" s="13" t="s">
        <v>10641</v>
      </c>
      <c r="G2360" s="14"/>
      <c r="H2360" s="14"/>
      <c r="I2360" s="15">
        <v>0.0</v>
      </c>
      <c r="J2360" s="15">
        <v>0.0</v>
      </c>
      <c r="K2360" s="12" t="str">
        <f t="shared" si="241"/>
        <v>Hootsuite Inc.</v>
      </c>
      <c r="L2360" s="16">
        <v>1919.0</v>
      </c>
      <c r="M2360" s="16">
        <v>3255.0</v>
      </c>
      <c r="N2360" s="16">
        <v>145.0</v>
      </c>
      <c r="O2360" s="17"/>
      <c r="P2360" s="18">
        <v>40702.40980324074</v>
      </c>
      <c r="Q2360" s="1" t="s">
        <v>6851</v>
      </c>
      <c r="R2360" s="1" t="s">
        <v>10642</v>
      </c>
      <c r="S2360" s="13" t="s">
        <v>10643</v>
      </c>
      <c r="T2360" s="14"/>
      <c r="U2360" s="19" t="str">
        <f>HYPERLINK("https://pbs.twimg.com/profile_images/1009119622589829120/WIpJrJix.jpg","View")</f>
        <v>View</v>
      </c>
      <c r="V2360" s="14"/>
      <c r="W2360" s="14"/>
      <c r="X2360" s="14"/>
      <c r="Y2360" s="14"/>
      <c r="Z2360" s="14"/>
    </row>
    <row r="2361">
      <c r="A2361" s="11">
        <v>43843.584016203706</v>
      </c>
      <c r="B2361" s="12" t="str">
        <f>HYPERLINK("https://twitter.com/modernonsocial","@modernonsocial")</f>
        <v>@modernonsocial</v>
      </c>
      <c r="C2361" s="1" t="s">
        <v>4405</v>
      </c>
      <c r="D2361" s="1" t="s">
        <v>10644</v>
      </c>
      <c r="E2361" s="12" t="str">
        <f>HYPERLINK("https://twitter.com/modernonsocial/status/1216797305652875265","1216797305652875265")</f>
        <v>1216797305652875265</v>
      </c>
      <c r="F2361" s="14"/>
      <c r="G2361" s="14"/>
      <c r="H2361" s="14"/>
      <c r="I2361" s="15">
        <v>3.0</v>
      </c>
      <c r="J2361" s="15">
        <v>4.0</v>
      </c>
      <c r="K2361" s="12" t="str">
        <f t="shared" si="241"/>
        <v>Hootsuite Inc.</v>
      </c>
      <c r="L2361" s="16">
        <v>3382.0</v>
      </c>
      <c r="M2361" s="16">
        <v>118.0</v>
      </c>
      <c r="N2361" s="16">
        <v>16.0</v>
      </c>
      <c r="O2361" s="17"/>
      <c r="P2361" s="18">
        <v>43072.67818287037</v>
      </c>
      <c r="Q2361" s="1" t="s">
        <v>56</v>
      </c>
      <c r="R2361" s="1" t="s">
        <v>4407</v>
      </c>
      <c r="S2361" s="13" t="s">
        <v>4408</v>
      </c>
      <c r="T2361" s="14"/>
      <c r="U2361" s="19" t="str">
        <f>HYPERLINK("https://pbs.twimg.com/profile_images/937430616215375872/tdUxISHx.jpg","View")</f>
        <v>View</v>
      </c>
      <c r="V2361" s="14"/>
      <c r="W2361" s="14"/>
      <c r="X2361" s="14"/>
      <c r="Y2361" s="14"/>
      <c r="Z2361" s="14"/>
    </row>
    <row r="2362">
      <c r="A2362" s="11">
        <v>43843.5835300926</v>
      </c>
      <c r="B2362" s="12" t="str">
        <f>HYPERLINK("https://twitter.com/DictionaryFeed","@DictionaryFeed")</f>
        <v>@DictionaryFeed</v>
      </c>
      <c r="C2362" s="1" t="s">
        <v>10645</v>
      </c>
      <c r="D2362" s="1" t="s">
        <v>10646</v>
      </c>
      <c r="E2362" s="12" t="str">
        <f>HYPERLINK("https://twitter.com/DictionaryFeed/status/1216797131308032000","1216797131308032000")</f>
        <v>1216797131308032000</v>
      </c>
      <c r="F2362" s="13" t="s">
        <v>10647</v>
      </c>
      <c r="G2362" s="14"/>
      <c r="H2362" s="14"/>
      <c r="I2362" s="15">
        <v>0.0</v>
      </c>
      <c r="J2362" s="15">
        <v>0.0</v>
      </c>
      <c r="K2362" s="12" t="str">
        <f>HYPERLINK("http://www.treelge.xyz","DictionaryFeed")</f>
        <v>DictionaryFeed</v>
      </c>
      <c r="L2362" s="16">
        <v>196.0</v>
      </c>
      <c r="M2362" s="16">
        <v>275.0</v>
      </c>
      <c r="N2362" s="16">
        <v>5.0</v>
      </c>
      <c r="O2362" s="17"/>
      <c r="P2362" s="18">
        <v>42860.88642361111</v>
      </c>
      <c r="Q2362" s="1" t="s">
        <v>6251</v>
      </c>
      <c r="R2362" s="1" t="s">
        <v>10648</v>
      </c>
      <c r="S2362" s="13" t="s">
        <v>10649</v>
      </c>
      <c r="T2362" s="14"/>
      <c r="U2362" s="19" t="str">
        <f>HYPERLINK("https://pbs.twimg.com/profile_images/874900019656241152/mqGGpIFX.jpg","View")</f>
        <v>View</v>
      </c>
      <c r="V2362" s="14"/>
      <c r="W2362" s="14"/>
      <c r="X2362" s="14"/>
      <c r="Y2362" s="14"/>
      <c r="Z2362" s="14"/>
    </row>
    <row r="2363">
      <c r="A2363" s="11">
        <v>43843.58333333333</v>
      </c>
      <c r="B2363" s="12" t="str">
        <f>HYPERLINK("https://twitter.com/NewLeafCollege","@NewLeafCollege")</f>
        <v>@NewLeafCollege</v>
      </c>
      <c r="C2363" s="1" t="s">
        <v>9321</v>
      </c>
      <c r="D2363" s="1" t="s">
        <v>10650</v>
      </c>
      <c r="E2363" s="12" t="str">
        <f>HYPERLINK("https://twitter.com/NewLeafCollege/status/1216797060030238721","1216797060030238721")</f>
        <v>1216797060030238721</v>
      </c>
      <c r="F2363" s="13" t="s">
        <v>10651</v>
      </c>
      <c r="G2363" s="13" t="s">
        <v>10652</v>
      </c>
      <c r="H2363" s="14"/>
      <c r="I2363" s="15">
        <v>2.0</v>
      </c>
      <c r="J2363" s="15">
        <v>1.0</v>
      </c>
      <c r="K2363" s="12" t="str">
        <f>HYPERLINK("https://about.twitter.com/products/tweetdeck","TweetDeck")</f>
        <v>TweetDeck</v>
      </c>
      <c r="L2363" s="16">
        <v>926.0</v>
      </c>
      <c r="M2363" s="16">
        <v>1044.0</v>
      </c>
      <c r="N2363" s="16">
        <v>25.0</v>
      </c>
      <c r="O2363" s="17"/>
      <c r="P2363" s="18">
        <v>42628.433124999996</v>
      </c>
      <c r="Q2363" s="14"/>
      <c r="R2363" s="1" t="s">
        <v>9324</v>
      </c>
      <c r="S2363" s="13" t="s">
        <v>9325</v>
      </c>
      <c r="T2363" s="14"/>
      <c r="U2363" s="19" t="str">
        <f>HYPERLINK("https://pbs.twimg.com/profile_images/786270607252094976/xdRjbTNQ.jpg","View")</f>
        <v>View</v>
      </c>
      <c r="V2363" s="14"/>
      <c r="W2363" s="14"/>
      <c r="X2363" s="14"/>
      <c r="Y2363" s="14"/>
      <c r="Z2363" s="14"/>
    </row>
    <row r="2364">
      <c r="A2364" s="11">
        <v>43843.57527777778</v>
      </c>
      <c r="B2364" s="12" t="str">
        <f>HYPERLINK("https://twitter.com/ScentFill","@ScentFill")</f>
        <v>@ScentFill</v>
      </c>
      <c r="C2364" s="1" t="s">
        <v>960</v>
      </c>
      <c r="D2364" s="1" t="s">
        <v>10653</v>
      </c>
      <c r="E2364" s="12" t="str">
        <f>HYPERLINK("https://twitter.com/ScentFill/status/1216794138261192704","1216794138261192704")</f>
        <v>1216794138261192704</v>
      </c>
      <c r="F2364" s="13" t="s">
        <v>10654</v>
      </c>
      <c r="G2364" s="13" t="s">
        <v>10655</v>
      </c>
      <c r="H2364" s="14"/>
      <c r="I2364" s="15">
        <v>0.0</v>
      </c>
      <c r="J2364" s="15">
        <v>2.0</v>
      </c>
      <c r="K2364" s="12" t="str">
        <f t="shared" ref="K2364:K2365" si="242">HYPERLINK("https://www.socialoomph.com","SocialOomph")</f>
        <v>SocialOomph</v>
      </c>
      <c r="L2364" s="16">
        <v>1863.0</v>
      </c>
      <c r="M2364" s="16">
        <v>2105.0</v>
      </c>
      <c r="N2364" s="16">
        <v>25.0</v>
      </c>
      <c r="O2364" s="17"/>
      <c r="P2364" s="18">
        <v>42692.65809027778</v>
      </c>
      <c r="Q2364" s="14"/>
      <c r="R2364" s="1" t="s">
        <v>964</v>
      </c>
      <c r="S2364" s="13" t="s">
        <v>965</v>
      </c>
      <c r="T2364" s="14"/>
      <c r="U2364" s="19" t="str">
        <f>HYPERLINK("https://pbs.twimg.com/profile_images/799717698556956672/mdITl9zd.jpg","View")</f>
        <v>View</v>
      </c>
      <c r="V2364" s="14"/>
      <c r="W2364" s="14"/>
      <c r="X2364" s="14"/>
      <c r="Y2364" s="14"/>
      <c r="Z2364" s="14"/>
    </row>
    <row r="2365">
      <c r="A2365" s="11">
        <v>43843.57305555556</v>
      </c>
      <c r="B2365" s="12" t="str">
        <f>HYPERLINK("https://twitter.com/renascencemusic","@renascencemusic")</f>
        <v>@renascencemusic</v>
      </c>
      <c r="C2365" s="1" t="s">
        <v>247</v>
      </c>
      <c r="D2365" s="1" t="s">
        <v>1555</v>
      </c>
      <c r="E2365" s="12" t="str">
        <f>HYPERLINK("https://twitter.com/renascencemusic/status/1216793335446343680","1216793335446343680")</f>
        <v>1216793335446343680</v>
      </c>
      <c r="F2365" s="13" t="s">
        <v>1556</v>
      </c>
      <c r="G2365" s="13" t="s">
        <v>10656</v>
      </c>
      <c r="H2365" s="14"/>
      <c r="I2365" s="15">
        <v>0.0</v>
      </c>
      <c r="J2365" s="15">
        <v>0.0</v>
      </c>
      <c r="K2365" s="12" t="str">
        <f t="shared" si="242"/>
        <v>SocialOomph</v>
      </c>
      <c r="L2365" s="16">
        <v>13031.0</v>
      </c>
      <c r="M2365" s="16">
        <v>11650.0</v>
      </c>
      <c r="N2365" s="16">
        <v>219.0</v>
      </c>
      <c r="O2365" s="17"/>
      <c r="P2365" s="18">
        <v>42470.67052083333</v>
      </c>
      <c r="Q2365" s="1" t="s">
        <v>251</v>
      </c>
      <c r="R2365" s="1" t="s">
        <v>252</v>
      </c>
      <c r="S2365" s="13" t="s">
        <v>253</v>
      </c>
      <c r="T2365" s="14"/>
      <c r="U2365" s="19" t="str">
        <f>HYPERLINK("https://pbs.twimg.com/profile_images/1123407512743612416/g721ra2J.png","View")</f>
        <v>View</v>
      </c>
      <c r="V2365" s="14"/>
      <c r="W2365" s="14"/>
      <c r="X2365" s="14"/>
      <c r="Y2365" s="14"/>
      <c r="Z2365" s="14"/>
    </row>
    <row r="2366">
      <c r="A2366" s="11">
        <v>43843.572604166664</v>
      </c>
      <c r="B2366" s="12" t="str">
        <f>HYPERLINK("https://twitter.com/WeBuyHomes_Cash","@WeBuyHomes_Cash")</f>
        <v>@WeBuyHomes_Cash</v>
      </c>
      <c r="C2366" s="1" t="s">
        <v>10657</v>
      </c>
      <c r="D2366" s="1" t="s">
        <v>10658</v>
      </c>
      <c r="E2366" s="12" t="str">
        <f>HYPERLINK("https://twitter.com/WeBuyHomes_Cash/status/1216793170417111040","1216793170417111040")</f>
        <v>1216793170417111040</v>
      </c>
      <c r="F2366" s="13" t="s">
        <v>10659</v>
      </c>
      <c r="G2366" s="13" t="s">
        <v>10660</v>
      </c>
      <c r="H2366" s="14"/>
      <c r="I2366" s="15">
        <v>0.0</v>
      </c>
      <c r="J2366" s="15">
        <v>0.0</v>
      </c>
      <c r="K2366" s="12" t="str">
        <f>HYPERLINK("https://dlvrit.com/","dlvr.it")</f>
        <v>dlvr.it</v>
      </c>
      <c r="L2366" s="16">
        <v>1393.0</v>
      </c>
      <c r="M2366" s="16">
        <v>9.0</v>
      </c>
      <c r="N2366" s="16">
        <v>3.0</v>
      </c>
      <c r="O2366" s="17"/>
      <c r="P2366" s="18">
        <v>42455.81273148148</v>
      </c>
      <c r="Q2366" s="1" t="s">
        <v>2015</v>
      </c>
      <c r="R2366" s="1" t="s">
        <v>10661</v>
      </c>
      <c r="S2366" s="13" t="s">
        <v>10662</v>
      </c>
      <c r="T2366" s="14"/>
      <c r="U2366" s="19" t="str">
        <f>HYPERLINK("https://pbs.twimg.com/profile_images/713880360191438852/wpPmwJ8u.jpg","View")</f>
        <v>View</v>
      </c>
      <c r="V2366" s="14"/>
      <c r="W2366" s="14"/>
      <c r="X2366" s="14"/>
      <c r="Y2366" s="14"/>
      <c r="Z2366" s="14"/>
    </row>
    <row r="2367">
      <c r="A2367" s="11">
        <v>43843.56738425926</v>
      </c>
      <c r="B2367" s="12" t="str">
        <f>HYPERLINK("https://twitter.com/CYMH_ON","@CYMH_ON")</f>
        <v>@CYMH_ON</v>
      </c>
      <c r="C2367" s="1" t="s">
        <v>10663</v>
      </c>
      <c r="D2367" s="1" t="s">
        <v>10664</v>
      </c>
      <c r="E2367" s="12" t="str">
        <f>HYPERLINK("https://twitter.com/CYMH_ON/status/1216791279201288192","1216791279201288192")</f>
        <v>1216791279201288192</v>
      </c>
      <c r="F2367" s="14"/>
      <c r="G2367" s="13" t="s">
        <v>10665</v>
      </c>
      <c r="H2367" s="14"/>
      <c r="I2367" s="15">
        <v>2.0</v>
      </c>
      <c r="J2367" s="15">
        <v>7.0</v>
      </c>
      <c r="K2367" s="12" t="str">
        <f>HYPERLINK("https://sproutsocial.com","Sprout Social")</f>
        <v>Sprout Social</v>
      </c>
      <c r="L2367" s="16">
        <v>4564.0</v>
      </c>
      <c r="M2367" s="16">
        <v>602.0</v>
      </c>
      <c r="N2367" s="16">
        <v>107.0</v>
      </c>
      <c r="O2367" s="17"/>
      <c r="P2367" s="18">
        <v>40588.83384259259</v>
      </c>
      <c r="Q2367" s="1" t="s">
        <v>2904</v>
      </c>
      <c r="R2367" s="1" t="s">
        <v>10666</v>
      </c>
      <c r="S2367" s="13" t="s">
        <v>10667</v>
      </c>
      <c r="T2367" s="14"/>
      <c r="U2367" s="19" t="str">
        <f>HYPERLINK("https://pbs.twimg.com/profile_images/1191770414709714944/M_CIG468.jpg","View")</f>
        <v>View</v>
      </c>
      <c r="V2367" s="14"/>
      <c r="W2367" s="14"/>
      <c r="X2367" s="14"/>
      <c r="Y2367" s="14"/>
      <c r="Z2367" s="14"/>
    </row>
    <row r="2368">
      <c r="A2368" s="11">
        <v>43843.565300925926</v>
      </c>
      <c r="B2368" s="12" t="str">
        <f>HYPERLINK("https://twitter.com/nanotrac","@nanotrac")</f>
        <v>@nanotrac</v>
      </c>
      <c r="C2368" s="1" t="s">
        <v>10668</v>
      </c>
      <c r="D2368" s="1" t="s">
        <v>10669</v>
      </c>
      <c r="E2368" s="12" t="str">
        <f>HYPERLINK("https://twitter.com/nanotrac/status/1216790525929353216","1216790525929353216")</f>
        <v>1216790525929353216</v>
      </c>
      <c r="F2368" s="13" t="s">
        <v>10670</v>
      </c>
      <c r="G2368" s="13" t="s">
        <v>10671</v>
      </c>
      <c r="H2368" s="14"/>
      <c r="I2368" s="15">
        <v>4.0</v>
      </c>
      <c r="J2368" s="15">
        <v>0.0</v>
      </c>
      <c r="K2368" s="12" t="str">
        <f>HYPERLINK("https://dlvrit.com/","dlvr.it")</f>
        <v>dlvr.it</v>
      </c>
      <c r="L2368" s="16">
        <v>2560.0</v>
      </c>
      <c r="M2368" s="16">
        <v>2171.0</v>
      </c>
      <c r="N2368" s="16">
        <v>184.0</v>
      </c>
      <c r="O2368" s="17"/>
      <c r="P2368" s="18">
        <v>40867.523680555554</v>
      </c>
      <c r="Q2368" s="1" t="s">
        <v>1075</v>
      </c>
      <c r="R2368" s="1" t="s">
        <v>10672</v>
      </c>
      <c r="S2368" s="14"/>
      <c r="T2368" s="14"/>
      <c r="U2368" s="19" t="str">
        <f>HYPERLINK("https://pbs.twimg.com/profile_images/1083810907938082816/_mroUJM9.jpg","View")</f>
        <v>View</v>
      </c>
      <c r="V2368" s="14"/>
      <c r="W2368" s="14"/>
      <c r="X2368" s="14"/>
      <c r="Y2368" s="14"/>
      <c r="Z2368" s="14"/>
    </row>
    <row r="2369">
      <c r="A2369" s="11">
        <v>43843.565150462964</v>
      </c>
      <c r="B2369" s="12" t="str">
        <f>HYPERLINK("https://twitter.com/WEBenefitsBC","@WEBenefitsBC")</f>
        <v>@WEBenefitsBC</v>
      </c>
      <c r="C2369" s="1" t="s">
        <v>10673</v>
      </c>
      <c r="D2369" s="1" t="s">
        <v>10674</v>
      </c>
      <c r="E2369" s="12" t="str">
        <f>HYPERLINK("https://twitter.com/WEBenefitsBC/status/1216790468404473858","1216790468404473858")</f>
        <v>1216790468404473858</v>
      </c>
      <c r="F2369" s="13" t="s">
        <v>10675</v>
      </c>
      <c r="G2369" s="13" t="s">
        <v>10676</v>
      </c>
      <c r="H2369" s="14"/>
      <c r="I2369" s="15">
        <v>2.0</v>
      </c>
      <c r="J2369" s="15">
        <v>4.0</v>
      </c>
      <c r="K2369" s="12" t="str">
        <f t="shared" ref="K2369:K2370" si="243">HYPERLINK("https://mobile.twitter.com","Twitter Web App")</f>
        <v>Twitter Web App</v>
      </c>
      <c r="L2369" s="16">
        <v>32.0</v>
      </c>
      <c r="M2369" s="16">
        <v>255.0</v>
      </c>
      <c r="N2369" s="16">
        <v>0.0</v>
      </c>
      <c r="O2369" s="17"/>
      <c r="P2369" s="18">
        <v>43676.550208333334</v>
      </c>
      <c r="Q2369" s="1" t="s">
        <v>10677</v>
      </c>
      <c r="R2369" s="1" t="s">
        <v>10678</v>
      </c>
      <c r="S2369" s="13" t="s">
        <v>10679</v>
      </c>
      <c r="T2369" s="14"/>
      <c r="U2369" s="19" t="str">
        <f>HYPERLINK("https://pbs.twimg.com/profile_images/1176932858234933248/5JFmjULM.jpg","View")</f>
        <v>View</v>
      </c>
      <c r="V2369" s="14"/>
      <c r="W2369" s="14"/>
      <c r="X2369" s="14"/>
      <c r="Y2369" s="14"/>
      <c r="Z2369" s="14"/>
    </row>
    <row r="2370">
      <c r="A2370" s="11">
        <v>43843.56505787037</v>
      </c>
      <c r="B2370" s="12" t="str">
        <f>HYPERLINK("https://twitter.com/jacquelynfisher","@jacquelynfisher")</f>
        <v>@jacquelynfisher</v>
      </c>
      <c r="C2370" s="1" t="s">
        <v>10680</v>
      </c>
      <c r="D2370" s="1" t="s">
        <v>10681</v>
      </c>
      <c r="E2370" s="12" t="str">
        <f>HYPERLINK("https://twitter.com/jacquelynfisher/status/1216790435328192512","1216790435328192512")</f>
        <v>1216790435328192512</v>
      </c>
      <c r="F2370" s="14"/>
      <c r="G2370" s="13" t="s">
        <v>10682</v>
      </c>
      <c r="H2370" s="14"/>
      <c r="I2370" s="15">
        <v>0.0</v>
      </c>
      <c r="J2370" s="15">
        <v>0.0</v>
      </c>
      <c r="K2370" s="12" t="str">
        <f t="shared" si="243"/>
        <v>Twitter Web App</v>
      </c>
      <c r="L2370" s="16">
        <v>479.0</v>
      </c>
      <c r="M2370" s="16">
        <v>481.0</v>
      </c>
      <c r="N2370" s="16">
        <v>33.0</v>
      </c>
      <c r="O2370" s="17"/>
      <c r="P2370" s="18">
        <v>39824.660729166666</v>
      </c>
      <c r="Q2370" s="1" t="s">
        <v>2239</v>
      </c>
      <c r="R2370" s="1" t="s">
        <v>10683</v>
      </c>
      <c r="S2370" s="13" t="s">
        <v>10684</v>
      </c>
      <c r="T2370" s="14"/>
      <c r="U2370" s="19" t="str">
        <f>HYPERLINK("https://pbs.twimg.com/profile_images/1108785282428485633/HS3mWJgv.png","View")</f>
        <v>View</v>
      </c>
      <c r="V2370" s="14"/>
      <c r="W2370" s="14"/>
      <c r="X2370" s="14"/>
      <c r="Y2370" s="14"/>
      <c r="Z2370" s="14"/>
    </row>
    <row r="2371">
      <c r="A2371" s="11">
        <v>43843.56282407408</v>
      </c>
      <c r="B2371" s="12" t="str">
        <f>HYPERLINK("https://twitter.com/AdvanceRecovery","@AdvanceRecovery")</f>
        <v>@AdvanceRecovery</v>
      </c>
      <c r="C2371" s="1" t="s">
        <v>10685</v>
      </c>
      <c r="D2371" s="1" t="s">
        <v>10686</v>
      </c>
      <c r="E2371" s="12" t="str">
        <f>HYPERLINK("https://twitter.com/AdvanceRecovery/status/1216789627702517760","1216789627702517760")</f>
        <v>1216789627702517760</v>
      </c>
      <c r="F2371" s="14"/>
      <c r="G2371" s="13" t="s">
        <v>10687</v>
      </c>
      <c r="H2371" s="14"/>
      <c r="I2371" s="15">
        <v>0.0</v>
      </c>
      <c r="J2371" s="15">
        <v>1.0</v>
      </c>
      <c r="K2371" s="12" t="str">
        <f>HYPERLINK("http://twitter.com/download/iphone","Twitter for iPhone")</f>
        <v>Twitter for iPhone</v>
      </c>
      <c r="L2371" s="16">
        <v>355.0</v>
      </c>
      <c r="M2371" s="16">
        <v>250.0</v>
      </c>
      <c r="N2371" s="16">
        <v>28.0</v>
      </c>
      <c r="O2371" s="17"/>
      <c r="P2371" s="18">
        <v>41484.34136574074</v>
      </c>
      <c r="Q2371" s="1" t="s">
        <v>10688</v>
      </c>
      <c r="R2371" s="1" t="s">
        <v>10689</v>
      </c>
      <c r="S2371" s="13" t="s">
        <v>10690</v>
      </c>
      <c r="T2371" s="14"/>
      <c r="U2371" s="19" t="str">
        <f>HYPERLINK("https://pbs.twimg.com/profile_images/855565393393483778/8Xh_u6h3.jpg","View")</f>
        <v>View</v>
      </c>
      <c r="V2371" s="14"/>
      <c r="W2371" s="14"/>
      <c r="X2371" s="14"/>
      <c r="Y2371" s="14"/>
      <c r="Z2371" s="14"/>
    </row>
    <row r="2372">
      <c r="A2372" s="11">
        <v>43843.56255787037</v>
      </c>
      <c r="B2372" s="12" t="str">
        <f>HYPERLINK("https://twitter.com/HerbalGardenFL","@HerbalGardenFL")</f>
        <v>@HerbalGardenFL</v>
      </c>
      <c r="C2372" s="1" t="s">
        <v>1803</v>
      </c>
      <c r="D2372" s="1" t="s">
        <v>10691</v>
      </c>
      <c r="E2372" s="12" t="str">
        <f>HYPERLINK("https://twitter.com/HerbalGardenFL/status/1216789528897257472","1216789528897257472")</f>
        <v>1216789528897257472</v>
      </c>
      <c r="F2372" s="1" t="s">
        <v>10692</v>
      </c>
      <c r="G2372" s="14"/>
      <c r="H2372" s="14"/>
      <c r="I2372" s="15">
        <v>0.0</v>
      </c>
      <c r="J2372" s="15">
        <v>1.0</v>
      </c>
      <c r="K2372" s="12" t="str">
        <f>HYPERLINK("https://kuku.io","Link account with KUKU.io")</f>
        <v>Link account with KUKU.io</v>
      </c>
      <c r="L2372" s="16">
        <v>129.0</v>
      </c>
      <c r="M2372" s="16">
        <v>90.0</v>
      </c>
      <c r="N2372" s="16">
        <v>3.0</v>
      </c>
      <c r="O2372" s="17"/>
      <c r="P2372" s="18">
        <v>41130.93263888889</v>
      </c>
      <c r="Q2372" s="1" t="s">
        <v>1806</v>
      </c>
      <c r="R2372" s="1" t="s">
        <v>1807</v>
      </c>
      <c r="S2372" s="13" t="s">
        <v>1808</v>
      </c>
      <c r="T2372" s="14"/>
      <c r="U2372" s="19" t="str">
        <f>HYPERLINK("https://pbs.twimg.com/profile_images/713345260160679936/WZnIHWw4.jpg","View")</f>
        <v>View</v>
      </c>
      <c r="V2372" s="14"/>
      <c r="W2372" s="14"/>
      <c r="X2372" s="14"/>
      <c r="Y2372" s="14"/>
      <c r="Z2372" s="14"/>
    </row>
    <row r="2373">
      <c r="A2373" s="11">
        <v>43843.55616898148</v>
      </c>
      <c r="B2373" s="12" t="str">
        <f>HYPERLINK("https://twitter.com/naturalhealthbl","@naturalhealthbl")</f>
        <v>@naturalhealthbl</v>
      </c>
      <c r="C2373" s="1" t="s">
        <v>259</v>
      </c>
      <c r="D2373" s="1" t="s">
        <v>10693</v>
      </c>
      <c r="E2373" s="12" t="str">
        <f>HYPERLINK("https://twitter.com/naturalhealthbl/status/1216787215390515200","1216787215390515200")</f>
        <v>1216787215390515200</v>
      </c>
      <c r="F2373" s="1" t="s">
        <v>10694</v>
      </c>
      <c r="G2373" s="13" t="s">
        <v>10695</v>
      </c>
      <c r="H2373" s="14"/>
      <c r="I2373" s="15">
        <v>1.0</v>
      </c>
      <c r="J2373" s="15">
        <v>2.0</v>
      </c>
      <c r="K2373" s="12" t="str">
        <f>HYPERLINK("https://mobile.twitter.com","Twitter Web App")</f>
        <v>Twitter Web App</v>
      </c>
      <c r="L2373" s="16">
        <v>1793.0</v>
      </c>
      <c r="M2373" s="16">
        <v>1569.0</v>
      </c>
      <c r="N2373" s="16">
        <v>180.0</v>
      </c>
      <c r="O2373" s="17"/>
      <c r="P2373" s="18">
        <v>41475.38408564815</v>
      </c>
      <c r="Q2373" s="1" t="s">
        <v>263</v>
      </c>
      <c r="R2373" s="1" t="s">
        <v>264</v>
      </c>
      <c r="S2373" s="13" t="s">
        <v>265</v>
      </c>
      <c r="T2373" s="14"/>
      <c r="U2373" s="19" t="str">
        <f>HYPERLINK("https://pbs.twimg.com/profile_images/1217967343135023105/rnonJTby.jpg","View")</f>
        <v>View</v>
      </c>
      <c r="V2373" s="14"/>
      <c r="W2373" s="14"/>
      <c r="X2373" s="14"/>
      <c r="Y2373" s="14"/>
      <c r="Z2373" s="14"/>
    </row>
    <row r="2374">
      <c r="A2374" s="11">
        <v>43843.555613425924</v>
      </c>
      <c r="B2374" s="12" t="str">
        <f>HYPERLINK("https://twitter.com/thegirlinline","@thegirlinline")</f>
        <v>@thegirlinline</v>
      </c>
      <c r="C2374" s="1" t="s">
        <v>2791</v>
      </c>
      <c r="D2374" s="1" t="s">
        <v>10696</v>
      </c>
      <c r="E2374" s="12" t="str">
        <f>HYPERLINK("https://twitter.com/thegirlinline/status/1216787012117766146","1216787012117766146")</f>
        <v>1216787012117766146</v>
      </c>
      <c r="F2374" s="14"/>
      <c r="G2374" s="13" t="s">
        <v>10697</v>
      </c>
      <c r="H2374" s="14"/>
      <c r="I2374" s="15">
        <v>0.0</v>
      </c>
      <c r="J2374" s="15">
        <v>0.0</v>
      </c>
      <c r="K2374" s="12" t="str">
        <f>HYPERLINK("http://twitter.com/download/iphone","Twitter for iPhone")</f>
        <v>Twitter for iPhone</v>
      </c>
      <c r="L2374" s="16">
        <v>480.0</v>
      </c>
      <c r="M2374" s="16">
        <v>1204.0</v>
      </c>
      <c r="N2374" s="16">
        <v>0.0</v>
      </c>
      <c r="O2374" s="17"/>
      <c r="P2374" s="18">
        <v>43143.48495370371</v>
      </c>
      <c r="Q2374" s="1" t="s">
        <v>2794</v>
      </c>
      <c r="R2374" s="1" t="s">
        <v>2795</v>
      </c>
      <c r="S2374" s="13" t="s">
        <v>2796</v>
      </c>
      <c r="T2374" s="14"/>
      <c r="U2374" s="19" t="str">
        <f>HYPERLINK("https://pbs.twimg.com/profile_images/963090690451431424/tTMHPgcH.jpg","View")</f>
        <v>View</v>
      </c>
      <c r="V2374" s="14"/>
      <c r="W2374" s="14"/>
      <c r="X2374" s="14"/>
      <c r="Y2374" s="14"/>
      <c r="Z2374" s="14"/>
    </row>
    <row r="2375">
      <c r="A2375" s="11">
        <v>43843.55482638889</v>
      </c>
      <c r="B2375" s="12" t="str">
        <f>HYPERLINK("https://twitter.com/gaylecarson","@gaylecarson")</f>
        <v>@gaylecarson</v>
      </c>
      <c r="C2375" s="1" t="s">
        <v>10698</v>
      </c>
      <c r="D2375" s="1" t="s">
        <v>10699</v>
      </c>
      <c r="E2375" s="12" t="str">
        <f>HYPERLINK("https://twitter.com/gaylecarson/status/1216786729648246785","1216786729648246785")</f>
        <v>1216786729648246785</v>
      </c>
      <c r="F2375" s="13" t="s">
        <v>10700</v>
      </c>
      <c r="G2375" s="14"/>
      <c r="H2375" s="14"/>
      <c r="I2375" s="15">
        <v>0.0</v>
      </c>
      <c r="J2375" s="15">
        <v>0.0</v>
      </c>
      <c r="K2375" s="12" t="str">
        <f>HYPERLINK("https://panel.socialpilot.co/","SocialPilot.co")</f>
        <v>SocialPilot.co</v>
      </c>
      <c r="L2375" s="16">
        <v>1201.0</v>
      </c>
      <c r="M2375" s="16">
        <v>1358.0</v>
      </c>
      <c r="N2375" s="16">
        <v>39.0</v>
      </c>
      <c r="O2375" s="17"/>
      <c r="P2375" s="18">
        <v>39797.56502314815</v>
      </c>
      <c r="Q2375" s="1" t="s">
        <v>10701</v>
      </c>
      <c r="R2375" s="1" t="s">
        <v>10702</v>
      </c>
      <c r="S2375" s="13" t="s">
        <v>10703</v>
      </c>
      <c r="T2375" s="14"/>
      <c r="U2375" s="19" t="str">
        <f>HYPERLINK("https://pbs.twimg.com/profile_images/529690020932624384/aZCVf4l4.jpeg","View")</f>
        <v>View</v>
      </c>
      <c r="V2375" s="14"/>
      <c r="W2375" s="14"/>
      <c r="X2375" s="14"/>
      <c r="Y2375" s="14"/>
      <c r="Z2375" s="14"/>
    </row>
    <row r="2376">
      <c r="A2376" s="11">
        <v>43843.55384259259</v>
      </c>
      <c r="B2376" s="12" t="str">
        <f>HYPERLINK("https://twitter.com/Catalyst2Thrive","@Catalyst2Thrive")</f>
        <v>@Catalyst2Thrive</v>
      </c>
      <c r="C2376" s="1" t="s">
        <v>10704</v>
      </c>
      <c r="D2376" s="1" t="s">
        <v>10705</v>
      </c>
      <c r="E2376" s="12" t="str">
        <f>HYPERLINK("https://twitter.com/Catalyst2Thrive/status/1216786373820256263","1216786373820256263")</f>
        <v>1216786373820256263</v>
      </c>
      <c r="F2376" s="13" t="s">
        <v>10706</v>
      </c>
      <c r="G2376" s="14"/>
      <c r="H2376" s="14"/>
      <c r="I2376" s="15">
        <v>2.0</v>
      </c>
      <c r="J2376" s="15">
        <v>6.0</v>
      </c>
      <c r="K2376" s="12" t="str">
        <f>HYPERLINK("https://mobile.twitter.com","Twitter Web App")</f>
        <v>Twitter Web App</v>
      </c>
      <c r="L2376" s="16">
        <v>862.0</v>
      </c>
      <c r="M2376" s="16">
        <v>903.0</v>
      </c>
      <c r="N2376" s="16">
        <v>43.0</v>
      </c>
      <c r="O2376" s="17"/>
      <c r="P2376" s="18">
        <v>41747.784317129626</v>
      </c>
      <c r="Q2376" s="1" t="s">
        <v>10707</v>
      </c>
      <c r="R2376" s="1" t="s">
        <v>10708</v>
      </c>
      <c r="S2376" s="13" t="s">
        <v>10709</v>
      </c>
      <c r="T2376" s="14"/>
      <c r="U2376" s="19" t="str">
        <f>HYPERLINK("https://pbs.twimg.com/profile_images/1206994183208275968/fPLAc44i.jpg","View")</f>
        <v>View</v>
      </c>
      <c r="V2376" s="14"/>
      <c r="W2376" s="14"/>
      <c r="X2376" s="14"/>
      <c r="Y2376" s="14"/>
      <c r="Z2376" s="14"/>
    </row>
    <row r="2377">
      <c r="A2377" s="11">
        <v>43843.55278935185</v>
      </c>
      <c r="B2377" s="12" t="str">
        <f>HYPERLINK("https://twitter.com/Designs4Health","@Designs4Health")</f>
        <v>@Designs4Health</v>
      </c>
      <c r="C2377" s="1" t="s">
        <v>10710</v>
      </c>
      <c r="D2377" s="1" t="s">
        <v>10711</v>
      </c>
      <c r="E2377" s="12" t="str">
        <f>HYPERLINK("https://twitter.com/Designs4Health/status/1216785991027085312","1216785991027085312")</f>
        <v>1216785991027085312</v>
      </c>
      <c r="F2377" s="13" t="s">
        <v>10712</v>
      </c>
      <c r="G2377" s="13" t="s">
        <v>10713</v>
      </c>
      <c r="H2377" s="14"/>
      <c r="I2377" s="15">
        <v>0.0</v>
      </c>
      <c r="J2377" s="15">
        <v>0.0</v>
      </c>
      <c r="K2377" s="12" t="str">
        <f>HYPERLINK("https://www.oktopost.com","Oktopost")</f>
        <v>Oktopost</v>
      </c>
      <c r="L2377" s="16">
        <v>4440.0</v>
      </c>
      <c r="M2377" s="16">
        <v>2063.0</v>
      </c>
      <c r="N2377" s="16">
        <v>148.0</v>
      </c>
      <c r="O2377" s="17"/>
      <c r="P2377" s="18">
        <v>40250.30866898148</v>
      </c>
      <c r="Q2377" s="1" t="s">
        <v>8633</v>
      </c>
      <c r="R2377" s="1" t="s">
        <v>10714</v>
      </c>
      <c r="S2377" s="13" t="s">
        <v>10715</v>
      </c>
      <c r="T2377" s="14"/>
      <c r="U2377" s="19" t="str">
        <f>HYPERLINK("https://pbs.twimg.com/profile_images/1058091597978574848/f72HYx5E.jpg","View")</f>
        <v>View</v>
      </c>
      <c r="V2377" s="14"/>
      <c r="W2377" s="14"/>
      <c r="X2377" s="14"/>
      <c r="Y2377" s="14"/>
      <c r="Z2377" s="14"/>
    </row>
    <row r="2378">
      <c r="A2378" s="11">
        <v>43843.55</v>
      </c>
      <c r="B2378" s="12" t="str">
        <f>HYPERLINK("https://twitter.com/Hot_Koko09","@Hot_Koko09")</f>
        <v>@Hot_Koko09</v>
      </c>
      <c r="C2378" s="1" t="s">
        <v>10716</v>
      </c>
      <c r="D2378" s="1" t="s">
        <v>10717</v>
      </c>
      <c r="E2378" s="12" t="str">
        <f>HYPERLINK("https://twitter.com/Hot_Koko09/status/1216784978618605569","1216784978618605569")</f>
        <v>1216784978618605569</v>
      </c>
      <c r="F2378" s="14"/>
      <c r="G2378" s="13" t="s">
        <v>10718</v>
      </c>
      <c r="H2378" s="14"/>
      <c r="I2378" s="15">
        <v>0.0</v>
      </c>
      <c r="J2378" s="15">
        <v>1.0</v>
      </c>
      <c r="K2378" s="12" t="str">
        <f>HYPERLINK("https://mobile.twitter.com","Twitter Web App")</f>
        <v>Twitter Web App</v>
      </c>
      <c r="L2378" s="16">
        <v>71.0</v>
      </c>
      <c r="M2378" s="16">
        <v>80.0</v>
      </c>
      <c r="N2378" s="16">
        <v>0.0</v>
      </c>
      <c r="O2378" s="17"/>
      <c r="P2378" s="18">
        <v>43112.39130787037</v>
      </c>
      <c r="Q2378" s="1" t="s">
        <v>10719</v>
      </c>
      <c r="R2378" s="1" t="s">
        <v>10720</v>
      </c>
      <c r="S2378" s="14"/>
      <c r="T2378" s="14"/>
      <c r="U2378" s="19" t="str">
        <f>HYPERLINK("https://pbs.twimg.com/profile_images/1212562226428760065/txMh29Fq.jpg","View")</f>
        <v>View</v>
      </c>
      <c r="V2378" s="14"/>
      <c r="W2378" s="14"/>
      <c r="X2378" s="14"/>
      <c r="Y2378" s="14"/>
      <c r="Z2378" s="14"/>
    </row>
    <row r="2379">
      <c r="A2379" s="11">
        <v>43843.54996527778</v>
      </c>
      <c r="B2379" s="12" t="str">
        <f>HYPERLINK("https://twitter.com/DronfieldCBT4U","@DronfieldCBT4U")</f>
        <v>@DronfieldCBT4U</v>
      </c>
      <c r="C2379" s="1" t="s">
        <v>9679</v>
      </c>
      <c r="D2379" s="1" t="s">
        <v>10721</v>
      </c>
      <c r="E2379" s="12" t="str">
        <f>HYPERLINK("https://twitter.com/DronfieldCBT4U/status/1216784966308319232","1216784966308319232")</f>
        <v>1216784966308319232</v>
      </c>
      <c r="F2379" s="13" t="s">
        <v>10722</v>
      </c>
      <c r="G2379" s="13" t="s">
        <v>10723</v>
      </c>
      <c r="H2379" s="14"/>
      <c r="I2379" s="15">
        <v>1.0</v>
      </c>
      <c r="J2379" s="15">
        <v>0.0</v>
      </c>
      <c r="K2379" s="12" t="str">
        <f>HYPERLINK("https://www.hootsuite.com","Hootsuite Inc.")</f>
        <v>Hootsuite Inc.</v>
      </c>
      <c r="L2379" s="16">
        <v>403.0</v>
      </c>
      <c r="M2379" s="16">
        <v>647.0</v>
      </c>
      <c r="N2379" s="16">
        <v>16.0</v>
      </c>
      <c r="O2379" s="17"/>
      <c r="P2379" s="18">
        <v>42218.572430555556</v>
      </c>
      <c r="Q2379" s="1" t="s">
        <v>9682</v>
      </c>
      <c r="R2379" s="1" t="s">
        <v>9683</v>
      </c>
      <c r="S2379" s="13" t="s">
        <v>9684</v>
      </c>
      <c r="T2379" s="14"/>
      <c r="U2379" s="19" t="str">
        <f>HYPERLINK("https://pbs.twimg.com/profile_images/1148218899831410688/Vv_yflJV.png","View")</f>
        <v>View</v>
      </c>
      <c r="V2379" s="14"/>
      <c r="W2379" s="14"/>
      <c r="X2379" s="14"/>
      <c r="Y2379" s="14"/>
      <c r="Z2379" s="14"/>
    </row>
    <row r="2380">
      <c r="A2380" s="11">
        <v>43843.54893518519</v>
      </c>
      <c r="B2380" s="12" t="str">
        <f>HYPERLINK("https://twitter.com/Beezy_1986","@Beezy_1986")</f>
        <v>@Beezy_1986</v>
      </c>
      <c r="C2380" s="1" t="s">
        <v>10724</v>
      </c>
      <c r="D2380" s="1" t="s">
        <v>10725</v>
      </c>
      <c r="E2380" s="12" t="str">
        <f>HYPERLINK("https://twitter.com/Beezy_1986/status/1216784591878488066","1216784591878488066")</f>
        <v>1216784591878488066</v>
      </c>
      <c r="F2380" s="14"/>
      <c r="G2380" s="14"/>
      <c r="H2380" s="14"/>
      <c r="I2380" s="15">
        <v>0.0</v>
      </c>
      <c r="J2380" s="15">
        <v>2.0</v>
      </c>
      <c r="K2380" s="12" t="str">
        <f>HYPERLINK("http://twitter.com/download/iphone","Twitter for iPhone")</f>
        <v>Twitter for iPhone</v>
      </c>
      <c r="L2380" s="16">
        <v>249.0</v>
      </c>
      <c r="M2380" s="16">
        <v>692.0</v>
      </c>
      <c r="N2380" s="16">
        <v>18.0</v>
      </c>
      <c r="O2380" s="17"/>
      <c r="P2380" s="18">
        <v>40639.957974537036</v>
      </c>
      <c r="Q2380" s="1" t="s">
        <v>10726</v>
      </c>
      <c r="R2380" s="1" t="s">
        <v>10727</v>
      </c>
      <c r="S2380" s="14"/>
      <c r="T2380" s="14"/>
      <c r="U2380" s="19" t="str">
        <f>HYPERLINK("https://pbs.twimg.com/profile_images/1181919629947609089/fu6DkIHB.jpg","View")</f>
        <v>View</v>
      </c>
      <c r="V2380" s="14"/>
      <c r="W2380" s="14"/>
      <c r="X2380" s="14"/>
      <c r="Y2380" s="14"/>
      <c r="Z2380" s="14"/>
    </row>
    <row r="2381">
      <c r="A2381" s="11">
        <v>43843.5458912037</v>
      </c>
      <c r="B2381" s="12" t="str">
        <f>HYPERLINK("https://twitter.com/EJBiotechnology","@EJBiotechnology")</f>
        <v>@EJBiotechnology</v>
      </c>
      <c r="C2381" s="1" t="s">
        <v>10728</v>
      </c>
      <c r="D2381" s="1" t="s">
        <v>10729</v>
      </c>
      <c r="E2381" s="12" t="str">
        <f>HYPERLINK("https://twitter.com/EJBiotechnology/status/1216783491599413248","1216783491599413248")</f>
        <v>1216783491599413248</v>
      </c>
      <c r="F2381" s="13" t="s">
        <v>10730</v>
      </c>
      <c r="G2381" s="13" t="s">
        <v>10731</v>
      </c>
      <c r="H2381" s="14"/>
      <c r="I2381" s="15">
        <v>0.0</v>
      </c>
      <c r="J2381" s="15">
        <v>1.0</v>
      </c>
      <c r="K2381" s="12" t="str">
        <f>HYPERLINK("https://mobile.twitter.com","Twitter Web App")</f>
        <v>Twitter Web App</v>
      </c>
      <c r="L2381" s="16">
        <v>516.0</v>
      </c>
      <c r="M2381" s="16">
        <v>338.0</v>
      </c>
      <c r="N2381" s="16">
        <v>36.0</v>
      </c>
      <c r="O2381" s="17"/>
      <c r="P2381" s="18">
        <v>41403.915601851855</v>
      </c>
      <c r="Q2381" s="1" t="s">
        <v>10732</v>
      </c>
      <c r="R2381" s="1" t="s">
        <v>10733</v>
      </c>
      <c r="S2381" s="13" t="s">
        <v>10734</v>
      </c>
      <c r="T2381" s="14"/>
      <c r="U2381" s="19" t="str">
        <f>HYPERLINK("https://pbs.twimg.com/profile_images/661530540961607680/H2Pabhnz.jpg","View")</f>
        <v>View</v>
      </c>
      <c r="V2381" s="14"/>
      <c r="W2381" s="14"/>
      <c r="X2381" s="14"/>
      <c r="Y2381" s="14"/>
      <c r="Z2381" s="14"/>
    </row>
    <row r="2382">
      <c r="A2382" s="11">
        <v>43843.54523148148</v>
      </c>
      <c r="B2382" s="12" t="str">
        <f>HYPERLINK("https://twitter.com/djemal_ua","@djemal_ua")</f>
        <v>@djemal_ua</v>
      </c>
      <c r="C2382" s="1" t="s">
        <v>2797</v>
      </c>
      <c r="D2382" s="1" t="s">
        <v>2798</v>
      </c>
      <c r="E2382" s="12" t="str">
        <f>HYPERLINK("https://twitter.com/djemal_ua/status/1216783250242383878","1216783250242383878")</f>
        <v>1216783250242383878</v>
      </c>
      <c r="F2382" s="13" t="s">
        <v>2799</v>
      </c>
      <c r="G2382" s="14"/>
      <c r="H2382" s="14"/>
      <c r="I2382" s="15">
        <v>0.0</v>
      </c>
      <c r="J2382" s="15">
        <v>0.0</v>
      </c>
      <c r="K2382" s="12" t="str">
        <f>HYPERLINK("https://www.hootsuite.com","Hootsuite Inc.")</f>
        <v>Hootsuite Inc.</v>
      </c>
      <c r="L2382" s="16">
        <v>5127.0</v>
      </c>
      <c r="M2382" s="16">
        <v>4724.0</v>
      </c>
      <c r="N2382" s="16">
        <v>60.0</v>
      </c>
      <c r="O2382" s="17"/>
      <c r="P2382" s="18">
        <v>43530.25729166667</v>
      </c>
      <c r="Q2382" s="1" t="s">
        <v>268</v>
      </c>
      <c r="R2382" s="1" t="s">
        <v>2800</v>
      </c>
      <c r="S2382" s="13" t="s">
        <v>2801</v>
      </c>
      <c r="T2382" s="14"/>
      <c r="U2382" s="19" t="str">
        <f>HYPERLINK("https://pbs.twimg.com/profile_images/1202978381106761728/aqUhVSTO.jpg","View")</f>
        <v>View</v>
      </c>
      <c r="V2382" s="14"/>
      <c r="W2382" s="14"/>
      <c r="X2382" s="14"/>
      <c r="Y2382" s="14"/>
      <c r="Z2382" s="14"/>
    </row>
    <row r="2383">
      <c r="A2383" s="11">
        <v>43843.542592592596</v>
      </c>
      <c r="B2383" s="12" t="str">
        <f>HYPERLINK("https://twitter.com/Maryvilleacupu1","@Maryvilleacupu1")</f>
        <v>@Maryvilleacupu1</v>
      </c>
      <c r="C2383" s="1" t="s">
        <v>10735</v>
      </c>
      <c r="D2383" s="1" t="s">
        <v>10736</v>
      </c>
      <c r="E2383" s="12" t="str">
        <f>HYPERLINK("https://twitter.com/Maryvilleacupu1/status/1216782293433487367","1216782293433487367")</f>
        <v>1216782293433487367</v>
      </c>
      <c r="F2383" s="14"/>
      <c r="G2383" s="13" t="s">
        <v>10737</v>
      </c>
      <c r="H2383" s="14"/>
      <c r="I2383" s="15">
        <v>0.0</v>
      </c>
      <c r="J2383" s="15">
        <v>0.0</v>
      </c>
      <c r="K2383" s="12" t="str">
        <f>HYPERLINK("https://www.later.com","LaterMedia")</f>
        <v>LaterMedia</v>
      </c>
      <c r="L2383" s="16">
        <v>9.0</v>
      </c>
      <c r="M2383" s="16">
        <v>36.0</v>
      </c>
      <c r="N2383" s="16">
        <v>0.0</v>
      </c>
      <c r="O2383" s="17"/>
      <c r="P2383" s="18">
        <v>43500.4921875</v>
      </c>
      <c r="Q2383" s="1" t="s">
        <v>10738</v>
      </c>
      <c r="R2383" s="1" t="s">
        <v>10739</v>
      </c>
      <c r="S2383" s="14"/>
      <c r="T2383" s="14"/>
      <c r="U2383" s="19" t="str">
        <f>HYPERLINK("https://pbs.twimg.com/profile_images/1126226636532342784/qiFlp1Ny.png","View")</f>
        <v>View</v>
      </c>
      <c r="V2383" s="14"/>
      <c r="W2383" s="14"/>
      <c r="X2383" s="14"/>
      <c r="Y2383" s="14"/>
      <c r="Z2383" s="14"/>
    </row>
    <row r="2384">
      <c r="A2384" s="11">
        <v>43843.53534722222</v>
      </c>
      <c r="B2384" s="12" t="str">
        <f>HYPERLINK("https://twitter.com/stabsangsters1","@stabsangsters1")</f>
        <v>@stabsangsters1</v>
      </c>
      <c r="C2384" s="1" t="s">
        <v>10740</v>
      </c>
      <c r="D2384" s="1" t="s">
        <v>10741</v>
      </c>
      <c r="E2384" s="12" t="str">
        <f>HYPERLINK("https://twitter.com/stabsangsters1/status/1216779667392409601","1216779667392409601")</f>
        <v>1216779667392409601</v>
      </c>
      <c r="F2384" s="14"/>
      <c r="G2384" s="13" t="s">
        <v>10742</v>
      </c>
      <c r="H2384" s="12" t="str">
        <f>HYPERLINK("https://ctrlq.org/maps/address/#53.61719984,-113.52706608","Map")</f>
        <v>Map</v>
      </c>
      <c r="I2384" s="15">
        <v>0.0</v>
      </c>
      <c r="J2384" s="15">
        <v>0.0</v>
      </c>
      <c r="K2384" s="12" t="str">
        <f>HYPERLINK("https://www.hootsuite.com","Hootsuite Inc.")</f>
        <v>Hootsuite Inc.</v>
      </c>
      <c r="L2384" s="16">
        <v>12.0</v>
      </c>
      <c r="M2384" s="16">
        <v>69.0</v>
      </c>
      <c r="N2384" s="16">
        <v>0.0</v>
      </c>
      <c r="O2384" s="17"/>
      <c r="P2384" s="18">
        <v>42741.771157407406</v>
      </c>
      <c r="Q2384" s="1" t="s">
        <v>10743</v>
      </c>
      <c r="R2384" s="1" t="s">
        <v>10744</v>
      </c>
      <c r="S2384" s="13" t="s">
        <v>10745</v>
      </c>
      <c r="T2384" s="14"/>
      <c r="U2384" s="19" t="str">
        <f>HYPERLINK("https://pbs.twimg.com/profile_images/817520968285437952/O3awRRKD.jpg","View")</f>
        <v>View</v>
      </c>
      <c r="V2384" s="14"/>
      <c r="W2384" s="14"/>
      <c r="X2384" s="14"/>
      <c r="Y2384" s="14"/>
      <c r="Z2384" s="14"/>
    </row>
    <row r="2385">
      <c r="A2385" s="11">
        <v>43843.534050925926</v>
      </c>
      <c r="B2385" s="12" t="str">
        <f>HYPERLINK("https://twitter.com/hempvet","@hempvet")</f>
        <v>@hempvet</v>
      </c>
      <c r="C2385" s="1" t="s">
        <v>10746</v>
      </c>
      <c r="D2385" s="1" t="s">
        <v>10747</v>
      </c>
      <c r="E2385" s="12" t="str">
        <f>HYPERLINK("https://twitter.com/hempvet/status/1216779200553721858","1216779200553721858")</f>
        <v>1216779200553721858</v>
      </c>
      <c r="F2385" s="13" t="s">
        <v>10748</v>
      </c>
      <c r="G2385" s="13" t="s">
        <v>10749</v>
      </c>
      <c r="H2385" s="14"/>
      <c r="I2385" s="15">
        <v>0.0</v>
      </c>
      <c r="J2385" s="15">
        <v>0.0</v>
      </c>
      <c r="K2385" s="12" t="str">
        <f>HYPERLINK("https://sproutsocial.com","Sprout Social")</f>
        <v>Sprout Social</v>
      </c>
      <c r="L2385" s="16">
        <v>192.0</v>
      </c>
      <c r="M2385" s="16">
        <v>511.0</v>
      </c>
      <c r="N2385" s="16">
        <v>2.0</v>
      </c>
      <c r="O2385" s="17"/>
      <c r="P2385" s="18">
        <v>42510.43274305556</v>
      </c>
      <c r="Q2385" s="1" t="s">
        <v>10750</v>
      </c>
      <c r="R2385" s="1" t="s">
        <v>10751</v>
      </c>
      <c r="S2385" s="13" t="s">
        <v>10752</v>
      </c>
      <c r="T2385" s="14"/>
      <c r="U2385" s="19" t="str">
        <f>HYPERLINK("https://pbs.twimg.com/profile_images/1147902407537496065/KuqutE68.png","View")</f>
        <v>View</v>
      </c>
      <c r="V2385" s="14"/>
      <c r="W2385" s="14"/>
      <c r="X2385" s="14"/>
      <c r="Y2385" s="14"/>
      <c r="Z2385" s="14"/>
    </row>
    <row r="2386">
      <c r="A2386" s="11">
        <v>43843.534050925926</v>
      </c>
      <c r="B2386" s="12" t="str">
        <f>HYPERLINK("https://twitter.com/leightremaine","@leightremaine")</f>
        <v>@leightremaine</v>
      </c>
      <c r="C2386" s="1" t="s">
        <v>10753</v>
      </c>
      <c r="D2386" s="1" t="s">
        <v>10754</v>
      </c>
      <c r="E2386" s="12" t="str">
        <f>HYPERLINK("https://twitter.com/leightremaine/status/1216779198095876096","1216779198095876096")</f>
        <v>1216779198095876096</v>
      </c>
      <c r="F2386" s="13" t="s">
        <v>10755</v>
      </c>
      <c r="G2386" s="14"/>
      <c r="H2386" s="14"/>
      <c r="I2386" s="15">
        <v>1.0</v>
      </c>
      <c r="J2386" s="15">
        <v>0.0</v>
      </c>
      <c r="K2386" s="12" t="str">
        <f>HYPERLINK("http://www.leightremaine.com","leightremane.com")</f>
        <v>leightremane.com</v>
      </c>
      <c r="L2386" s="16">
        <v>4611.0</v>
      </c>
      <c r="M2386" s="16">
        <v>4203.0</v>
      </c>
      <c r="N2386" s="16">
        <v>233.0</v>
      </c>
      <c r="O2386" s="17"/>
      <c r="P2386" s="18">
        <v>40854.260833333334</v>
      </c>
      <c r="Q2386" s="1" t="s">
        <v>864</v>
      </c>
      <c r="R2386" s="1" t="s">
        <v>10756</v>
      </c>
      <c r="S2386" s="13" t="s">
        <v>10757</v>
      </c>
      <c r="T2386" s="14"/>
      <c r="U2386" s="19" t="str">
        <f>HYPERLINK("https://pbs.twimg.com/profile_images/827305376215363585/fvkcgQU6.jpg","View")</f>
        <v>View</v>
      </c>
      <c r="V2386" s="14"/>
      <c r="W2386" s="14"/>
      <c r="X2386" s="14"/>
      <c r="Y2386" s="14"/>
      <c r="Z2386" s="14"/>
    </row>
    <row r="2387">
      <c r="A2387" s="11">
        <v>43843.53395833333</v>
      </c>
      <c r="B2387" s="12" t="str">
        <f>HYPERLINK("https://twitter.com/LawyersSummit","@LawyersSummit")</f>
        <v>@LawyersSummit</v>
      </c>
      <c r="C2387" s="1" t="s">
        <v>10758</v>
      </c>
      <c r="D2387" s="1" t="s">
        <v>10759</v>
      </c>
      <c r="E2387" s="12" t="str">
        <f>HYPERLINK("https://twitter.com/LawyersSummit/status/1216779165275426817","1216779165275426817")</f>
        <v>1216779165275426817</v>
      </c>
      <c r="F2387" s="13" t="s">
        <v>10760</v>
      </c>
      <c r="G2387" s="13" t="s">
        <v>10761</v>
      </c>
      <c r="H2387" s="14"/>
      <c r="I2387" s="15">
        <v>0.0</v>
      </c>
      <c r="J2387" s="15">
        <v>0.0</v>
      </c>
      <c r="K2387" s="12" t="str">
        <f t="shared" ref="K2387:K2388" si="244">HYPERLINK("https://mobile.twitter.com","Twitter Web App")</f>
        <v>Twitter Web App</v>
      </c>
      <c r="L2387" s="16">
        <v>6.0</v>
      </c>
      <c r="M2387" s="16">
        <v>14.0</v>
      </c>
      <c r="N2387" s="16">
        <v>0.0</v>
      </c>
      <c r="O2387" s="17"/>
      <c r="P2387" s="18">
        <v>43771.717685185184</v>
      </c>
      <c r="Q2387" s="14"/>
      <c r="R2387" s="1" t="s">
        <v>10762</v>
      </c>
      <c r="S2387" s="14"/>
      <c r="T2387" s="14"/>
      <c r="U2387" s="19" t="str">
        <f>HYPERLINK("https://pbs.twimg.com/profile_images/1190738866933776384/9jiF63LR.png","View")</f>
        <v>View</v>
      </c>
      <c r="V2387" s="14"/>
      <c r="W2387" s="14"/>
      <c r="X2387" s="14"/>
      <c r="Y2387" s="14"/>
      <c r="Z2387" s="14"/>
    </row>
    <row r="2388">
      <c r="A2388" s="11">
        <v>43843.53350694444</v>
      </c>
      <c r="B2388" s="12" t="str">
        <f>HYPERLINK("https://twitter.com/WeedStocksNews","@WeedStocksNews")</f>
        <v>@WeedStocksNews</v>
      </c>
      <c r="C2388" s="1" t="s">
        <v>10763</v>
      </c>
      <c r="D2388" s="1" t="s">
        <v>10764</v>
      </c>
      <c r="E2388" s="12" t="str">
        <f>HYPERLINK("https://twitter.com/WeedStocksNews/status/1216779003597590530","1216779003597590530")</f>
        <v>1216779003597590530</v>
      </c>
      <c r="F2388" s="13" t="s">
        <v>10765</v>
      </c>
      <c r="G2388" s="13" t="s">
        <v>10766</v>
      </c>
      <c r="H2388" s="14"/>
      <c r="I2388" s="15">
        <v>2.0</v>
      </c>
      <c r="J2388" s="15">
        <v>5.0</v>
      </c>
      <c r="K2388" s="12" t="str">
        <f t="shared" si="244"/>
        <v>Twitter Web App</v>
      </c>
      <c r="L2388" s="16">
        <v>6719.0</v>
      </c>
      <c r="M2388" s="16">
        <v>6897.0</v>
      </c>
      <c r="N2388" s="16">
        <v>38.0</v>
      </c>
      <c r="O2388" s="17"/>
      <c r="P2388" s="18">
        <v>43116.66302083334</v>
      </c>
      <c r="Q2388" s="14"/>
      <c r="R2388" s="1" t="s">
        <v>10767</v>
      </c>
      <c r="S2388" s="14"/>
      <c r="T2388" s="14"/>
      <c r="U2388" s="19" t="str">
        <f>HYPERLINK("https://pbs.twimg.com/profile_images/1085138515606884352/8rJn06u5.jpg","View")</f>
        <v>View</v>
      </c>
      <c r="V2388" s="14"/>
      <c r="W2388" s="14"/>
      <c r="X2388" s="14"/>
      <c r="Y2388" s="14"/>
      <c r="Z2388" s="14"/>
    </row>
    <row r="2389">
      <c r="A2389" s="11">
        <v>43843.53125</v>
      </c>
      <c r="B2389" s="12" t="str">
        <f>HYPERLINK("https://twitter.com/TrainingMindful","@TrainingMindful")</f>
        <v>@TrainingMindful</v>
      </c>
      <c r="C2389" s="1" t="s">
        <v>94</v>
      </c>
      <c r="D2389" s="1" t="s">
        <v>1548</v>
      </c>
      <c r="E2389" s="12" t="str">
        <f>HYPERLINK("https://twitter.com/TrainingMindful/status/1216778186224209920","1216778186224209920")</f>
        <v>1216778186224209920</v>
      </c>
      <c r="F2389" s="13" t="s">
        <v>1549</v>
      </c>
      <c r="G2389" s="14"/>
      <c r="H2389" s="14"/>
      <c r="I2389" s="15">
        <v>0.0</v>
      </c>
      <c r="J2389" s="15">
        <v>1.0</v>
      </c>
      <c r="K2389" s="12" t="str">
        <f>HYPERLINK("https://www.socialoomph.com","SocialOomph")</f>
        <v>SocialOomph</v>
      </c>
      <c r="L2389" s="16">
        <v>185303.0</v>
      </c>
      <c r="M2389" s="16">
        <v>43980.0</v>
      </c>
      <c r="N2389" s="16">
        <v>2800.0</v>
      </c>
      <c r="O2389" s="17"/>
      <c r="P2389" s="18">
        <v>41286.039305555554</v>
      </c>
      <c r="Q2389" s="1" t="s">
        <v>97</v>
      </c>
      <c r="R2389" s="1" t="s">
        <v>98</v>
      </c>
      <c r="S2389" s="13" t="s">
        <v>99</v>
      </c>
      <c r="T2389" s="14"/>
      <c r="U2389" s="19" t="str">
        <f>HYPERLINK("https://pbs.twimg.com/profile_images/566526924059459584/gdMxDA9x.jpeg","View")</f>
        <v>View</v>
      </c>
      <c r="V2389" s="14"/>
      <c r="W2389" s="14"/>
      <c r="X2389" s="14"/>
      <c r="Y2389" s="14"/>
      <c r="Z2389" s="14"/>
    </row>
    <row r="2390">
      <c r="A2390" s="11">
        <v>43843.5294675926</v>
      </c>
      <c r="B2390" s="12" t="str">
        <f>HYPERLINK("https://twitter.com/OliDogPW","@OliDogPW")</f>
        <v>@OliDogPW</v>
      </c>
      <c r="C2390" s="1" t="s">
        <v>10768</v>
      </c>
      <c r="D2390" s="1" t="s">
        <v>10769</v>
      </c>
      <c r="E2390" s="12" t="str">
        <f>HYPERLINK("https://twitter.com/OliDogPW/status/1216777538753585152","1216777538753585152")</f>
        <v>1216777538753585152</v>
      </c>
      <c r="F2390" s="13" t="s">
        <v>10770</v>
      </c>
      <c r="G2390" s="13" t="s">
        <v>10771</v>
      </c>
      <c r="H2390" s="14"/>
      <c r="I2390" s="15">
        <v>0.0</v>
      </c>
      <c r="J2390" s="15">
        <v>0.0</v>
      </c>
      <c r="K2390" s="12" t="str">
        <f>HYPERLINK("https://buffer.com","Buffer")</f>
        <v>Buffer</v>
      </c>
      <c r="L2390" s="16">
        <v>11.0</v>
      </c>
      <c r="M2390" s="16">
        <v>1.0</v>
      </c>
      <c r="N2390" s="16">
        <v>0.0</v>
      </c>
      <c r="O2390" s="17"/>
      <c r="P2390" s="18">
        <v>43270.668541666666</v>
      </c>
      <c r="Q2390" s="1" t="s">
        <v>10772</v>
      </c>
      <c r="R2390" s="1" t="s">
        <v>10773</v>
      </c>
      <c r="S2390" s="13" t="s">
        <v>10774</v>
      </c>
      <c r="T2390" s="14"/>
      <c r="U2390" s="19" t="str">
        <f>HYPERLINK("https://pbs.twimg.com/profile_images/1009166249597767681/XNg-KwKS.jpg","View")</f>
        <v>View</v>
      </c>
      <c r="V2390" s="14"/>
      <c r="W2390" s="14"/>
      <c r="X2390" s="14"/>
      <c r="Y2390" s="14"/>
      <c r="Z2390" s="14"/>
    </row>
    <row r="2391">
      <c r="A2391" s="11">
        <v>43843.524675925924</v>
      </c>
      <c r="B2391" s="12" t="str">
        <f>HYPERLINK("https://twitter.com/Tommy_Al_Frost","@Tommy_Al_Frost")</f>
        <v>@Tommy_Al_Frost</v>
      </c>
      <c r="C2391" s="1" t="s">
        <v>10775</v>
      </c>
      <c r="D2391" s="1" t="s">
        <v>10776</v>
      </c>
      <c r="E2391" s="12" t="str">
        <f>HYPERLINK("https://twitter.com/Tommy_Al_Frost/status/1216775804018929664","1216775804018929664")</f>
        <v>1216775804018929664</v>
      </c>
      <c r="F2391" s="13" t="s">
        <v>10777</v>
      </c>
      <c r="G2391" s="14"/>
      <c r="H2391" s="14"/>
      <c r="I2391" s="15">
        <v>0.0</v>
      </c>
      <c r="J2391" s="15">
        <v>0.0</v>
      </c>
      <c r="K2391" s="12" t="str">
        <f>HYPERLINK("http://instagram.com","Instagram")</f>
        <v>Instagram</v>
      </c>
      <c r="L2391" s="16">
        <v>59.0</v>
      </c>
      <c r="M2391" s="16">
        <v>85.0</v>
      </c>
      <c r="N2391" s="16">
        <v>0.0</v>
      </c>
      <c r="O2391" s="17"/>
      <c r="P2391" s="18">
        <v>40911.64811342592</v>
      </c>
      <c r="Q2391" s="1" t="s">
        <v>10778</v>
      </c>
      <c r="R2391" s="1" t="s">
        <v>10779</v>
      </c>
      <c r="S2391" s="13" t="s">
        <v>10780</v>
      </c>
      <c r="T2391" s="14"/>
      <c r="U2391" s="19" t="str">
        <f>HYPERLINK("https://pbs.twimg.com/profile_images/774167266841677824/WziCdiwt.jpg","View")</f>
        <v>View</v>
      </c>
      <c r="V2391" s="14"/>
      <c r="W2391" s="14"/>
      <c r="X2391" s="14"/>
      <c r="Y2391" s="14"/>
      <c r="Z2391" s="14"/>
    </row>
    <row r="2392">
      <c r="A2392" s="11">
        <v>43843.52373842592</v>
      </c>
      <c r="B2392" s="12" t="str">
        <f>HYPERLINK("https://twitter.com/bibelot1","@bibelot1")</f>
        <v>@bibelot1</v>
      </c>
      <c r="C2392" s="1" t="s">
        <v>4988</v>
      </c>
      <c r="D2392" s="1" t="s">
        <v>10781</v>
      </c>
      <c r="E2392" s="12" t="str">
        <f>HYPERLINK("https://twitter.com/bibelot1/status/1216775461939838976","1216775461939838976")</f>
        <v>1216775461939838976</v>
      </c>
      <c r="F2392" s="13" t="s">
        <v>10782</v>
      </c>
      <c r="G2392" s="13" t="s">
        <v>10783</v>
      </c>
      <c r="H2392" s="14"/>
      <c r="I2392" s="15">
        <v>0.0</v>
      </c>
      <c r="J2392" s="15">
        <v>0.0</v>
      </c>
      <c r="K2392" s="12" t="str">
        <f>HYPERLINK("https://missinglettr.com","Missinglettr")</f>
        <v>Missinglettr</v>
      </c>
      <c r="L2392" s="16">
        <v>109.0</v>
      </c>
      <c r="M2392" s="16">
        <v>85.0</v>
      </c>
      <c r="N2392" s="16">
        <v>7.0</v>
      </c>
      <c r="O2392" s="17"/>
      <c r="P2392" s="18">
        <v>39860.79771990741</v>
      </c>
      <c r="Q2392" s="1" t="s">
        <v>4992</v>
      </c>
      <c r="R2392" s="1" t="s">
        <v>4993</v>
      </c>
      <c r="S2392" s="13" t="s">
        <v>4994</v>
      </c>
      <c r="T2392" s="14"/>
      <c r="U2392" s="19" t="str">
        <f>HYPERLINK("https://pbs.twimg.com/profile_images/1122330718237941760/j8HxEOUr.png","View")</f>
        <v>View</v>
      </c>
      <c r="V2392" s="14"/>
      <c r="W2392" s="14"/>
      <c r="X2392" s="14"/>
      <c r="Y2392" s="14"/>
      <c r="Z2392" s="14"/>
    </row>
    <row r="2393">
      <c r="A2393" s="11">
        <v>43843.52222222222</v>
      </c>
      <c r="B2393" s="12" t="str">
        <f>HYPERLINK("https://twitter.com/BuildNetworking","@BuildNetworking")</f>
        <v>@BuildNetworking</v>
      </c>
      <c r="C2393" s="1" t="s">
        <v>10784</v>
      </c>
      <c r="D2393" s="1" t="s">
        <v>10785</v>
      </c>
      <c r="E2393" s="12" t="str">
        <f>HYPERLINK("https://twitter.com/BuildNetworking/status/1216774912041349120","1216774912041349120")</f>
        <v>1216774912041349120</v>
      </c>
      <c r="F2393" s="13" t="s">
        <v>10786</v>
      </c>
      <c r="G2393" s="14"/>
      <c r="H2393" s="14"/>
      <c r="I2393" s="15">
        <v>0.0</v>
      </c>
      <c r="J2393" s="15">
        <v>0.0</v>
      </c>
      <c r="K2393" s="12" t="str">
        <f>HYPERLINK("https://about.twitter.com/products/tweetdeck","TweetDeck")</f>
        <v>TweetDeck</v>
      </c>
      <c r="L2393" s="16">
        <v>136.0</v>
      </c>
      <c r="M2393" s="16">
        <v>265.0</v>
      </c>
      <c r="N2393" s="16">
        <v>3.0</v>
      </c>
      <c r="O2393" s="17"/>
      <c r="P2393" s="18">
        <v>43640.626863425925</v>
      </c>
      <c r="Q2393" s="1" t="s">
        <v>10787</v>
      </c>
      <c r="R2393" s="1" t="s">
        <v>10788</v>
      </c>
      <c r="S2393" s="13" t="s">
        <v>10789</v>
      </c>
      <c r="T2393" s="14"/>
      <c r="U2393" s="19" t="str">
        <f>HYPERLINK("https://pbs.twimg.com/profile_images/1203328368739078144/DIFljcnw.jpg","View")</f>
        <v>View</v>
      </c>
      <c r="V2393" s="14"/>
      <c r="W2393" s="14"/>
      <c r="X2393" s="14"/>
      <c r="Y2393" s="14"/>
      <c r="Z2393" s="14"/>
    </row>
    <row r="2394">
      <c r="A2394" s="11">
        <v>43843.52116898148</v>
      </c>
      <c r="B2394" s="12" t="str">
        <f>HYPERLINK("https://twitter.com/LisaKaplin","@LisaKaplin")</f>
        <v>@LisaKaplin</v>
      </c>
      <c r="C2394" s="1" t="s">
        <v>6529</v>
      </c>
      <c r="D2394" s="1" t="s">
        <v>10790</v>
      </c>
      <c r="E2394" s="12" t="str">
        <f>HYPERLINK("https://twitter.com/LisaKaplin/status/1216774530770722816","1216774530770722816")</f>
        <v>1216774530770722816</v>
      </c>
      <c r="F2394" s="13" t="s">
        <v>10791</v>
      </c>
      <c r="G2394" s="14"/>
      <c r="H2394" s="14"/>
      <c r="I2394" s="15">
        <v>0.0</v>
      </c>
      <c r="J2394" s="15">
        <v>1.0</v>
      </c>
      <c r="K2394" s="12" t="str">
        <f>HYPERLINK("http://postplanner.com","Post Planner Inc.")</f>
        <v>Post Planner Inc.</v>
      </c>
      <c r="L2394" s="16">
        <v>4186.0</v>
      </c>
      <c r="M2394" s="16">
        <v>4311.0</v>
      </c>
      <c r="N2394" s="16">
        <v>126.0</v>
      </c>
      <c r="O2394" s="17"/>
      <c r="P2394" s="18">
        <v>40856.68561342593</v>
      </c>
      <c r="Q2394" s="1" t="s">
        <v>56</v>
      </c>
      <c r="R2394" s="1" t="s">
        <v>6533</v>
      </c>
      <c r="S2394" s="13" t="s">
        <v>6534</v>
      </c>
      <c r="T2394" s="14"/>
      <c r="U2394" s="19" t="str">
        <f>HYPERLINK("https://pbs.twimg.com/profile_images/812025630183149568/sM1KK1Y8.jpg","View")</f>
        <v>View</v>
      </c>
      <c r="V2394" s="14"/>
      <c r="W2394" s="14"/>
      <c r="X2394" s="14"/>
      <c r="Y2394" s="14"/>
      <c r="Z2394" s="14"/>
    </row>
    <row r="2395">
      <c r="A2395" s="11">
        <v>43843.51859953704</v>
      </c>
      <c r="B2395" s="12" t="str">
        <f>HYPERLINK("https://twitter.com/beyondmaya","@beyondmaya")</f>
        <v>@beyondmaya</v>
      </c>
      <c r="C2395" s="1" t="s">
        <v>10792</v>
      </c>
      <c r="D2395" s="1" t="s">
        <v>10793</v>
      </c>
      <c r="E2395" s="12" t="str">
        <f>HYPERLINK("https://twitter.com/beyondmaya/status/1216773598670553098","1216773598670553098")</f>
        <v>1216773598670553098</v>
      </c>
      <c r="F2395" s="13" t="s">
        <v>10794</v>
      </c>
      <c r="G2395" s="13" t="s">
        <v>10795</v>
      </c>
      <c r="H2395" s="14"/>
      <c r="I2395" s="15">
        <v>0.0</v>
      </c>
      <c r="J2395" s="15">
        <v>1.0</v>
      </c>
      <c r="K2395" s="12" t="str">
        <f>HYPERLINK("http://twitter.com/download/iphone","Twitter for iPhone")</f>
        <v>Twitter for iPhone</v>
      </c>
      <c r="L2395" s="16">
        <v>47.0</v>
      </c>
      <c r="M2395" s="16">
        <v>94.0</v>
      </c>
      <c r="N2395" s="16">
        <v>1.0</v>
      </c>
      <c r="O2395" s="17"/>
      <c r="P2395" s="18">
        <v>40447.889328703706</v>
      </c>
      <c r="Q2395" s="1" t="s">
        <v>10796</v>
      </c>
      <c r="R2395" s="1" t="s">
        <v>10797</v>
      </c>
      <c r="S2395" s="13" t="s">
        <v>10798</v>
      </c>
      <c r="T2395" s="14"/>
      <c r="U2395" s="19" t="str">
        <f>HYPERLINK("https://pbs.twimg.com/profile_images/1156567326738665473/AfDqiGHb.jpg","View")</f>
        <v>View</v>
      </c>
      <c r="V2395" s="14"/>
      <c r="W2395" s="14"/>
      <c r="X2395" s="14"/>
      <c r="Y2395" s="14"/>
      <c r="Z2395" s="14"/>
    </row>
    <row r="2396">
      <c r="A2396" s="11">
        <v>43843.5174074074</v>
      </c>
      <c r="B2396" s="12" t="str">
        <f>HYPERLINK("https://twitter.com/CSAMSanDiego","@CSAMSanDiego")</f>
        <v>@CSAMSanDiego</v>
      </c>
      <c r="C2396" s="1" t="s">
        <v>8902</v>
      </c>
      <c r="D2396" s="1" t="s">
        <v>10799</v>
      </c>
      <c r="E2396" s="12" t="str">
        <f>HYPERLINK("https://twitter.com/CSAMSanDiego/status/1216773169979252738","1216773169979252738")</f>
        <v>1216773169979252738</v>
      </c>
      <c r="F2396" s="13" t="s">
        <v>10800</v>
      </c>
      <c r="G2396" s="14"/>
      <c r="H2396" s="14"/>
      <c r="I2396" s="15">
        <v>1.0</v>
      </c>
      <c r="J2396" s="15">
        <v>1.0</v>
      </c>
      <c r="K2396" s="12" t="str">
        <f>HYPERLINK("https://www.hootsuite.com","Hootsuite Inc.")</f>
        <v>Hootsuite Inc.</v>
      </c>
      <c r="L2396" s="16">
        <v>347.0</v>
      </c>
      <c r="M2396" s="16">
        <v>438.0</v>
      </c>
      <c r="N2396" s="16">
        <v>35.0</v>
      </c>
      <c r="O2396" s="17"/>
      <c r="P2396" s="18">
        <v>41169.722337962965</v>
      </c>
      <c r="Q2396" s="1" t="s">
        <v>2583</v>
      </c>
      <c r="R2396" s="1" t="s">
        <v>8905</v>
      </c>
      <c r="S2396" s="13" t="s">
        <v>8906</v>
      </c>
      <c r="T2396" s="14"/>
      <c r="U2396" s="19" t="str">
        <f>HYPERLINK("https://pbs.twimg.com/profile_images/3288651740/6706675d8398ec1dc51c9c610ca7294e.png","View")</f>
        <v>View</v>
      </c>
      <c r="V2396" s="14"/>
      <c r="W2396" s="14"/>
      <c r="X2396" s="14"/>
      <c r="Y2396" s="14"/>
      <c r="Z2396" s="14"/>
    </row>
    <row r="2397">
      <c r="A2397" s="11">
        <v>43843.517280092594</v>
      </c>
      <c r="B2397" s="12" t="str">
        <f>HYPERLINK("https://twitter.com/herreralaw_","@herreralaw_")</f>
        <v>@herreralaw_</v>
      </c>
      <c r="C2397" s="1" t="s">
        <v>10801</v>
      </c>
      <c r="D2397" s="1" t="s">
        <v>10802</v>
      </c>
      <c r="E2397" s="12" t="str">
        <f>HYPERLINK("https://twitter.com/herreralaw_/status/1216773123544010752","1216773123544010752")</f>
        <v>1216773123544010752</v>
      </c>
      <c r="F2397" s="14"/>
      <c r="G2397" s="13" t="s">
        <v>10803</v>
      </c>
      <c r="H2397" s="14"/>
      <c r="I2397" s="15">
        <v>0.0</v>
      </c>
      <c r="J2397" s="15">
        <v>0.0</v>
      </c>
      <c r="K2397" s="12" t="str">
        <f>HYPERLINK("https://mobile.twitter.com","Twitter Web App")</f>
        <v>Twitter Web App</v>
      </c>
      <c r="L2397" s="16">
        <v>7.0</v>
      </c>
      <c r="M2397" s="16">
        <v>12.0</v>
      </c>
      <c r="N2397" s="16">
        <v>0.0</v>
      </c>
      <c r="O2397" s="17"/>
      <c r="P2397" s="18">
        <v>43565.79975694444</v>
      </c>
      <c r="Q2397" s="14"/>
      <c r="R2397" s="1" t="s">
        <v>10804</v>
      </c>
      <c r="S2397" s="14"/>
      <c r="T2397" s="14"/>
      <c r="U2397" s="19" t="str">
        <f>HYPERLINK("https://pbs.twimg.com/profile_images/1135669811579670528/uosFdR7u.jpg","View")</f>
        <v>View</v>
      </c>
      <c r="V2397" s="14"/>
      <c r="W2397" s="14"/>
      <c r="X2397" s="14"/>
      <c r="Y2397" s="14"/>
      <c r="Z2397" s="14"/>
    </row>
    <row r="2398">
      <c r="A2398" s="11">
        <v>43843.514965277776</v>
      </c>
      <c r="B2398" s="12" t="str">
        <f>HYPERLINK("https://twitter.com/afterdeployment","@afterdeployment")</f>
        <v>@afterdeployment</v>
      </c>
      <c r="C2398" s="1" t="s">
        <v>4737</v>
      </c>
      <c r="D2398" s="1" t="s">
        <v>10805</v>
      </c>
      <c r="E2398" s="12" t="str">
        <f>HYPERLINK("https://twitter.com/afterdeployment/status/1216772282158342145","1216772282158342145")</f>
        <v>1216772282158342145</v>
      </c>
      <c r="F2398" s="1" t="s">
        <v>10806</v>
      </c>
      <c r="G2398" s="13" t="s">
        <v>10807</v>
      </c>
      <c r="H2398" s="14"/>
      <c r="I2398" s="15">
        <v>0.0</v>
      </c>
      <c r="J2398" s="15">
        <v>0.0</v>
      </c>
      <c r="K2398" s="12" t="str">
        <f>HYPERLINK("https://www.hootsuite.com","Hootsuite Inc.")</f>
        <v>Hootsuite Inc.</v>
      </c>
      <c r="L2398" s="16">
        <v>15286.0</v>
      </c>
      <c r="M2398" s="16">
        <v>1116.0</v>
      </c>
      <c r="N2398" s="16">
        <v>271.0</v>
      </c>
      <c r="O2398" s="20" t="s">
        <v>38</v>
      </c>
      <c r="P2398" s="18">
        <v>40081.60960648148</v>
      </c>
      <c r="Q2398" s="1" t="s">
        <v>4741</v>
      </c>
      <c r="R2398" s="1" t="s">
        <v>4742</v>
      </c>
      <c r="S2398" s="13" t="s">
        <v>4743</v>
      </c>
      <c r="T2398" s="14"/>
      <c r="U2398" s="19" t="str">
        <f>HYPERLINK("https://pbs.twimg.com/profile_images/479634918/AD-NewLogoICON.jpg","View")</f>
        <v>View</v>
      </c>
      <c r="V2398" s="14"/>
      <c r="W2398" s="14"/>
      <c r="X2398" s="14"/>
      <c r="Y2398" s="14"/>
      <c r="Z2398" s="14"/>
    </row>
    <row r="2399">
      <c r="A2399" s="11">
        <v>43843.51126157407</v>
      </c>
      <c r="B2399" s="12" t="str">
        <f>HYPERLINK("https://twitter.com/BrazilNewsinUK","@BrazilNewsinUK")</f>
        <v>@BrazilNewsinUK</v>
      </c>
      <c r="C2399" s="1" t="s">
        <v>621</v>
      </c>
      <c r="D2399" s="1" t="s">
        <v>10808</v>
      </c>
      <c r="E2399" s="12" t="str">
        <f>HYPERLINK("https://twitter.com/BrazilNewsinUK/status/1216770940270448643","1216770940270448643")</f>
        <v>1216770940270448643</v>
      </c>
      <c r="F2399" s="14"/>
      <c r="G2399" s="13" t="s">
        <v>10809</v>
      </c>
      <c r="H2399" s="14"/>
      <c r="I2399" s="15">
        <v>0.0</v>
      </c>
      <c r="J2399" s="15">
        <v>0.0</v>
      </c>
      <c r="K2399" s="12" t="str">
        <f>HYPERLINK("https://www.socialoomph.com","SocialOomph")</f>
        <v>SocialOomph</v>
      </c>
      <c r="L2399" s="16">
        <v>225.0</v>
      </c>
      <c r="M2399" s="16">
        <v>78.0</v>
      </c>
      <c r="N2399" s="16">
        <v>12.0</v>
      </c>
      <c r="O2399" s="17"/>
      <c r="P2399" s="18">
        <v>40355.28283564815</v>
      </c>
      <c r="Q2399" s="1" t="s">
        <v>624</v>
      </c>
      <c r="R2399" s="1" t="s">
        <v>625</v>
      </c>
      <c r="S2399" s="14"/>
      <c r="T2399" s="14"/>
      <c r="U2399" s="19" t="str">
        <f>HYPERLINK("https://pbs.twimg.com/profile_images/966410122384805893/UcPgaz7i.jpg","View")</f>
        <v>View</v>
      </c>
      <c r="V2399" s="14"/>
      <c r="W2399" s="14"/>
      <c r="X2399" s="14"/>
      <c r="Y2399" s="14"/>
      <c r="Z2399" s="14"/>
    </row>
    <row r="2400">
      <c r="A2400" s="11">
        <v>43843.51085648148</v>
      </c>
      <c r="B2400" s="12" t="str">
        <f>HYPERLINK("https://twitter.com/ramonawildeman","@ramonawildeman")</f>
        <v>@ramonawildeman</v>
      </c>
      <c r="C2400" s="1" t="s">
        <v>10810</v>
      </c>
      <c r="D2400" s="1" t="s">
        <v>10811</v>
      </c>
      <c r="E2400" s="12" t="str">
        <f>HYPERLINK("https://twitter.com/ramonawildeman/status/1216770794522476546","1216770794522476546")</f>
        <v>1216770794522476546</v>
      </c>
      <c r="F2400" s="13" t="s">
        <v>10812</v>
      </c>
      <c r="G2400" s="14"/>
      <c r="H2400" s="14"/>
      <c r="I2400" s="15">
        <v>2.0</v>
      </c>
      <c r="J2400" s="15">
        <v>0.0</v>
      </c>
      <c r="K2400" s="12" t="str">
        <f>HYPERLINK("http://twitter.com","Twitter Web Client")</f>
        <v>Twitter Web Client</v>
      </c>
      <c r="L2400" s="16">
        <v>1738.0</v>
      </c>
      <c r="M2400" s="16">
        <v>2459.0</v>
      </c>
      <c r="N2400" s="16">
        <v>144.0</v>
      </c>
      <c r="O2400" s="17"/>
      <c r="P2400" s="18">
        <v>41122.74412037037</v>
      </c>
      <c r="Q2400" s="1" t="s">
        <v>10813</v>
      </c>
      <c r="R2400" s="1" t="s">
        <v>10814</v>
      </c>
      <c r="S2400" s="13" t="s">
        <v>10815</v>
      </c>
      <c r="T2400" s="14"/>
      <c r="U2400" s="19" t="str">
        <f>HYPERLINK("https://pbs.twimg.com/profile_images/1210431257307299841/6coKnV5h.jpg","View")</f>
        <v>View</v>
      </c>
      <c r="V2400" s="14"/>
      <c r="W2400" s="14"/>
      <c r="X2400" s="14"/>
      <c r="Y2400" s="14"/>
      <c r="Z2400" s="14"/>
    </row>
    <row r="2401">
      <c r="A2401" s="11">
        <v>43843.51052083333</v>
      </c>
      <c r="B2401" s="12" t="str">
        <f>HYPERLINK("https://twitter.com/idoser","@idoser")</f>
        <v>@idoser</v>
      </c>
      <c r="C2401" s="1" t="s">
        <v>4691</v>
      </c>
      <c r="D2401" s="1" t="s">
        <v>10816</v>
      </c>
      <c r="E2401" s="12" t="str">
        <f>HYPERLINK("https://twitter.com/idoser/status/1216770671843389440","1216770671843389440")</f>
        <v>1216770671843389440</v>
      </c>
      <c r="F2401" s="13" t="s">
        <v>10817</v>
      </c>
      <c r="G2401" s="13" t="s">
        <v>10818</v>
      </c>
      <c r="H2401" s="14"/>
      <c r="I2401" s="15">
        <v>1.0</v>
      </c>
      <c r="J2401" s="15">
        <v>2.0</v>
      </c>
      <c r="K2401" s="12" t="str">
        <f>HYPERLINK("https://www.hootsuite.com","Hootsuite Inc.")</f>
        <v>Hootsuite Inc.</v>
      </c>
      <c r="L2401" s="16">
        <v>182460.0</v>
      </c>
      <c r="M2401" s="16">
        <v>70187.0</v>
      </c>
      <c r="N2401" s="16">
        <v>854.0</v>
      </c>
      <c r="O2401" s="17"/>
      <c r="P2401" s="18">
        <v>39560.78559027778</v>
      </c>
      <c r="Q2401" s="1" t="s">
        <v>4281</v>
      </c>
      <c r="R2401" s="1" t="s">
        <v>4695</v>
      </c>
      <c r="S2401" s="13" t="s">
        <v>4696</v>
      </c>
      <c r="T2401" s="14"/>
      <c r="U2401" s="19" t="str">
        <f>HYPERLINK("https://pbs.twimg.com/profile_images/1053624196067221509/951El6jh.jpg","View")</f>
        <v>View</v>
      </c>
      <c r="V2401" s="14"/>
      <c r="W2401" s="14"/>
      <c r="X2401" s="14"/>
      <c r="Y2401" s="14"/>
      <c r="Z2401" s="14"/>
    </row>
    <row r="2402">
      <c r="A2402" s="11">
        <v>43843.50945601852</v>
      </c>
      <c r="B2402" s="12" t="str">
        <f>HYPERLINK("https://twitter.com/men_are_human","@men_are_human")</f>
        <v>@men_are_human</v>
      </c>
      <c r="C2402" s="1" t="s">
        <v>10819</v>
      </c>
      <c r="D2402" s="1" t="s">
        <v>10820</v>
      </c>
      <c r="E2402" s="12" t="str">
        <f>HYPERLINK("https://twitter.com/men_are_human/status/1216770285774548992","1216770285774548992")</f>
        <v>1216770285774548992</v>
      </c>
      <c r="F2402" s="13" t="s">
        <v>10821</v>
      </c>
      <c r="G2402" s="14"/>
      <c r="H2402" s="14"/>
      <c r="I2402" s="15">
        <v>19.0</v>
      </c>
      <c r="J2402" s="15">
        <v>50.0</v>
      </c>
      <c r="K2402" s="12" t="str">
        <f>HYPERLINK("http://twitter.com/download/android","Twitter for Android")</f>
        <v>Twitter for Android</v>
      </c>
      <c r="L2402" s="16">
        <v>1045.0</v>
      </c>
      <c r="M2402" s="16">
        <v>38.0</v>
      </c>
      <c r="N2402" s="16">
        <v>8.0</v>
      </c>
      <c r="O2402" s="17"/>
      <c r="P2402" s="18">
        <v>43321.51682870371</v>
      </c>
      <c r="Q2402" s="14"/>
      <c r="R2402" s="1" t="s">
        <v>10822</v>
      </c>
      <c r="S2402" s="13" t="s">
        <v>10823</v>
      </c>
      <c r="T2402" s="14"/>
      <c r="U2402" s="19" t="str">
        <f>HYPERLINK("https://pbs.twimg.com/profile_images/1033467159790411779/hSbmLr0m.jpg","View")</f>
        <v>View</v>
      </c>
      <c r="V2402" s="14"/>
      <c r="W2402" s="14"/>
      <c r="X2402" s="14"/>
      <c r="Y2402" s="14"/>
      <c r="Z2402" s="14"/>
    </row>
    <row r="2403">
      <c r="A2403" s="11">
        <v>43843.50686342592</v>
      </c>
      <c r="B2403" s="12" t="str">
        <f>HYPERLINK("https://twitter.com/PsychTimes","@PsychTimes")</f>
        <v>@PsychTimes</v>
      </c>
      <c r="C2403" s="1" t="s">
        <v>7186</v>
      </c>
      <c r="D2403" s="1" t="s">
        <v>10824</v>
      </c>
      <c r="E2403" s="12" t="str">
        <f>HYPERLINK("https://twitter.com/PsychTimes/status/1216769346564972545","1216769346564972545")</f>
        <v>1216769346564972545</v>
      </c>
      <c r="F2403" s="13" t="s">
        <v>10825</v>
      </c>
      <c r="G2403" s="14"/>
      <c r="H2403" s="14"/>
      <c r="I2403" s="15">
        <v>1.0</v>
      </c>
      <c r="J2403" s="15">
        <v>5.0</v>
      </c>
      <c r="K2403" s="12" t="str">
        <f>HYPERLINK("http://twitter.com","Twitter Web Client")</f>
        <v>Twitter Web Client</v>
      </c>
      <c r="L2403" s="16">
        <v>85880.0</v>
      </c>
      <c r="M2403" s="16">
        <v>4960.0</v>
      </c>
      <c r="N2403" s="16">
        <v>1688.0</v>
      </c>
      <c r="O2403" s="17"/>
      <c r="P2403" s="18">
        <v>39861.442766203705</v>
      </c>
      <c r="Q2403" s="1" t="s">
        <v>7189</v>
      </c>
      <c r="R2403" s="1" t="s">
        <v>7190</v>
      </c>
      <c r="S2403" s="13" t="s">
        <v>7191</v>
      </c>
      <c r="T2403" s="14"/>
      <c r="U2403" s="19" t="str">
        <f>HYPERLINK("https://pbs.twimg.com/profile_images/1195000826118443008/VMeHWQyz.jpg","View")</f>
        <v>View</v>
      </c>
      <c r="V2403" s="14"/>
      <c r="W2403" s="14"/>
      <c r="X2403" s="14"/>
      <c r="Y2403" s="14"/>
      <c r="Z2403" s="14"/>
    </row>
    <row r="2404">
      <c r="A2404" s="11">
        <v>43843.50655092593</v>
      </c>
      <c r="B2404" s="12" t="str">
        <f>HYPERLINK("https://twitter.com/staceygmiller","@staceygmiller")</f>
        <v>@staceygmiller</v>
      </c>
      <c r="C2404" s="1" t="s">
        <v>9157</v>
      </c>
      <c r="D2404" s="1" t="s">
        <v>10826</v>
      </c>
      <c r="E2404" s="12" t="str">
        <f>HYPERLINK("https://twitter.com/staceygmiller/status/1216769232068845575","1216769232068845575")</f>
        <v>1216769232068845575</v>
      </c>
      <c r="F2404" s="14"/>
      <c r="G2404" s="13" t="s">
        <v>10827</v>
      </c>
      <c r="H2404" s="14"/>
      <c r="I2404" s="15">
        <v>0.0</v>
      </c>
      <c r="J2404" s="15">
        <v>6.0</v>
      </c>
      <c r="K2404" s="12" t="str">
        <f>HYPERLINK("http://twitter.com/download/android","Twitter for Android")</f>
        <v>Twitter for Android</v>
      </c>
      <c r="L2404" s="16">
        <v>219.0</v>
      </c>
      <c r="M2404" s="16">
        <v>297.0</v>
      </c>
      <c r="N2404" s="16">
        <v>10.0</v>
      </c>
      <c r="O2404" s="17"/>
      <c r="P2404" s="18">
        <v>42667.35922453704</v>
      </c>
      <c r="Q2404" s="1" t="s">
        <v>9159</v>
      </c>
      <c r="R2404" s="1" t="s">
        <v>9160</v>
      </c>
      <c r="S2404" s="13" t="s">
        <v>9161</v>
      </c>
      <c r="T2404" s="14"/>
      <c r="U2404" s="19" t="str">
        <f>HYPERLINK("https://pbs.twimg.com/profile_images/1207988838678847488/86IgvzMh.jpg","View")</f>
        <v>View</v>
      </c>
      <c r="V2404" s="14"/>
      <c r="W2404" s="14"/>
      <c r="X2404" s="14"/>
      <c r="Y2404" s="14"/>
      <c r="Z2404" s="14"/>
    </row>
    <row r="2405">
      <c r="A2405" s="11">
        <v>43843.50423611111</v>
      </c>
      <c r="B2405" s="12" t="str">
        <f>HYPERLINK("https://twitter.com/DynamiteYoga","@DynamiteYoga")</f>
        <v>@DynamiteYoga</v>
      </c>
      <c r="C2405" s="1" t="s">
        <v>10828</v>
      </c>
      <c r="D2405" s="1" t="s">
        <v>10829</v>
      </c>
      <c r="E2405" s="12" t="str">
        <f>HYPERLINK("https://twitter.com/DynamiteYoga/status/1216768393178578952","1216768393178578952")</f>
        <v>1216768393178578952</v>
      </c>
      <c r="F2405" s="13" t="s">
        <v>10830</v>
      </c>
      <c r="G2405" s="13" t="s">
        <v>10831</v>
      </c>
      <c r="H2405" s="14"/>
      <c r="I2405" s="15">
        <v>0.0</v>
      </c>
      <c r="J2405" s="15">
        <v>1.0</v>
      </c>
      <c r="K2405" s="12" t="str">
        <f t="shared" ref="K2405:K2406" si="245">HYPERLINK("https://dlvrit.com/","dlvr.it")</f>
        <v>dlvr.it</v>
      </c>
      <c r="L2405" s="16">
        <v>1110.0</v>
      </c>
      <c r="M2405" s="16">
        <v>32.0</v>
      </c>
      <c r="N2405" s="16">
        <v>23.0</v>
      </c>
      <c r="O2405" s="17"/>
      <c r="P2405" s="18">
        <v>42135.85428240741</v>
      </c>
      <c r="Q2405" s="1" t="s">
        <v>482</v>
      </c>
      <c r="R2405" s="1" t="s">
        <v>10832</v>
      </c>
      <c r="S2405" s="13" t="s">
        <v>10833</v>
      </c>
      <c r="T2405" s="14"/>
      <c r="U2405" s="19" t="str">
        <f>HYPERLINK("https://pbs.twimg.com/profile_images/1114623928922587136/Q44sDWnT.png","View")</f>
        <v>View</v>
      </c>
      <c r="V2405" s="14"/>
      <c r="W2405" s="14"/>
      <c r="X2405" s="14"/>
      <c r="Y2405" s="14"/>
      <c r="Z2405" s="14"/>
    </row>
    <row r="2406">
      <c r="A2406" s="11">
        <v>43843.50421296296</v>
      </c>
      <c r="B2406" s="12" t="str">
        <f>HYPERLINK("https://twitter.com/GleeYoga","@GleeYoga")</f>
        <v>@GleeYoga</v>
      </c>
      <c r="C2406" s="1" t="s">
        <v>4351</v>
      </c>
      <c r="D2406" s="1" t="s">
        <v>10834</v>
      </c>
      <c r="E2406" s="12" t="str">
        <f>HYPERLINK("https://twitter.com/GleeYoga/status/1216768387935698947","1216768387935698947")</f>
        <v>1216768387935698947</v>
      </c>
      <c r="F2406" s="13" t="s">
        <v>10835</v>
      </c>
      <c r="G2406" s="13" t="s">
        <v>10836</v>
      </c>
      <c r="H2406" s="14"/>
      <c r="I2406" s="15">
        <v>0.0</v>
      </c>
      <c r="J2406" s="15">
        <v>3.0</v>
      </c>
      <c r="K2406" s="12" t="str">
        <f t="shared" si="245"/>
        <v>dlvr.it</v>
      </c>
      <c r="L2406" s="16">
        <v>1551.0</v>
      </c>
      <c r="M2406" s="16">
        <v>24.0</v>
      </c>
      <c r="N2406" s="16">
        <v>126.0</v>
      </c>
      <c r="O2406" s="17"/>
      <c r="P2406" s="18">
        <v>42505.1422337963</v>
      </c>
      <c r="Q2406" s="1" t="s">
        <v>928</v>
      </c>
      <c r="R2406" s="1" t="s">
        <v>4355</v>
      </c>
      <c r="S2406" s="13" t="s">
        <v>4356</v>
      </c>
      <c r="T2406" s="14"/>
      <c r="U2406" s="19" t="str">
        <f>HYPERLINK("https://pbs.twimg.com/profile_images/731750901778513921/mHNyQ2EL.jpg","View")</f>
        <v>View</v>
      </c>
      <c r="V2406" s="14"/>
      <c r="W2406" s="14"/>
      <c r="X2406" s="14"/>
      <c r="Y2406" s="14"/>
      <c r="Z2406" s="14"/>
    </row>
    <row r="2407">
      <c r="A2407" s="11">
        <v>43843.50256944445</v>
      </c>
      <c r="B2407" s="12" t="str">
        <f>HYPERLINK("https://twitter.com/the_bhg","@the_bhg")</f>
        <v>@the_bhg</v>
      </c>
      <c r="C2407" s="1" t="s">
        <v>10837</v>
      </c>
      <c r="D2407" s="1" t="s">
        <v>10838</v>
      </c>
      <c r="E2407" s="12" t="str">
        <f>HYPERLINK("https://twitter.com/the_bhg/status/1216767790268526602","1216767790268526602")</f>
        <v>1216767790268526602</v>
      </c>
      <c r="F2407" s="14"/>
      <c r="G2407" s="13" t="s">
        <v>10839</v>
      </c>
      <c r="H2407" s="14"/>
      <c r="I2407" s="15">
        <v>1.0</v>
      </c>
      <c r="J2407" s="15">
        <v>1.0</v>
      </c>
      <c r="K2407" s="12" t="str">
        <f>HYPERLINK("http://twitter.com/download/iphone","Twitter for iPhone")</f>
        <v>Twitter for iPhone</v>
      </c>
      <c r="L2407" s="16">
        <v>99.0</v>
      </c>
      <c r="M2407" s="16">
        <v>312.0</v>
      </c>
      <c r="N2407" s="16">
        <v>0.0</v>
      </c>
      <c r="O2407" s="17"/>
      <c r="P2407" s="18">
        <v>43365.363078703704</v>
      </c>
      <c r="Q2407" s="1" t="s">
        <v>10840</v>
      </c>
      <c r="R2407" s="1" t="s">
        <v>10841</v>
      </c>
      <c r="S2407" s="13" t="s">
        <v>10842</v>
      </c>
      <c r="T2407" s="14"/>
      <c r="U2407" s="19" t="str">
        <f>HYPERLINK("https://pbs.twimg.com/profile_images/1107001977987317761/a1CgFbUj.jpg","View")</f>
        <v>View</v>
      </c>
      <c r="V2407" s="14"/>
      <c r="W2407" s="14"/>
      <c r="X2407" s="14"/>
      <c r="Y2407" s="14"/>
      <c r="Z2407" s="14"/>
    </row>
    <row r="2408">
      <c r="A2408" s="11">
        <v>43843.50167824074</v>
      </c>
      <c r="B2408" s="12" t="str">
        <f>HYPERLINK("https://twitter.com/CogniFit","@CogniFit")</f>
        <v>@CogniFit</v>
      </c>
      <c r="C2408" s="1" t="s">
        <v>10843</v>
      </c>
      <c r="D2408" s="1" t="s">
        <v>10844</v>
      </c>
      <c r="E2408" s="12" t="str">
        <f>HYPERLINK("https://twitter.com/CogniFit/status/1216767468573728768","1216767468573728768")</f>
        <v>1216767468573728768</v>
      </c>
      <c r="F2408" s="13" t="s">
        <v>10845</v>
      </c>
      <c r="G2408" s="14"/>
      <c r="H2408" s="14"/>
      <c r="I2408" s="15">
        <v>0.0</v>
      </c>
      <c r="J2408" s="15">
        <v>0.0</v>
      </c>
      <c r="K2408" s="12" t="str">
        <f t="shared" ref="K2408:K2409" si="246">HYPERLINK("https://www.hootsuite.com","Hootsuite Inc.")</f>
        <v>Hootsuite Inc.</v>
      </c>
      <c r="L2408" s="16">
        <v>23785.0</v>
      </c>
      <c r="M2408" s="16">
        <v>164.0</v>
      </c>
      <c r="N2408" s="16">
        <v>297.0</v>
      </c>
      <c r="O2408" s="17"/>
      <c r="P2408" s="18">
        <v>39881.70233796296</v>
      </c>
      <c r="Q2408" s="14"/>
      <c r="R2408" s="1" t="s">
        <v>10846</v>
      </c>
      <c r="S2408" s="13" t="s">
        <v>10847</v>
      </c>
      <c r="T2408" s="14"/>
      <c r="U2408" s="19" t="str">
        <f>HYPERLINK("https://pbs.twimg.com/profile_images/451495214033539072/ZwG-e48I.png","View")</f>
        <v>View</v>
      </c>
      <c r="V2408" s="14"/>
      <c r="W2408" s="14"/>
      <c r="X2408" s="14"/>
      <c r="Y2408" s="14"/>
      <c r="Z2408" s="14"/>
    </row>
    <row r="2409">
      <c r="A2409" s="11">
        <v>43843.50114583333</v>
      </c>
      <c r="B2409" s="12" t="str">
        <f>HYPERLINK("https://twitter.com/JanePiperPipsy","@JanePiperPipsy")</f>
        <v>@JanePiperPipsy</v>
      </c>
      <c r="C2409" s="1" t="s">
        <v>10848</v>
      </c>
      <c r="D2409" s="1" t="s">
        <v>10849</v>
      </c>
      <c r="E2409" s="12" t="str">
        <f>HYPERLINK("https://twitter.com/JanePiperPipsy/status/1216767274557886466","1216767274557886466")</f>
        <v>1216767274557886466</v>
      </c>
      <c r="F2409" s="13" t="s">
        <v>10850</v>
      </c>
      <c r="G2409" s="14"/>
      <c r="H2409" s="14"/>
      <c r="I2409" s="15">
        <v>0.0</v>
      </c>
      <c r="J2409" s="15">
        <v>0.0</v>
      </c>
      <c r="K2409" s="12" t="str">
        <f t="shared" si="246"/>
        <v>Hootsuite Inc.</v>
      </c>
      <c r="L2409" s="16">
        <v>248.0</v>
      </c>
      <c r="M2409" s="16">
        <v>233.0</v>
      </c>
      <c r="N2409" s="16">
        <v>55.0</v>
      </c>
      <c r="O2409" s="17"/>
      <c r="P2409" s="18">
        <v>42200.450162037036</v>
      </c>
      <c r="Q2409" s="1" t="s">
        <v>5533</v>
      </c>
      <c r="R2409" s="1" t="s">
        <v>10851</v>
      </c>
      <c r="S2409" s="13" t="s">
        <v>10852</v>
      </c>
      <c r="T2409" s="14"/>
      <c r="U2409" s="19" t="str">
        <f>HYPERLINK("https://pbs.twimg.com/profile_images/917388560902381568/GKgZ4dFd.jpg","View")</f>
        <v>View</v>
      </c>
      <c r="V2409" s="14"/>
      <c r="W2409" s="14"/>
      <c r="X2409" s="14"/>
      <c r="Y2409" s="14"/>
      <c r="Z2409" s="14"/>
    </row>
    <row r="2410">
      <c r="A2410" s="11">
        <v>43843.50011574074</v>
      </c>
      <c r="B2410" s="12" t="str">
        <f>HYPERLINK("https://twitter.com/Jeanannlarson","@Jeanannlarson")</f>
        <v>@Jeanannlarson</v>
      </c>
      <c r="C2410" s="1" t="s">
        <v>10853</v>
      </c>
      <c r="D2410" s="1" t="s">
        <v>10854</v>
      </c>
      <c r="E2410" s="12" t="str">
        <f>HYPERLINK("https://twitter.com/Jeanannlarson/status/1216766903668084736","1216766903668084736")</f>
        <v>1216766903668084736</v>
      </c>
      <c r="F2410" s="13" t="s">
        <v>10855</v>
      </c>
      <c r="G2410" s="14"/>
      <c r="H2410" s="14"/>
      <c r="I2410" s="15">
        <v>0.0</v>
      </c>
      <c r="J2410" s="15">
        <v>0.0</v>
      </c>
      <c r="K2410" s="12" t="str">
        <f>HYPERLINK("http://www.linkedin.com/","LinkedIn")</f>
        <v>LinkedIn</v>
      </c>
      <c r="L2410" s="16">
        <v>1038.0</v>
      </c>
      <c r="M2410" s="16">
        <v>1842.0</v>
      </c>
      <c r="N2410" s="16">
        <v>48.0</v>
      </c>
      <c r="O2410" s="17"/>
      <c r="P2410" s="18">
        <v>39960.58590277778</v>
      </c>
      <c r="Q2410" s="1" t="s">
        <v>10856</v>
      </c>
      <c r="R2410" s="1" t="s">
        <v>10857</v>
      </c>
      <c r="S2410" s="13" t="s">
        <v>10858</v>
      </c>
      <c r="T2410" s="14"/>
      <c r="U2410" s="19" t="str">
        <f>HYPERLINK("https://pbs.twimg.com/profile_images/938843213170921472/REFqPFEs.jpg","View")</f>
        <v>View</v>
      </c>
      <c r="V2410" s="14"/>
      <c r="W2410" s="14"/>
      <c r="X2410" s="14"/>
      <c r="Y2410" s="14"/>
      <c r="Z2410" s="14"/>
    </row>
    <row r="2411">
      <c r="A2411" s="11">
        <v>43843.50001157407</v>
      </c>
      <c r="B2411" s="12" t="str">
        <f>HYPERLINK("https://twitter.com/WeHearYouZA","@WeHearYouZA")</f>
        <v>@WeHearYouZA</v>
      </c>
      <c r="C2411" s="1" t="s">
        <v>2299</v>
      </c>
      <c r="D2411" s="1" t="s">
        <v>10859</v>
      </c>
      <c r="E2411" s="12" t="str">
        <f>HYPERLINK("https://twitter.com/WeHearYouZA/status/1216766862475829249","1216766862475829249")</f>
        <v>1216766862475829249</v>
      </c>
      <c r="F2411" s="14"/>
      <c r="G2411" s="13" t="s">
        <v>10860</v>
      </c>
      <c r="H2411" s="14"/>
      <c r="I2411" s="15">
        <v>0.0</v>
      </c>
      <c r="J2411" s="15">
        <v>0.0</v>
      </c>
      <c r="K2411" s="12" t="str">
        <f>HYPERLINK("https://about.twitter.com/products/tweetdeck","TweetDeck")</f>
        <v>TweetDeck</v>
      </c>
      <c r="L2411" s="16">
        <v>26.0</v>
      </c>
      <c r="M2411" s="16">
        <v>43.0</v>
      </c>
      <c r="N2411" s="16">
        <v>4.0</v>
      </c>
      <c r="O2411" s="17"/>
      <c r="P2411" s="18">
        <v>43661.22396990741</v>
      </c>
      <c r="Q2411" s="1" t="s">
        <v>2302</v>
      </c>
      <c r="R2411" s="1" t="s">
        <v>2303</v>
      </c>
      <c r="S2411" s="13" t="s">
        <v>2304</v>
      </c>
      <c r="T2411" s="14"/>
      <c r="U2411" s="19" t="str">
        <f>HYPERLINK("https://pbs.twimg.com/profile_images/1153562188415737856/1QVWKhWI.jpg","View")</f>
        <v>View</v>
      </c>
      <c r="V2411" s="14"/>
      <c r="W2411" s="14"/>
      <c r="X2411" s="14"/>
      <c r="Y2411" s="14"/>
      <c r="Z2411" s="14"/>
    </row>
    <row r="2412">
      <c r="A2412" s="11">
        <v>43843.499548611115</v>
      </c>
      <c r="B2412" s="12" t="str">
        <f>HYPERLINK("https://twitter.com/TheVentureOut","@TheVentureOut")</f>
        <v>@TheVentureOut</v>
      </c>
      <c r="C2412" s="1" t="s">
        <v>6884</v>
      </c>
      <c r="D2412" s="1" t="s">
        <v>10861</v>
      </c>
      <c r="E2412" s="12" t="str">
        <f>HYPERLINK("https://twitter.com/TheVentureOut/status/1216766697677430789","1216766697677430789")</f>
        <v>1216766697677430789</v>
      </c>
      <c r="F2412" s="13" t="s">
        <v>10862</v>
      </c>
      <c r="G2412" s="14"/>
      <c r="H2412" s="14"/>
      <c r="I2412" s="15">
        <v>0.0</v>
      </c>
      <c r="J2412" s="15">
        <v>0.0</v>
      </c>
      <c r="K2412" s="12" t="str">
        <f>HYPERLINK("http://www.mailchimp.com","Mailchimp")</f>
        <v>Mailchimp</v>
      </c>
      <c r="L2412" s="16">
        <v>2135.0</v>
      </c>
      <c r="M2412" s="16">
        <v>258.0</v>
      </c>
      <c r="N2412" s="16">
        <v>2.0</v>
      </c>
      <c r="O2412" s="17"/>
      <c r="P2412" s="18">
        <v>42005.5225462963</v>
      </c>
      <c r="Q2412" s="1" t="s">
        <v>2546</v>
      </c>
      <c r="R2412" s="1" t="s">
        <v>6887</v>
      </c>
      <c r="S2412" s="13" t="s">
        <v>6888</v>
      </c>
      <c r="T2412" s="14"/>
      <c r="U2412" s="19" t="str">
        <f>HYPERLINK("https://pbs.twimg.com/profile_images/1032289773275295744/J5HzQMKk.jpg","View")</f>
        <v>View</v>
      </c>
      <c r="V2412" s="14"/>
      <c r="W2412" s="14"/>
      <c r="X2412" s="14"/>
      <c r="Y2412" s="14"/>
      <c r="Z2412" s="14"/>
    </row>
    <row r="2413">
      <c r="A2413" s="11">
        <v>43843.49506944444</v>
      </c>
      <c r="B2413" s="12" t="str">
        <f>HYPERLINK("https://twitter.com/richardjdsouza","@richardjdsouza")</f>
        <v>@richardjdsouza</v>
      </c>
      <c r="C2413" s="1" t="s">
        <v>331</v>
      </c>
      <c r="D2413" s="1" t="s">
        <v>10863</v>
      </c>
      <c r="E2413" s="12" t="str">
        <f>HYPERLINK("https://twitter.com/richardjdsouza/status/1216765071705047040","1216765071705047040")</f>
        <v>1216765071705047040</v>
      </c>
      <c r="F2413" s="13" t="s">
        <v>10864</v>
      </c>
      <c r="G2413" s="13" t="s">
        <v>10865</v>
      </c>
      <c r="H2413" s="14"/>
      <c r="I2413" s="15">
        <v>0.0</v>
      </c>
      <c r="J2413" s="15">
        <v>0.0</v>
      </c>
      <c r="K2413" s="12" t="str">
        <f t="shared" ref="K2413:K2414" si="247">HYPERLINK("https://mobile.twitter.com","Twitter Web App")</f>
        <v>Twitter Web App</v>
      </c>
      <c r="L2413" s="16">
        <v>3374.0</v>
      </c>
      <c r="M2413" s="16">
        <v>3620.0</v>
      </c>
      <c r="N2413" s="16">
        <v>219.0</v>
      </c>
      <c r="O2413" s="17"/>
      <c r="P2413" s="18">
        <v>41103.774502314816</v>
      </c>
      <c r="Q2413" s="1" t="s">
        <v>335</v>
      </c>
      <c r="R2413" s="1" t="s">
        <v>336</v>
      </c>
      <c r="S2413" s="13" t="s">
        <v>337</v>
      </c>
      <c r="T2413" s="14"/>
      <c r="U2413" s="19" t="str">
        <f>HYPERLINK("https://pbs.twimg.com/profile_images/1052664453936934912/njnycOWK.jpg","View")</f>
        <v>View</v>
      </c>
      <c r="V2413" s="14"/>
      <c r="W2413" s="14"/>
      <c r="X2413" s="14"/>
      <c r="Y2413" s="14"/>
      <c r="Z2413" s="14"/>
    </row>
    <row r="2414">
      <c r="A2414" s="11">
        <v>43843.49388888889</v>
      </c>
      <c r="B2414" s="12" t="str">
        <f>HYPERLINK("https://twitter.com/HawkShieldSec","@HawkShieldSec")</f>
        <v>@HawkShieldSec</v>
      </c>
      <c r="C2414" s="1" t="s">
        <v>2802</v>
      </c>
      <c r="D2414" s="1" t="s">
        <v>10866</v>
      </c>
      <c r="E2414" s="12" t="str">
        <f>HYPERLINK("https://twitter.com/HawkShieldSec/status/1216764646826369026","1216764646826369026")</f>
        <v>1216764646826369026</v>
      </c>
      <c r="F2414" s="14"/>
      <c r="G2414" s="13" t="s">
        <v>10867</v>
      </c>
      <c r="H2414" s="14"/>
      <c r="I2414" s="15">
        <v>0.0</v>
      </c>
      <c r="J2414" s="15">
        <v>0.0</v>
      </c>
      <c r="K2414" s="12" t="str">
        <f t="shared" si="247"/>
        <v>Twitter Web App</v>
      </c>
      <c r="L2414" s="16">
        <v>167.0</v>
      </c>
      <c r="M2414" s="16">
        <v>660.0</v>
      </c>
      <c r="N2414" s="16">
        <v>0.0</v>
      </c>
      <c r="O2414" s="17"/>
      <c r="P2414" s="18">
        <v>42694.74780092592</v>
      </c>
      <c r="Q2414" s="1" t="s">
        <v>2806</v>
      </c>
      <c r="R2414" s="1" t="s">
        <v>2807</v>
      </c>
      <c r="S2414" s="13" t="s">
        <v>2808</v>
      </c>
      <c r="T2414" s="14"/>
      <c r="U2414" s="19" t="str">
        <f>HYPERLINK("https://pbs.twimg.com/profile_images/1208040878901747713/EfMGDSQO.jpg","View")</f>
        <v>View</v>
      </c>
      <c r="V2414" s="14"/>
      <c r="W2414" s="14"/>
      <c r="X2414" s="14"/>
      <c r="Y2414" s="14"/>
      <c r="Z2414" s="14"/>
    </row>
    <row r="2415">
      <c r="A2415" s="11">
        <v>43843.48894675926</v>
      </c>
      <c r="B2415" s="12" t="str">
        <f>HYPERLINK("https://twitter.com/ElyseenneC","@ElyseenneC")</f>
        <v>@ElyseenneC</v>
      </c>
      <c r="C2415" s="1" t="s">
        <v>10868</v>
      </c>
      <c r="D2415" s="1" t="s">
        <v>10869</v>
      </c>
      <c r="E2415" s="12" t="str">
        <f>HYPERLINK("https://twitter.com/ElyseenneC/status/1216762854088441863","1216762854088441863")</f>
        <v>1216762854088441863</v>
      </c>
      <c r="F2415" s="14"/>
      <c r="G2415" s="13" t="s">
        <v>10870</v>
      </c>
      <c r="H2415" s="14"/>
      <c r="I2415" s="15">
        <v>0.0</v>
      </c>
      <c r="J2415" s="15">
        <v>0.0</v>
      </c>
      <c r="K2415" s="12" t="str">
        <f>HYPERLINK("http://twitter.com/download/iphone","Twitter for iPhone")</f>
        <v>Twitter for iPhone</v>
      </c>
      <c r="L2415" s="16">
        <v>1.0</v>
      </c>
      <c r="M2415" s="16">
        <v>23.0</v>
      </c>
      <c r="N2415" s="16">
        <v>0.0</v>
      </c>
      <c r="O2415" s="17"/>
      <c r="P2415" s="18">
        <v>43840.84296296297</v>
      </c>
      <c r="Q2415" s="1" t="s">
        <v>10871</v>
      </c>
      <c r="R2415" s="1" t="s">
        <v>10872</v>
      </c>
      <c r="S2415" s="13" t="s">
        <v>10873</v>
      </c>
      <c r="T2415" s="14"/>
      <c r="U2415" s="19" t="str">
        <f>HYPERLINK("https://pbs.twimg.com/profile_images/1215804101285441536/wfUz6A4U.jpg","View")</f>
        <v>View</v>
      </c>
      <c r="V2415" s="14"/>
      <c r="W2415" s="14"/>
      <c r="X2415" s="14"/>
      <c r="Y2415" s="14"/>
      <c r="Z2415" s="14"/>
    </row>
    <row r="2416">
      <c r="A2416" s="11">
        <v>43843.48467592592</v>
      </c>
      <c r="B2416" s="12" t="str">
        <f>HYPERLINK("https://twitter.com/TweetedByJeanne","@TweetedByJeanne")</f>
        <v>@TweetedByJeanne</v>
      </c>
      <c r="C2416" s="1" t="s">
        <v>135</v>
      </c>
      <c r="D2416" s="1" t="s">
        <v>10874</v>
      </c>
      <c r="E2416" s="12" t="str">
        <f>HYPERLINK("https://twitter.com/TweetedByJeanne/status/1216761304934907905","1216761304934907905")</f>
        <v>1216761304934907905</v>
      </c>
      <c r="F2416" s="13" t="s">
        <v>10875</v>
      </c>
      <c r="G2416" s="13" t="s">
        <v>10876</v>
      </c>
      <c r="H2416" s="14"/>
      <c r="I2416" s="15">
        <v>0.0</v>
      </c>
      <c r="J2416" s="15">
        <v>0.0</v>
      </c>
      <c r="K2416" s="12" t="str">
        <f>HYPERLINK("https://missinglettr.com","Missinglettr")</f>
        <v>Missinglettr</v>
      </c>
      <c r="L2416" s="16">
        <v>759.0</v>
      </c>
      <c r="M2416" s="16">
        <v>585.0</v>
      </c>
      <c r="N2416" s="16">
        <v>14.0</v>
      </c>
      <c r="O2416" s="17"/>
      <c r="P2416" s="18">
        <v>39376.24958333334</v>
      </c>
      <c r="Q2416" s="14"/>
      <c r="R2416" s="1" t="s">
        <v>139</v>
      </c>
      <c r="S2416" s="13" t="s">
        <v>140</v>
      </c>
      <c r="T2416" s="14"/>
      <c r="U2416" s="19" t="str">
        <f>HYPERLINK("https://pbs.twimg.com/profile_images/1212485249222885376/GU9N66dR.jpg","View")</f>
        <v>View</v>
      </c>
      <c r="V2416" s="14"/>
      <c r="W2416" s="14"/>
      <c r="X2416" s="14"/>
      <c r="Y2416" s="14"/>
      <c r="Z2416" s="14"/>
    </row>
    <row r="2417">
      <c r="A2417" s="11">
        <v>43843.47917824074</v>
      </c>
      <c r="B2417" s="12" t="str">
        <f>HYPERLINK("https://twitter.com/TheMinimalistMi","@TheMinimalistMi")</f>
        <v>@TheMinimalistMi</v>
      </c>
      <c r="C2417" s="1" t="s">
        <v>10877</v>
      </c>
      <c r="D2417" s="1" t="s">
        <v>10878</v>
      </c>
      <c r="E2417" s="12" t="str">
        <f>HYPERLINK("https://twitter.com/TheMinimalistMi/status/1216759313949171715","1216759313949171715")</f>
        <v>1216759313949171715</v>
      </c>
      <c r="F2417" s="13" t="s">
        <v>10879</v>
      </c>
      <c r="G2417" s="14"/>
      <c r="H2417" s="14"/>
      <c r="I2417" s="15">
        <v>0.0</v>
      </c>
      <c r="J2417" s="15">
        <v>0.0</v>
      </c>
      <c r="K2417" s="12" t="str">
        <f t="shared" ref="K2417:K2418" si="248">HYPERLINK("https://mobile.twitter.com","Twitter Web App")</f>
        <v>Twitter Web App</v>
      </c>
      <c r="L2417" s="16">
        <v>94.0</v>
      </c>
      <c r="M2417" s="16">
        <v>14.0</v>
      </c>
      <c r="N2417" s="16">
        <v>0.0</v>
      </c>
      <c r="O2417" s="17"/>
      <c r="P2417" s="18">
        <v>43033.469618055555</v>
      </c>
      <c r="Q2417" s="1" t="s">
        <v>1969</v>
      </c>
      <c r="R2417" s="1" t="s">
        <v>10880</v>
      </c>
      <c r="S2417" s="14"/>
      <c r="T2417" s="14"/>
      <c r="U2417" s="19" t="str">
        <f>HYPERLINK("https://pbs.twimg.com/profile_images/1214992158761082881/ZeC3qtoV.jpg","View")</f>
        <v>View</v>
      </c>
      <c r="V2417" s="14"/>
      <c r="W2417" s="14"/>
      <c r="X2417" s="14"/>
      <c r="Y2417" s="14"/>
      <c r="Z2417" s="14"/>
    </row>
    <row r="2418">
      <c r="A2418" s="11">
        <v>43843.478055555555</v>
      </c>
      <c r="B2418" s="12" t="str">
        <f>HYPERLINK("https://twitter.com/EmeraldHRM","@EmeraldHRM")</f>
        <v>@EmeraldHRM</v>
      </c>
      <c r="C2418" s="1" t="s">
        <v>10881</v>
      </c>
      <c r="D2418" s="1" t="s">
        <v>10882</v>
      </c>
      <c r="E2418" s="12" t="str">
        <f>HYPERLINK("https://twitter.com/EmeraldHRM/status/1216758905612787712","1216758905612787712")</f>
        <v>1216758905612787712</v>
      </c>
      <c r="F2418" s="13" t="s">
        <v>6677</v>
      </c>
      <c r="G2418" s="14"/>
      <c r="H2418" s="14"/>
      <c r="I2418" s="15">
        <v>2.0</v>
      </c>
      <c r="J2418" s="15">
        <v>6.0</v>
      </c>
      <c r="K2418" s="12" t="str">
        <f t="shared" si="248"/>
        <v>Twitter Web App</v>
      </c>
      <c r="L2418" s="16">
        <v>1608.0</v>
      </c>
      <c r="M2418" s="16">
        <v>997.0</v>
      </c>
      <c r="N2418" s="16">
        <v>70.0</v>
      </c>
      <c r="O2418" s="17"/>
      <c r="P2418" s="18">
        <v>40669.189363425925</v>
      </c>
      <c r="Q2418" s="1" t="s">
        <v>10883</v>
      </c>
      <c r="R2418" s="1" t="s">
        <v>10884</v>
      </c>
      <c r="S2418" s="13" t="s">
        <v>10885</v>
      </c>
      <c r="T2418" s="14"/>
      <c r="U2418" s="19" t="str">
        <f>HYPERLINK("https://pbs.twimg.com/profile_images/1156485661563727872/sL8OD5yn.jpg","View")</f>
        <v>View</v>
      </c>
      <c r="V2418" s="14"/>
      <c r="W2418" s="14"/>
      <c r="X2418" s="14"/>
      <c r="Y2418" s="14"/>
      <c r="Z2418" s="14"/>
    </row>
    <row r="2419">
      <c r="A2419" s="11">
        <v>43843.47553240741</v>
      </c>
      <c r="B2419" s="12" t="str">
        <f>HYPERLINK("https://twitter.com/divinemercyuniv","@divinemercyuniv")</f>
        <v>@divinemercyuniv</v>
      </c>
      <c r="C2419" s="1" t="s">
        <v>10886</v>
      </c>
      <c r="D2419" s="1" t="s">
        <v>10887</v>
      </c>
      <c r="E2419" s="12" t="str">
        <f>HYPERLINK("https://twitter.com/divinemercyuniv/status/1216757993930481666","1216757993930481666")</f>
        <v>1216757993930481666</v>
      </c>
      <c r="F2419" s="13" t="s">
        <v>10888</v>
      </c>
      <c r="G2419" s="13" t="s">
        <v>10889</v>
      </c>
      <c r="H2419" s="14"/>
      <c r="I2419" s="15">
        <v>0.0</v>
      </c>
      <c r="J2419" s="15">
        <v>0.0</v>
      </c>
      <c r="K2419" s="12" t="str">
        <f>HYPERLINK("https://www.hootsuite.com","Hootsuite Inc.")</f>
        <v>Hootsuite Inc.</v>
      </c>
      <c r="L2419" s="16">
        <v>675.0</v>
      </c>
      <c r="M2419" s="16">
        <v>1242.0</v>
      </c>
      <c r="N2419" s="16">
        <v>25.0</v>
      </c>
      <c r="O2419" s="17"/>
      <c r="P2419" s="18">
        <v>39813.457650462966</v>
      </c>
      <c r="Q2419" s="1" t="s">
        <v>10890</v>
      </c>
      <c r="R2419" s="1" t="s">
        <v>10891</v>
      </c>
      <c r="S2419" s="13" t="s">
        <v>10892</v>
      </c>
      <c r="T2419" s="14"/>
      <c r="U2419" s="19" t="str">
        <f>HYPERLINK("https://pbs.twimg.com/profile_images/1170767040409415680/Ukex7N1Y.jpg","View")</f>
        <v>View</v>
      </c>
      <c r="V2419" s="14"/>
      <c r="W2419" s="14"/>
      <c r="X2419" s="14"/>
      <c r="Y2419" s="14"/>
      <c r="Z2419" s="14"/>
    </row>
    <row r="2420">
      <c r="A2420" s="11">
        <v>43843.47152777778</v>
      </c>
      <c r="B2420" s="12" t="str">
        <f>HYPERLINK("https://twitter.com/theaaazone","@theaaazone")</f>
        <v>@theaaazone</v>
      </c>
      <c r="C2420" s="1" t="s">
        <v>5084</v>
      </c>
      <c r="D2420" s="1" t="s">
        <v>5085</v>
      </c>
      <c r="E2420" s="12" t="str">
        <f>HYPERLINK("https://twitter.com/theaaazone/status/1216756540855681024","1216756540855681024")</f>
        <v>1216756540855681024</v>
      </c>
      <c r="F2420" s="14"/>
      <c r="G2420" s="13" t="s">
        <v>10893</v>
      </c>
      <c r="H2420" s="14"/>
      <c r="I2420" s="15">
        <v>1.0</v>
      </c>
      <c r="J2420" s="15">
        <v>0.0</v>
      </c>
      <c r="K2420" s="12" t="str">
        <f>HYPERLINK("https://about.twitter.com/products/tweetdeck","TweetDeck")</f>
        <v>TweetDeck</v>
      </c>
      <c r="L2420" s="16">
        <v>219.0</v>
      </c>
      <c r="M2420" s="16">
        <v>138.0</v>
      </c>
      <c r="N2420" s="16">
        <v>2.0</v>
      </c>
      <c r="O2420" s="17"/>
      <c r="P2420" s="18">
        <v>42748.381377314814</v>
      </c>
      <c r="Q2420" s="14"/>
      <c r="R2420" s="14"/>
      <c r="S2420" s="14"/>
      <c r="T2420" s="14"/>
      <c r="U2420" s="19" t="str">
        <f>HYPERLINK("https://pbs.twimg.com/profile_images/842701143075700738/SU9JYcwI.jpg","View")</f>
        <v>View</v>
      </c>
      <c r="V2420" s="14"/>
      <c r="W2420" s="14"/>
      <c r="X2420" s="14"/>
      <c r="Y2420" s="14"/>
      <c r="Z2420" s="14"/>
    </row>
    <row r="2421">
      <c r="A2421" s="11">
        <v>43843.47039351852</v>
      </c>
      <c r="B2421" s="12" t="str">
        <f>HYPERLINK("https://twitter.com/FSonnenberg","@FSonnenberg")</f>
        <v>@FSonnenberg</v>
      </c>
      <c r="C2421" s="1" t="s">
        <v>659</v>
      </c>
      <c r="D2421" s="1" t="s">
        <v>10894</v>
      </c>
      <c r="E2421" s="12" t="str">
        <f>HYPERLINK("https://twitter.com/FSonnenberg/status/1216756132821204992","1216756132821204992")</f>
        <v>1216756132821204992</v>
      </c>
      <c r="F2421" s="13" t="s">
        <v>10895</v>
      </c>
      <c r="G2421" s="13" t="s">
        <v>10896</v>
      </c>
      <c r="H2421" s="14"/>
      <c r="I2421" s="15">
        <v>0.0</v>
      </c>
      <c r="J2421" s="15">
        <v>0.0</v>
      </c>
      <c r="K2421" s="12" t="str">
        <f>HYPERLINK("https://www.socialjukebox.com","The Social Jukebox")</f>
        <v>The Social Jukebox</v>
      </c>
      <c r="L2421" s="16">
        <v>93854.0</v>
      </c>
      <c r="M2421" s="16">
        <v>61540.0</v>
      </c>
      <c r="N2421" s="16">
        <v>2658.0</v>
      </c>
      <c r="O2421" s="17"/>
      <c r="P2421" s="18">
        <v>40419.65079861111</v>
      </c>
      <c r="Q2421" s="1" t="s">
        <v>662</v>
      </c>
      <c r="R2421" s="1" t="s">
        <v>663</v>
      </c>
      <c r="S2421" s="13" t="s">
        <v>664</v>
      </c>
      <c r="T2421" s="14"/>
      <c r="U2421" s="19" t="str">
        <f>HYPERLINK("https://pbs.twimg.com/profile_images/841693592733155328/Hk0DSFtA.jpg","View")</f>
        <v>View</v>
      </c>
      <c r="V2421" s="14"/>
      <c r="W2421" s="14"/>
      <c r="X2421" s="14"/>
      <c r="Y2421" s="14"/>
      <c r="Z2421" s="14"/>
    </row>
    <row r="2422">
      <c r="A2422" s="11">
        <v>43843.469456018516</v>
      </c>
      <c r="B2422" s="12" t="str">
        <f>HYPERLINK("https://twitter.com/gaynorbuller","@gaynorbuller")</f>
        <v>@gaynorbuller</v>
      </c>
      <c r="C2422" s="1" t="s">
        <v>10897</v>
      </c>
      <c r="D2422" s="1" t="s">
        <v>10898</v>
      </c>
      <c r="E2422" s="12" t="str">
        <f>HYPERLINK("https://twitter.com/gaynorbuller/status/1216755791665016832","1216755791665016832")</f>
        <v>1216755791665016832</v>
      </c>
      <c r="F2422" s="14"/>
      <c r="G2422" s="14"/>
      <c r="H2422" s="14"/>
      <c r="I2422" s="15">
        <v>0.0</v>
      </c>
      <c r="J2422" s="15">
        <v>0.0</v>
      </c>
      <c r="K2422" s="12" t="str">
        <f t="shared" ref="K2422:K2423" si="249">HYPERLINK("http://twitter.com/download/iphone","Twitter for iPhone")</f>
        <v>Twitter for iPhone</v>
      </c>
      <c r="L2422" s="16">
        <v>81.0</v>
      </c>
      <c r="M2422" s="16">
        <v>62.0</v>
      </c>
      <c r="N2422" s="16">
        <v>1.0</v>
      </c>
      <c r="O2422" s="17"/>
      <c r="P2422" s="18">
        <v>41941.82068287037</v>
      </c>
      <c r="Q2422" s="1" t="s">
        <v>10899</v>
      </c>
      <c r="R2422" s="1" t="s">
        <v>10900</v>
      </c>
      <c r="S2422" s="13" t="s">
        <v>10901</v>
      </c>
      <c r="T2422" s="14"/>
      <c r="U2422" s="19" t="str">
        <f>HYPERLINK("https://pbs.twimg.com/profile_images/1116628469138350082/5pPfGfP2.jpg","View")</f>
        <v>View</v>
      </c>
      <c r="V2422" s="14"/>
      <c r="W2422" s="14"/>
      <c r="X2422" s="14"/>
      <c r="Y2422" s="14"/>
      <c r="Z2422" s="14"/>
    </row>
    <row r="2423">
      <c r="A2423" s="11">
        <v>43843.46810185185</v>
      </c>
      <c r="B2423" s="12" t="str">
        <f>HYPERLINK("https://twitter.com/BethkazV","@BethkazV")</f>
        <v>@BethkazV</v>
      </c>
      <c r="C2423" s="1" t="s">
        <v>4165</v>
      </c>
      <c r="D2423" s="1" t="s">
        <v>193</v>
      </c>
      <c r="E2423" s="12" t="str">
        <f>HYPERLINK("https://twitter.com/BethkazV/status/1216755301057204234","1216755301057204234")</f>
        <v>1216755301057204234</v>
      </c>
      <c r="F2423" s="13" t="s">
        <v>4166</v>
      </c>
      <c r="G2423" s="14"/>
      <c r="H2423" s="14"/>
      <c r="I2423" s="15">
        <v>0.0</v>
      </c>
      <c r="J2423" s="15">
        <v>0.0</v>
      </c>
      <c r="K2423" s="12" t="str">
        <f t="shared" si="249"/>
        <v>Twitter for iPhone</v>
      </c>
      <c r="L2423" s="16">
        <v>2932.0</v>
      </c>
      <c r="M2423" s="16">
        <v>4951.0</v>
      </c>
      <c r="N2423" s="16">
        <v>233.0</v>
      </c>
      <c r="O2423" s="17"/>
      <c r="P2423" s="18">
        <v>41752.73159722222</v>
      </c>
      <c r="Q2423" s="1" t="s">
        <v>2987</v>
      </c>
      <c r="R2423" s="14"/>
      <c r="S2423" s="14"/>
      <c r="T2423" s="14"/>
      <c r="U2423" s="19" t="str">
        <f>HYPERLINK("https://pbs.twimg.com/profile_images/1180955750962798594/g6vdWNBM.jpg","View")</f>
        <v>View</v>
      </c>
      <c r="V2423" s="14"/>
      <c r="W2423" s="14"/>
      <c r="X2423" s="14"/>
      <c r="Y2423" s="14"/>
      <c r="Z2423" s="14"/>
    </row>
    <row r="2424">
      <c r="A2424" s="11">
        <v>43843.46807870371</v>
      </c>
      <c r="B2424" s="12" t="str">
        <f>HYPERLINK("https://twitter.com/VFORVIBESoffic","@VFORVIBESoffic")</f>
        <v>@VFORVIBESoffic</v>
      </c>
      <c r="C2424" s="1" t="s">
        <v>10902</v>
      </c>
      <c r="D2424" s="1" t="s">
        <v>10903</v>
      </c>
      <c r="E2424" s="12" t="str">
        <f>HYPERLINK("https://twitter.com/VFORVIBESoffic/status/1216755294132494338","1216755294132494338")</f>
        <v>1216755294132494338</v>
      </c>
      <c r="F2424" s="13" t="s">
        <v>10904</v>
      </c>
      <c r="G2424" s="14"/>
      <c r="H2424" s="14"/>
      <c r="I2424" s="15">
        <v>0.0</v>
      </c>
      <c r="J2424" s="15">
        <v>0.0</v>
      </c>
      <c r="K2424" s="12" t="str">
        <f>HYPERLINK("https://sproutsocial.com","Sprout Social")</f>
        <v>Sprout Social</v>
      </c>
      <c r="L2424" s="16">
        <v>66.0</v>
      </c>
      <c r="M2424" s="16">
        <v>48.0</v>
      </c>
      <c r="N2424" s="16">
        <v>0.0</v>
      </c>
      <c r="O2424" s="17"/>
      <c r="P2424" s="18">
        <v>43581.63585648148</v>
      </c>
      <c r="Q2424" s="1" t="s">
        <v>10905</v>
      </c>
      <c r="R2424" s="1" t="s">
        <v>10906</v>
      </c>
      <c r="S2424" s="13" t="s">
        <v>10907</v>
      </c>
      <c r="T2424" s="14"/>
      <c r="U2424" s="19" t="str">
        <f>HYPERLINK("https://pbs.twimg.com/profile_images/1171638264085843969/F0QJmUNA.jpg","View")</f>
        <v>View</v>
      </c>
      <c r="V2424" s="14"/>
      <c r="W2424" s="14"/>
      <c r="X2424" s="14"/>
      <c r="Y2424" s="14"/>
      <c r="Z2424" s="14"/>
    </row>
    <row r="2425">
      <c r="A2425" s="11">
        <v>43843.46408564815</v>
      </c>
      <c r="B2425" s="12" t="str">
        <f>HYPERLINK("https://twitter.com/ReputationComm","@ReputationComm")</f>
        <v>@ReputationComm</v>
      </c>
      <c r="C2425" s="1" t="s">
        <v>954</v>
      </c>
      <c r="D2425" s="1" t="s">
        <v>10908</v>
      </c>
      <c r="E2425" s="12" t="str">
        <f>HYPERLINK("https://twitter.com/ReputationComm/status/1216753846820777985","1216753846820777985")</f>
        <v>1216753846820777985</v>
      </c>
      <c r="F2425" s="14"/>
      <c r="G2425" s="14"/>
      <c r="H2425" s="14"/>
      <c r="I2425" s="15">
        <v>1.0</v>
      </c>
      <c r="J2425" s="15">
        <v>1.0</v>
      </c>
      <c r="K2425" s="12" t="str">
        <f>HYPERLINK("http://twitter.com/download/android","Twitter for Android")</f>
        <v>Twitter for Android</v>
      </c>
      <c r="L2425" s="16">
        <v>550.0</v>
      </c>
      <c r="M2425" s="16">
        <v>319.0</v>
      </c>
      <c r="N2425" s="16">
        <v>16.0</v>
      </c>
      <c r="O2425" s="17"/>
      <c r="P2425" s="18">
        <v>42864.74561342593</v>
      </c>
      <c r="Q2425" s="1" t="s">
        <v>957</v>
      </c>
      <c r="R2425" s="1" t="s">
        <v>958</v>
      </c>
      <c r="S2425" s="13" t="s">
        <v>959</v>
      </c>
      <c r="T2425" s="14"/>
      <c r="U2425" s="19" t="str">
        <f>HYPERLINK("https://pbs.twimg.com/profile_images/1112951235047514112/Wo8ONT1p.jpg","View")</f>
        <v>View</v>
      </c>
      <c r="V2425" s="14"/>
      <c r="W2425" s="14"/>
      <c r="X2425" s="14"/>
      <c r="Y2425" s="14"/>
      <c r="Z2425" s="14"/>
    </row>
    <row r="2426">
      <c r="A2426" s="11">
        <v>43843.463854166665</v>
      </c>
      <c r="B2426" s="12" t="str">
        <f>HYPERLINK("https://twitter.com/DrPedre","@DrPedre")</f>
        <v>@DrPedre</v>
      </c>
      <c r="C2426" s="1" t="s">
        <v>10909</v>
      </c>
      <c r="D2426" s="1" t="s">
        <v>10910</v>
      </c>
      <c r="E2426" s="12" t="str">
        <f>HYPERLINK("https://twitter.com/DrPedre/status/1216753761256988672","1216753761256988672")</f>
        <v>1216753761256988672</v>
      </c>
      <c r="F2426" s="13" t="s">
        <v>10911</v>
      </c>
      <c r="G2426" s="13" t="s">
        <v>10912</v>
      </c>
      <c r="H2426" s="14"/>
      <c r="I2426" s="15">
        <v>1.0</v>
      </c>
      <c r="J2426" s="15">
        <v>2.0</v>
      </c>
      <c r="K2426" s="12" t="str">
        <f>HYPERLINK("https://mobile.twitter.com","Twitter Web App")</f>
        <v>Twitter Web App</v>
      </c>
      <c r="L2426" s="16">
        <v>6452.0</v>
      </c>
      <c r="M2426" s="16">
        <v>4267.0</v>
      </c>
      <c r="N2426" s="16">
        <v>277.0</v>
      </c>
      <c r="O2426" s="17"/>
      <c r="P2426" s="18">
        <v>40015.45905092593</v>
      </c>
      <c r="Q2426" s="1" t="s">
        <v>1116</v>
      </c>
      <c r="R2426" s="1" t="s">
        <v>10913</v>
      </c>
      <c r="S2426" s="13" t="s">
        <v>10914</v>
      </c>
      <c r="T2426" s="14"/>
      <c r="U2426" s="19" t="str">
        <f>HYPERLINK("https://pbs.twimg.com/profile_images/823563677035036673/g_68TJnn.jpg","View")</f>
        <v>View</v>
      </c>
      <c r="V2426" s="14"/>
      <c r="W2426" s="14"/>
      <c r="X2426" s="14"/>
      <c r="Y2426" s="14"/>
      <c r="Z2426" s="14"/>
    </row>
    <row r="2427">
      <c r="A2427" s="11">
        <v>43843.45891203704</v>
      </c>
      <c r="B2427" s="12" t="str">
        <f>HYPERLINK("https://twitter.com/alysonschafer","@alysonschafer")</f>
        <v>@alysonschafer</v>
      </c>
      <c r="C2427" s="1" t="s">
        <v>10915</v>
      </c>
      <c r="D2427" s="1" t="s">
        <v>10916</v>
      </c>
      <c r="E2427" s="12" t="str">
        <f>HYPERLINK("https://twitter.com/alysonschafer/status/1216751970960187395","1216751970960187395")</f>
        <v>1216751970960187395</v>
      </c>
      <c r="F2427" s="13" t="s">
        <v>10917</v>
      </c>
      <c r="G2427" s="13" t="s">
        <v>10918</v>
      </c>
      <c r="H2427" s="14"/>
      <c r="I2427" s="15">
        <v>2.0</v>
      </c>
      <c r="J2427" s="15">
        <v>4.0</v>
      </c>
      <c r="K2427" s="12" t="str">
        <f>HYPERLINK("https://www.hootsuite.com","Hootsuite Inc.")</f>
        <v>Hootsuite Inc.</v>
      </c>
      <c r="L2427" s="16">
        <v>10068.0</v>
      </c>
      <c r="M2427" s="16">
        <v>4985.0</v>
      </c>
      <c r="N2427" s="16">
        <v>352.0</v>
      </c>
      <c r="O2427" s="17"/>
      <c r="P2427" s="18">
        <v>39500.595868055556</v>
      </c>
      <c r="Q2427" s="1" t="s">
        <v>8594</v>
      </c>
      <c r="R2427" s="1" t="s">
        <v>10919</v>
      </c>
      <c r="S2427" s="13" t="s">
        <v>10920</v>
      </c>
      <c r="T2427" s="14"/>
      <c r="U2427" s="19" t="str">
        <f>HYPERLINK("https://pbs.twimg.com/profile_images/812317401228386304/BqDUeCuM.jpg","View")</f>
        <v>View</v>
      </c>
      <c r="V2427" s="14"/>
      <c r="W2427" s="14"/>
      <c r="X2427" s="14"/>
      <c r="Y2427" s="14"/>
      <c r="Z2427" s="14"/>
    </row>
    <row r="2428">
      <c r="A2428" s="11">
        <v>43843.45873842592</v>
      </c>
      <c r="B2428" s="12" t="str">
        <f>HYPERLINK("https://twitter.com/HealingSoundsTx","@HealingSoundsTx")</f>
        <v>@HealingSoundsTx</v>
      </c>
      <c r="C2428" s="1" t="s">
        <v>587</v>
      </c>
      <c r="D2428" s="1" t="s">
        <v>10921</v>
      </c>
      <c r="E2428" s="12" t="str">
        <f>HYPERLINK("https://twitter.com/HealingSoundsTx/status/1216751905780719617","1216751905780719617")</f>
        <v>1216751905780719617</v>
      </c>
      <c r="F2428" s="13" t="s">
        <v>10922</v>
      </c>
      <c r="G2428" s="14"/>
      <c r="H2428" s="14"/>
      <c r="I2428" s="15">
        <v>1.0</v>
      </c>
      <c r="J2428" s="15">
        <v>0.0</v>
      </c>
      <c r="K2428" s="12" t="str">
        <f>HYPERLINK("https://smarterqueue.com","SmarterQueue")</f>
        <v>SmarterQueue</v>
      </c>
      <c r="L2428" s="16">
        <v>1071.0</v>
      </c>
      <c r="M2428" s="16">
        <v>791.0</v>
      </c>
      <c r="N2428" s="16">
        <v>170.0</v>
      </c>
      <c r="O2428" s="17"/>
      <c r="P2428" s="18">
        <v>40752.95190972222</v>
      </c>
      <c r="Q2428" s="1" t="s">
        <v>590</v>
      </c>
      <c r="R2428" s="1" t="s">
        <v>591</v>
      </c>
      <c r="S2428" s="13" t="s">
        <v>592</v>
      </c>
      <c r="T2428" s="14"/>
      <c r="U2428" s="19" t="str">
        <f>HYPERLINK("https://pbs.twimg.com/profile_images/1039513853443227648/UEQFTVre.jpg","View")</f>
        <v>View</v>
      </c>
      <c r="V2428" s="14"/>
      <c r="W2428" s="14"/>
      <c r="X2428" s="14"/>
      <c r="Y2428" s="14"/>
      <c r="Z2428" s="14"/>
    </row>
    <row r="2429">
      <c r="A2429" s="11">
        <v>43843.458495370374</v>
      </c>
      <c r="B2429" s="12" t="str">
        <f>HYPERLINK("https://twitter.com/neuroflowlive","@neuroflowlive")</f>
        <v>@neuroflowlive</v>
      </c>
      <c r="C2429" s="1" t="s">
        <v>2288</v>
      </c>
      <c r="D2429" s="1" t="s">
        <v>10923</v>
      </c>
      <c r="E2429" s="12" t="str">
        <f>HYPERLINK("https://twitter.com/neuroflowlive/status/1216751820309192704","1216751820309192704")</f>
        <v>1216751820309192704</v>
      </c>
      <c r="F2429" s="13" t="s">
        <v>10924</v>
      </c>
      <c r="G2429" s="14"/>
      <c r="H2429" s="14"/>
      <c r="I2429" s="15">
        <v>0.0</v>
      </c>
      <c r="J2429" s="15">
        <v>0.0</v>
      </c>
      <c r="K2429" s="12" t="str">
        <f>HYPERLINK("http://www.hubspot.com/","HubSpot")</f>
        <v>HubSpot</v>
      </c>
      <c r="L2429" s="16">
        <v>888.0</v>
      </c>
      <c r="M2429" s="16">
        <v>1447.0</v>
      </c>
      <c r="N2429" s="16">
        <v>16.0</v>
      </c>
      <c r="O2429" s="17"/>
      <c r="P2429" s="18">
        <v>42802.66462962963</v>
      </c>
      <c r="Q2429" s="1" t="s">
        <v>2015</v>
      </c>
      <c r="R2429" s="1" t="s">
        <v>2291</v>
      </c>
      <c r="S2429" s="13" t="s">
        <v>2292</v>
      </c>
      <c r="T2429" s="14"/>
      <c r="U2429" s="19" t="str">
        <f>HYPERLINK("https://pbs.twimg.com/profile_images/1048386258378973184/mkvdztzj.jpg","View")</f>
        <v>View</v>
      </c>
      <c r="V2429" s="14"/>
      <c r="W2429" s="14"/>
      <c r="X2429" s="14"/>
      <c r="Y2429" s="14"/>
      <c r="Z2429" s="14"/>
    </row>
    <row r="2430">
      <c r="A2430" s="11">
        <v>43843.4584837963</v>
      </c>
      <c r="B2430" s="12" t="str">
        <f>HYPERLINK("https://twitter.com/medical_xpress","@medical_xpress")</f>
        <v>@medical_xpress</v>
      </c>
      <c r="C2430" s="1" t="s">
        <v>3617</v>
      </c>
      <c r="D2430" s="1" t="s">
        <v>10925</v>
      </c>
      <c r="E2430" s="12" t="str">
        <f>HYPERLINK("https://twitter.com/medical_xpress/status/1216751814604922880","1216751814604922880")</f>
        <v>1216751814604922880</v>
      </c>
      <c r="F2430" s="13" t="s">
        <v>10926</v>
      </c>
      <c r="G2430" s="14"/>
      <c r="H2430" s="14"/>
      <c r="I2430" s="15">
        <v>16.0</v>
      </c>
      <c r="J2430" s="15">
        <v>27.0</v>
      </c>
      <c r="K2430" s="12" t="str">
        <f>HYPERLINK("https://sciencex.com/","Science X Status Updates")</f>
        <v>Science X Status Updates</v>
      </c>
      <c r="L2430" s="16">
        <v>94023.0</v>
      </c>
      <c r="M2430" s="16">
        <v>21.0</v>
      </c>
      <c r="N2430" s="16">
        <v>1676.0</v>
      </c>
      <c r="O2430" s="17"/>
      <c r="P2430" s="18">
        <v>40658.15300925926</v>
      </c>
      <c r="Q2430" s="14"/>
      <c r="R2430" s="1" t="s">
        <v>3620</v>
      </c>
      <c r="S2430" s="13" t="s">
        <v>3621</v>
      </c>
      <c r="T2430" s="14"/>
      <c r="U2430" s="19" t="str">
        <f>HYPERLINK("https://pbs.twimg.com/profile_images/1324543229/logo.jpg","View")</f>
        <v>View</v>
      </c>
      <c r="V2430" s="14"/>
      <c r="W2430" s="14"/>
      <c r="X2430" s="14"/>
      <c r="Y2430" s="14"/>
      <c r="Z2430" s="14"/>
    </row>
    <row r="2431">
      <c r="A2431" s="11">
        <v>43843.45846064815</v>
      </c>
      <c r="B2431" s="12" t="str">
        <f>HYPERLINK("https://twitter.com/CherylJanecky","@CherylJanecky")</f>
        <v>@CherylJanecky</v>
      </c>
      <c r="C2431" s="1" t="s">
        <v>1773</v>
      </c>
      <c r="D2431" s="1" t="s">
        <v>10927</v>
      </c>
      <c r="E2431" s="12" t="str">
        <f>HYPERLINK("https://twitter.com/CherylJanecky/status/1216751804827996160","1216751804827996160")</f>
        <v>1216751804827996160</v>
      </c>
      <c r="F2431" s="13" t="s">
        <v>10119</v>
      </c>
      <c r="G2431" s="14"/>
      <c r="H2431" s="14"/>
      <c r="I2431" s="15">
        <v>0.0</v>
      </c>
      <c r="J2431" s="15">
        <v>1.0</v>
      </c>
      <c r="K2431" s="12" t="str">
        <f>HYPERLINK("https://www.socialoomph.com","SocialOomph")</f>
        <v>SocialOomph</v>
      </c>
      <c r="L2431" s="16">
        <v>26291.0</v>
      </c>
      <c r="M2431" s="16">
        <v>30413.0</v>
      </c>
      <c r="N2431" s="16">
        <v>670.0</v>
      </c>
      <c r="O2431" s="17"/>
      <c r="P2431" s="18">
        <v>40232.579247685186</v>
      </c>
      <c r="Q2431" s="1" t="s">
        <v>1776</v>
      </c>
      <c r="R2431" s="1" t="s">
        <v>1777</v>
      </c>
      <c r="S2431" s="13" t="s">
        <v>1778</v>
      </c>
      <c r="T2431" s="14"/>
      <c r="U2431" s="19" t="str">
        <f>HYPERLINK("https://pbs.twimg.com/profile_images/714174290/janecky-80-80.jpg","View")</f>
        <v>View</v>
      </c>
      <c r="V2431" s="14"/>
      <c r="W2431" s="14"/>
      <c r="X2431" s="14"/>
      <c r="Y2431" s="14"/>
      <c r="Z2431" s="14"/>
    </row>
    <row r="2432">
      <c r="A2432" s="11">
        <v>43843.452569444446</v>
      </c>
      <c r="B2432" s="12" t="str">
        <f>HYPERLINK("https://twitter.com/DCSLNigeria","@DCSLNigeria")</f>
        <v>@DCSLNigeria</v>
      </c>
      <c r="C2432" s="1" t="s">
        <v>10928</v>
      </c>
      <c r="D2432" s="1" t="s">
        <v>10929</v>
      </c>
      <c r="E2432" s="12" t="str">
        <f>HYPERLINK("https://twitter.com/DCSLNigeria/status/1216749672548786176","1216749672548786176")</f>
        <v>1216749672548786176</v>
      </c>
      <c r="F2432" s="14"/>
      <c r="G2432" s="13" t="s">
        <v>10930</v>
      </c>
      <c r="H2432" s="14"/>
      <c r="I2432" s="15">
        <v>0.0</v>
      </c>
      <c r="J2432" s="15">
        <v>0.0</v>
      </c>
      <c r="K2432" s="12" t="str">
        <f>HYPERLINK("http://twitter.com/download/android","Twitter for Android")</f>
        <v>Twitter for Android</v>
      </c>
      <c r="L2432" s="16">
        <v>4201.0</v>
      </c>
      <c r="M2432" s="16">
        <v>165.0</v>
      </c>
      <c r="N2432" s="16">
        <v>2.0</v>
      </c>
      <c r="O2432" s="17"/>
      <c r="P2432" s="18">
        <v>41968.36672453704</v>
      </c>
      <c r="Q2432" s="1" t="s">
        <v>3729</v>
      </c>
      <c r="R2432" s="1" t="s">
        <v>10931</v>
      </c>
      <c r="S2432" s="14"/>
      <c r="T2432" s="14"/>
      <c r="U2432" s="19" t="str">
        <f>HYPERLINK("https://pbs.twimg.com/profile_images/1214119543041335296/866udcdM.jpg","View")</f>
        <v>View</v>
      </c>
      <c r="V2432" s="14"/>
      <c r="W2432" s="14"/>
      <c r="X2432" s="14"/>
      <c r="Y2432" s="14"/>
      <c r="Z2432" s="14"/>
    </row>
    <row r="2433">
      <c r="A2433" s="11">
        <v>43843.451111111106</v>
      </c>
      <c r="B2433" s="12" t="str">
        <f>HYPERLINK("https://twitter.com/RedBarnBlankets","@RedBarnBlankets")</f>
        <v>@RedBarnBlankets</v>
      </c>
      <c r="C2433" s="1" t="s">
        <v>6241</v>
      </c>
      <c r="D2433" s="1" t="s">
        <v>10932</v>
      </c>
      <c r="E2433" s="12" t="str">
        <f>HYPERLINK("https://twitter.com/RedBarnBlankets/status/1216749144301350914","1216749144301350914")</f>
        <v>1216749144301350914</v>
      </c>
      <c r="F2433" s="14"/>
      <c r="G2433" s="13" t="s">
        <v>10933</v>
      </c>
      <c r="H2433" s="14"/>
      <c r="I2433" s="15">
        <v>0.0</v>
      </c>
      <c r="J2433" s="15">
        <v>1.0</v>
      </c>
      <c r="K2433" s="12" t="str">
        <f>HYPERLINK("https://about.twitter.com/products/tweetdeck","TweetDeck")</f>
        <v>TweetDeck</v>
      </c>
      <c r="L2433" s="16">
        <v>941.0</v>
      </c>
      <c r="M2433" s="16">
        <v>459.0</v>
      </c>
      <c r="N2433" s="16">
        <v>0.0</v>
      </c>
      <c r="O2433" s="17"/>
      <c r="P2433" s="18">
        <v>42227.584375</v>
      </c>
      <c r="Q2433" s="1" t="s">
        <v>6245</v>
      </c>
      <c r="R2433" s="1" t="s">
        <v>6246</v>
      </c>
      <c r="S2433" s="13" t="s">
        <v>6247</v>
      </c>
      <c r="T2433" s="14"/>
      <c r="U2433" s="19" t="str">
        <f>HYPERLINK("https://pbs.twimg.com/profile_images/1201913428450959364/sLxO0dyX.jpg","View")</f>
        <v>View</v>
      </c>
      <c r="V2433" s="14"/>
      <c r="W2433" s="14"/>
      <c r="X2433" s="14"/>
      <c r="Y2433" s="14"/>
      <c r="Z2433" s="14"/>
    </row>
    <row r="2434">
      <c r="A2434" s="11">
        <v>43843.44981481481</v>
      </c>
      <c r="B2434" s="12" t="str">
        <f>HYPERLINK("https://twitter.com/dieatto","@dieatto")</f>
        <v>@dieatto</v>
      </c>
      <c r="C2434" s="1" t="s">
        <v>10934</v>
      </c>
      <c r="D2434" s="1" t="s">
        <v>10935</v>
      </c>
      <c r="E2434" s="12" t="str">
        <f>HYPERLINK("https://twitter.com/dieatto/status/1216748672349687810","1216748672349687810")</f>
        <v>1216748672349687810</v>
      </c>
      <c r="F2434" s="14"/>
      <c r="G2434" s="13" t="s">
        <v>10936</v>
      </c>
      <c r="H2434" s="14"/>
      <c r="I2434" s="15">
        <v>7.0</v>
      </c>
      <c r="J2434" s="15">
        <v>11.0</v>
      </c>
      <c r="K2434" s="12" t="str">
        <f>HYPERLINK("https://mobile.twitter.com","Twitter Web App")</f>
        <v>Twitter Web App</v>
      </c>
      <c r="L2434" s="16">
        <v>48.0</v>
      </c>
      <c r="M2434" s="16">
        <v>233.0</v>
      </c>
      <c r="N2434" s="16">
        <v>1.0</v>
      </c>
      <c r="O2434" s="17"/>
      <c r="P2434" s="18">
        <v>43401.545960648145</v>
      </c>
      <c r="Q2434" s="1" t="s">
        <v>10937</v>
      </c>
      <c r="R2434" s="1" t="s">
        <v>10938</v>
      </c>
      <c r="S2434" s="13" t="s">
        <v>10939</v>
      </c>
      <c r="T2434" s="14"/>
      <c r="U2434" s="19" t="str">
        <f>HYPERLINK("https://pbs.twimg.com/profile_images/1155470346272825345/1fYXE1Pz.jpg","View")</f>
        <v>View</v>
      </c>
      <c r="V2434" s="14"/>
      <c r="W2434" s="14"/>
      <c r="X2434" s="14"/>
      <c r="Y2434" s="14"/>
      <c r="Z2434" s="14"/>
    </row>
    <row r="2435">
      <c r="A2435" s="11">
        <v>43843.44908564815</v>
      </c>
      <c r="B2435" s="12" t="str">
        <f>HYPERLINK("https://twitter.com/dodomesticdad","@dodomesticdad")</f>
        <v>@dodomesticdad</v>
      </c>
      <c r="C2435" s="1" t="s">
        <v>10940</v>
      </c>
      <c r="D2435" s="1" t="s">
        <v>10941</v>
      </c>
      <c r="E2435" s="12" t="str">
        <f>HYPERLINK("https://twitter.com/dodomesticdad/status/1216748408154808329","1216748408154808329")</f>
        <v>1216748408154808329</v>
      </c>
      <c r="F2435" s="13" t="s">
        <v>10942</v>
      </c>
      <c r="G2435" s="13" t="s">
        <v>10943</v>
      </c>
      <c r="H2435" s="14"/>
      <c r="I2435" s="15">
        <v>0.0</v>
      </c>
      <c r="J2435" s="15">
        <v>0.0</v>
      </c>
      <c r="K2435" s="12" t="str">
        <f>HYPERLINK("https://missinglettr.com","Missinglettr")</f>
        <v>Missinglettr</v>
      </c>
      <c r="L2435" s="16">
        <v>63738.0</v>
      </c>
      <c r="M2435" s="16">
        <v>12286.0</v>
      </c>
      <c r="N2435" s="16">
        <v>1398.0</v>
      </c>
      <c r="O2435" s="17"/>
      <c r="P2435" s="18">
        <v>40129.70606481482</v>
      </c>
      <c r="Q2435" s="1" t="s">
        <v>10944</v>
      </c>
      <c r="R2435" s="1" t="s">
        <v>10945</v>
      </c>
      <c r="S2435" s="13" t="s">
        <v>10946</v>
      </c>
      <c r="T2435" s="14"/>
      <c r="U2435" s="19" t="str">
        <f>HYPERLINK("https://pbs.twimg.com/profile_images/688931011611111424/1qihGg0H.jpg","View")</f>
        <v>View</v>
      </c>
      <c r="V2435" s="14"/>
      <c r="W2435" s="14"/>
      <c r="X2435" s="14"/>
      <c r="Y2435" s="14"/>
      <c r="Z2435" s="14"/>
    </row>
    <row r="2436">
      <c r="A2436" s="11">
        <v>43843.44791666667</v>
      </c>
      <c r="B2436" s="12" t="str">
        <f>HYPERLINK("https://twitter.com/TrainingMindful","@TrainingMindful")</f>
        <v>@TrainingMindful</v>
      </c>
      <c r="C2436" s="1" t="s">
        <v>94</v>
      </c>
      <c r="D2436" s="1" t="s">
        <v>1623</v>
      </c>
      <c r="E2436" s="12" t="str">
        <f>HYPERLINK("https://twitter.com/TrainingMindful/status/1216747986329403394","1216747986329403394")</f>
        <v>1216747986329403394</v>
      </c>
      <c r="F2436" s="13" t="s">
        <v>1624</v>
      </c>
      <c r="G2436" s="14"/>
      <c r="H2436" s="14"/>
      <c r="I2436" s="15">
        <v>0.0</v>
      </c>
      <c r="J2436" s="15">
        <v>2.0</v>
      </c>
      <c r="K2436" s="12" t="str">
        <f>HYPERLINK("https://www.socialoomph.com","SocialOomph")</f>
        <v>SocialOomph</v>
      </c>
      <c r="L2436" s="16">
        <v>185303.0</v>
      </c>
      <c r="M2436" s="16">
        <v>43980.0</v>
      </c>
      <c r="N2436" s="16">
        <v>2800.0</v>
      </c>
      <c r="O2436" s="17"/>
      <c r="P2436" s="18">
        <v>41286.039305555554</v>
      </c>
      <c r="Q2436" s="1" t="s">
        <v>97</v>
      </c>
      <c r="R2436" s="1" t="s">
        <v>98</v>
      </c>
      <c r="S2436" s="13" t="s">
        <v>99</v>
      </c>
      <c r="T2436" s="14"/>
      <c r="U2436" s="19" t="str">
        <f>HYPERLINK("https://pbs.twimg.com/profile_images/566526924059459584/gdMxDA9x.jpeg","View")</f>
        <v>View</v>
      </c>
      <c r="V2436" s="14"/>
      <c r="W2436" s="14"/>
      <c r="X2436" s="14"/>
      <c r="Y2436" s="14"/>
      <c r="Z2436" s="14"/>
    </row>
    <row r="2437">
      <c r="A2437" s="11">
        <v>43843.444490740745</v>
      </c>
      <c r="B2437" s="12" t="str">
        <f>HYPERLINK("https://twitter.com/happyhandstoys","@happyhandstoys")</f>
        <v>@happyhandstoys</v>
      </c>
      <c r="C2437" s="1" t="s">
        <v>1795</v>
      </c>
      <c r="D2437" s="1" t="s">
        <v>2178</v>
      </c>
      <c r="E2437" s="12" t="str">
        <f>HYPERLINK("https://twitter.com/happyhandstoys/status/1216746742118522880","1216746742118522880")</f>
        <v>1216746742118522880</v>
      </c>
      <c r="F2437" s="13" t="s">
        <v>2179</v>
      </c>
      <c r="G2437" s="13" t="s">
        <v>10947</v>
      </c>
      <c r="H2437" s="14"/>
      <c r="I2437" s="15">
        <v>2.0</v>
      </c>
      <c r="J2437" s="15">
        <v>1.0</v>
      </c>
      <c r="K2437" s="12" t="str">
        <f>HYPERLINK("https://www.hootsuite.com","Hootsuite Inc.")</f>
        <v>Hootsuite Inc.</v>
      </c>
      <c r="L2437" s="16">
        <v>2541.0</v>
      </c>
      <c r="M2437" s="16">
        <v>4752.0</v>
      </c>
      <c r="N2437" s="16">
        <v>34.0</v>
      </c>
      <c r="O2437" s="17"/>
      <c r="P2437" s="18">
        <v>42817.57172453703</v>
      </c>
      <c r="Q2437" s="1" t="s">
        <v>1798</v>
      </c>
      <c r="R2437" s="1" t="s">
        <v>1799</v>
      </c>
      <c r="S2437" s="13" t="s">
        <v>1800</v>
      </c>
      <c r="T2437" s="14"/>
      <c r="U2437" s="19" t="str">
        <f>HYPERLINK("https://pbs.twimg.com/profile_images/845839282770100224/2YEak1EB.jpg","View")</f>
        <v>View</v>
      </c>
      <c r="V2437" s="14"/>
      <c r="W2437" s="14"/>
      <c r="X2437" s="14"/>
      <c r="Y2437" s="14"/>
      <c r="Z2437" s="14"/>
    </row>
    <row r="2438">
      <c r="A2438" s="11">
        <v>43843.443564814814</v>
      </c>
      <c r="B2438" s="12" t="str">
        <f>HYPERLINK("https://twitter.com/abigails_joy","@abigails_joy")</f>
        <v>@abigails_joy</v>
      </c>
      <c r="C2438" s="1" t="s">
        <v>10948</v>
      </c>
      <c r="D2438" s="1" t="s">
        <v>10949</v>
      </c>
      <c r="E2438" s="12" t="str">
        <f>HYPERLINK("https://twitter.com/abigails_joy/status/1216746407463477252","1216746407463477252")</f>
        <v>1216746407463477252</v>
      </c>
      <c r="F2438" s="14"/>
      <c r="G2438" s="14"/>
      <c r="H2438" s="14"/>
      <c r="I2438" s="15">
        <v>0.0</v>
      </c>
      <c r="J2438" s="15">
        <v>1.0</v>
      </c>
      <c r="K2438" s="12" t="str">
        <f>HYPERLINK("http://twitter.com/download/iphone","Twitter for iPhone")</f>
        <v>Twitter for iPhone</v>
      </c>
      <c r="L2438" s="16">
        <v>184.0</v>
      </c>
      <c r="M2438" s="16">
        <v>456.0</v>
      </c>
      <c r="N2438" s="16">
        <v>2.0</v>
      </c>
      <c r="O2438" s="17"/>
      <c r="P2438" s="18">
        <v>40755.925625</v>
      </c>
      <c r="Q2438" s="14"/>
      <c r="R2438" s="1" t="s">
        <v>10950</v>
      </c>
      <c r="S2438" s="14"/>
      <c r="T2438" s="14"/>
      <c r="U2438" s="19" t="str">
        <f>HYPERLINK("https://pbs.twimg.com/profile_images/1181090021694148613/BfKIiG6r.jpg","View")</f>
        <v>View</v>
      </c>
      <c r="V2438" s="14"/>
      <c r="W2438" s="14"/>
      <c r="X2438" s="14"/>
      <c r="Y2438" s="14"/>
      <c r="Z2438" s="14"/>
    </row>
    <row r="2439">
      <c r="A2439" s="11">
        <v>43843.44086805556</v>
      </c>
      <c r="B2439" s="12" t="str">
        <f>HYPERLINK("https://twitter.com/AIPMhealthylife","@AIPMhealthylife")</f>
        <v>@AIPMhealthylife</v>
      </c>
      <c r="C2439" s="1" t="s">
        <v>10951</v>
      </c>
      <c r="D2439" s="1" t="s">
        <v>10952</v>
      </c>
      <c r="E2439" s="12" t="str">
        <f>HYPERLINK("https://twitter.com/AIPMhealthylife/status/1216745433151737856","1216745433151737856")</f>
        <v>1216745433151737856</v>
      </c>
      <c r="F2439" s="13" t="s">
        <v>10953</v>
      </c>
      <c r="G2439" s="13" t="s">
        <v>10954</v>
      </c>
      <c r="H2439" s="14"/>
      <c r="I2439" s="15">
        <v>0.0</v>
      </c>
      <c r="J2439" s="15">
        <v>0.0</v>
      </c>
      <c r="K2439" s="12" t="str">
        <f>HYPERLINK("https://mobile.twitter.com","Twitter Web App")</f>
        <v>Twitter Web App</v>
      </c>
      <c r="L2439" s="16">
        <v>1092.0</v>
      </c>
      <c r="M2439" s="16">
        <v>545.0</v>
      </c>
      <c r="N2439" s="16">
        <v>50.0</v>
      </c>
      <c r="O2439" s="17"/>
      <c r="P2439" s="18">
        <v>40570.46699074074</v>
      </c>
      <c r="Q2439" s="1" t="s">
        <v>10955</v>
      </c>
      <c r="R2439" s="1" t="s">
        <v>10956</v>
      </c>
      <c r="S2439" s="13" t="s">
        <v>10957</v>
      </c>
      <c r="T2439" s="14"/>
      <c r="U2439" s="19" t="str">
        <f>HYPERLINK("https://pbs.twimg.com/profile_images/1173690741119442944/S-S9QGm0.jpg","View")</f>
        <v>View</v>
      </c>
      <c r="V2439" s="14"/>
      <c r="W2439" s="14"/>
      <c r="X2439" s="14"/>
      <c r="Y2439" s="14"/>
      <c r="Z2439" s="14"/>
    </row>
    <row r="2440">
      <c r="A2440" s="11">
        <v>43843.43888888889</v>
      </c>
      <c r="B2440" s="12" t="str">
        <f>HYPERLINK("https://twitter.com/Jazz_Kang_","@Jazz_Kang_")</f>
        <v>@Jazz_Kang_</v>
      </c>
      <c r="C2440" s="1" t="s">
        <v>10958</v>
      </c>
      <c r="D2440" s="1" t="s">
        <v>10959</v>
      </c>
      <c r="E2440" s="12" t="str">
        <f>HYPERLINK("https://twitter.com/Jazz_Kang_/status/1216744712926789633","1216744712926789633")</f>
        <v>1216744712926789633</v>
      </c>
      <c r="F2440" s="13" t="s">
        <v>10960</v>
      </c>
      <c r="G2440" s="14"/>
      <c r="H2440" s="14"/>
      <c r="I2440" s="15">
        <v>0.0</v>
      </c>
      <c r="J2440" s="15">
        <v>0.0</v>
      </c>
      <c r="K2440" s="12" t="str">
        <f>HYPERLINK("https://about.twitter.com/products/tweetdeck","TweetDeck")</f>
        <v>TweetDeck</v>
      </c>
      <c r="L2440" s="16">
        <v>109.0</v>
      </c>
      <c r="M2440" s="16">
        <v>132.0</v>
      </c>
      <c r="N2440" s="16">
        <v>0.0</v>
      </c>
      <c r="O2440" s="17"/>
      <c r="P2440" s="18">
        <v>42689.23596064815</v>
      </c>
      <c r="Q2440" s="1" t="s">
        <v>10961</v>
      </c>
      <c r="R2440" s="1" t="s">
        <v>10962</v>
      </c>
      <c r="S2440" s="13" t="s">
        <v>10963</v>
      </c>
      <c r="T2440" s="14"/>
      <c r="U2440" s="19" t="str">
        <f>HYPERLINK("https://pbs.twimg.com/profile_images/1083346097752498177/aUQ00Cdp.jpg","View")</f>
        <v>View</v>
      </c>
      <c r="V2440" s="14"/>
      <c r="W2440" s="14"/>
      <c r="X2440" s="14"/>
      <c r="Y2440" s="14"/>
      <c r="Z2440" s="14"/>
    </row>
    <row r="2441">
      <c r="A2441" s="11">
        <v>43843.43760416667</v>
      </c>
      <c r="B2441" s="12" t="str">
        <f>HYPERLINK("https://twitter.com/SkinBodyRenewal","@SkinBodyRenewal")</f>
        <v>@SkinBodyRenewal</v>
      </c>
      <c r="C2441" s="1" t="s">
        <v>3359</v>
      </c>
      <c r="D2441" s="1" t="s">
        <v>10964</v>
      </c>
      <c r="E2441" s="12" t="str">
        <f>HYPERLINK("https://twitter.com/SkinBodyRenewal/status/1216744249607294977","1216744249607294977")</f>
        <v>1216744249607294977</v>
      </c>
      <c r="F2441" s="13" t="s">
        <v>10965</v>
      </c>
      <c r="G2441" s="13" t="s">
        <v>10966</v>
      </c>
      <c r="H2441" s="14"/>
      <c r="I2441" s="15">
        <v>0.0</v>
      </c>
      <c r="J2441" s="15">
        <v>0.0</v>
      </c>
      <c r="K2441" s="12" t="str">
        <f>HYPERLINK("https://www.hootsuite.com","Hootsuite Inc.")</f>
        <v>Hootsuite Inc.</v>
      </c>
      <c r="L2441" s="16">
        <v>2730.0</v>
      </c>
      <c r="M2441" s="16">
        <v>951.0</v>
      </c>
      <c r="N2441" s="16">
        <v>121.0</v>
      </c>
      <c r="O2441" s="17"/>
      <c r="P2441" s="18">
        <v>40104.80892361111</v>
      </c>
      <c r="Q2441" s="1" t="s">
        <v>3363</v>
      </c>
      <c r="R2441" s="1" t="s">
        <v>3364</v>
      </c>
      <c r="S2441" s="13" t="s">
        <v>3365</v>
      </c>
      <c r="T2441" s="14"/>
      <c r="U2441" s="19" t="str">
        <f>HYPERLINK("https://pbs.twimg.com/profile_images/738965453372952576/wHs9qURU.jpg","View")</f>
        <v>View</v>
      </c>
      <c r="V2441" s="14"/>
      <c r="W2441" s="14"/>
      <c r="X2441" s="14"/>
      <c r="Y2441" s="14"/>
      <c r="Z2441" s="14"/>
    </row>
    <row r="2442">
      <c r="A2442" s="11">
        <v>43843.43760416667</v>
      </c>
      <c r="B2442" s="12" t="str">
        <f>HYPERLINK("https://twitter.com/suefirthstress","@suefirthstress")</f>
        <v>@suefirthstress</v>
      </c>
      <c r="C2442" s="1" t="s">
        <v>1955</v>
      </c>
      <c r="D2442" s="1" t="s">
        <v>10967</v>
      </c>
      <c r="E2442" s="12" t="str">
        <f>HYPERLINK("https://twitter.com/suefirthstress/status/1216744248596484097","1216744248596484097")</f>
        <v>1216744248596484097</v>
      </c>
      <c r="F2442" s="13" t="s">
        <v>10968</v>
      </c>
      <c r="G2442" s="14"/>
      <c r="H2442" s="14"/>
      <c r="I2442" s="15">
        <v>0.0</v>
      </c>
      <c r="J2442" s="15">
        <v>0.0</v>
      </c>
      <c r="K2442" s="12" t="str">
        <f>HYPERLINK("https://twittimer.com","Twittimer")</f>
        <v>Twittimer</v>
      </c>
      <c r="L2442" s="16">
        <v>1177.0</v>
      </c>
      <c r="M2442" s="16">
        <v>2092.0</v>
      </c>
      <c r="N2442" s="16">
        <v>150.0</v>
      </c>
      <c r="O2442" s="17"/>
      <c r="P2442" s="18">
        <v>39838.33070601852</v>
      </c>
      <c r="Q2442" s="1" t="s">
        <v>1958</v>
      </c>
      <c r="R2442" s="1" t="s">
        <v>1959</v>
      </c>
      <c r="S2442" s="13" t="s">
        <v>1960</v>
      </c>
      <c r="T2442" s="14"/>
      <c r="U2442" s="19" t="str">
        <f>HYPERLINK("https://pbs.twimg.com/profile_images/75671563/400_87240010.jpg","View")</f>
        <v>View</v>
      </c>
      <c r="V2442" s="14"/>
      <c r="W2442" s="14"/>
      <c r="X2442" s="14"/>
      <c r="Y2442" s="14"/>
      <c r="Z2442" s="14"/>
    </row>
    <row r="2443">
      <c r="A2443" s="11">
        <v>43843.43537037037</v>
      </c>
      <c r="B2443" s="12" t="str">
        <f>HYPERLINK("https://twitter.com/DPagliaccio","@DPagliaccio")</f>
        <v>@DPagliaccio</v>
      </c>
      <c r="C2443" s="1" t="s">
        <v>10969</v>
      </c>
      <c r="D2443" s="1" t="s">
        <v>10970</v>
      </c>
      <c r="E2443" s="12" t="str">
        <f>HYPERLINK("https://twitter.com/DPagliaccio/status/1216743437690531840","1216743437690531840")</f>
        <v>1216743437690531840</v>
      </c>
      <c r="F2443" s="13" t="s">
        <v>10971</v>
      </c>
      <c r="G2443" s="14"/>
      <c r="H2443" s="14"/>
      <c r="I2443" s="15">
        <v>13.0</v>
      </c>
      <c r="J2443" s="15">
        <v>14.0</v>
      </c>
      <c r="K2443" s="12" t="str">
        <f t="shared" ref="K2443:K2444" si="250">HYPERLINK("https://mobile.twitter.com","Twitter Web App")</f>
        <v>Twitter Web App</v>
      </c>
      <c r="L2443" s="16">
        <v>356.0</v>
      </c>
      <c r="M2443" s="16">
        <v>611.0</v>
      </c>
      <c r="N2443" s="16">
        <v>3.0</v>
      </c>
      <c r="O2443" s="17"/>
      <c r="P2443" s="18">
        <v>43356.267592592594</v>
      </c>
      <c r="Q2443" s="1" t="s">
        <v>809</v>
      </c>
      <c r="R2443" s="1" t="s">
        <v>10972</v>
      </c>
      <c r="S2443" s="14"/>
      <c r="T2443" s="14"/>
      <c r="U2443" s="19" t="str">
        <f>HYPERLINK("https://pbs.twimg.com/profile_images/1040186044086476800/yHm4p5jV.jpg","View")</f>
        <v>View</v>
      </c>
      <c r="V2443" s="14"/>
      <c r="W2443" s="14"/>
      <c r="X2443" s="14"/>
      <c r="Y2443" s="14"/>
      <c r="Z2443" s="14"/>
    </row>
    <row r="2444">
      <c r="A2444" s="11">
        <v>43843.43405092593</v>
      </c>
      <c r="B2444" s="12" t="str">
        <f>HYPERLINK("https://twitter.com/NatProducts","@NatProducts")</f>
        <v>@NatProducts</v>
      </c>
      <c r="C2444" s="1" t="s">
        <v>10973</v>
      </c>
      <c r="D2444" s="1" t="s">
        <v>10974</v>
      </c>
      <c r="E2444" s="12" t="str">
        <f>HYPERLINK("https://twitter.com/NatProducts/status/1216742960479580164","1216742960479580164")</f>
        <v>1216742960479580164</v>
      </c>
      <c r="F2444" s="13" t="s">
        <v>10975</v>
      </c>
      <c r="G2444" s="13" t="s">
        <v>10976</v>
      </c>
      <c r="H2444" s="14"/>
      <c r="I2444" s="15">
        <v>0.0</v>
      </c>
      <c r="J2444" s="15">
        <v>1.0</v>
      </c>
      <c r="K2444" s="12" t="str">
        <f t="shared" si="250"/>
        <v>Twitter Web App</v>
      </c>
      <c r="L2444" s="16">
        <v>5251.0</v>
      </c>
      <c r="M2444" s="16">
        <v>685.0</v>
      </c>
      <c r="N2444" s="16">
        <v>99.0</v>
      </c>
      <c r="O2444" s="17"/>
      <c r="P2444" s="18">
        <v>39972.26898148148</v>
      </c>
      <c r="Q2444" s="14"/>
      <c r="R2444" s="1" t="s">
        <v>10977</v>
      </c>
      <c r="S2444" s="13" t="s">
        <v>10978</v>
      </c>
      <c r="T2444" s="14"/>
      <c r="U2444" s="19" t="str">
        <f>HYPERLINK("https://pbs.twimg.com/profile_images/1668113262/twitter-logo.jpg","View")</f>
        <v>View</v>
      </c>
      <c r="V2444" s="14"/>
      <c r="W2444" s="14"/>
      <c r="X2444" s="14"/>
      <c r="Y2444" s="14"/>
      <c r="Z2444" s="14"/>
    </row>
    <row r="2445">
      <c r="A2445" s="11">
        <v>43843.43171296296</v>
      </c>
      <c r="B2445" s="12" t="str">
        <f>HYPERLINK("https://twitter.com/MyoThwinMyint","@MyoThwinMyint")</f>
        <v>@MyoThwinMyint</v>
      </c>
      <c r="C2445" s="1" t="s">
        <v>10979</v>
      </c>
      <c r="D2445" s="1" t="s">
        <v>10980</v>
      </c>
      <c r="E2445" s="12" t="str">
        <f>HYPERLINK("https://twitter.com/MyoThwinMyint/status/1216742115146903552","1216742115146903552")</f>
        <v>1216742115146903552</v>
      </c>
      <c r="F2445" s="1" t="s">
        <v>10981</v>
      </c>
      <c r="G2445" s="14"/>
      <c r="H2445" s="14"/>
      <c r="I2445" s="15">
        <v>1.0</v>
      </c>
      <c r="J2445" s="15">
        <v>2.0</v>
      </c>
      <c r="K2445" s="12" t="str">
        <f t="shared" ref="K2445:K2446" si="251">HYPERLINK("http://twitter.com/download/android","Twitter for Android")</f>
        <v>Twitter for Android</v>
      </c>
      <c r="L2445" s="16">
        <v>357.0</v>
      </c>
      <c r="M2445" s="16">
        <v>604.0</v>
      </c>
      <c r="N2445" s="16">
        <v>0.0</v>
      </c>
      <c r="O2445" s="17"/>
      <c r="P2445" s="18">
        <v>43033.37284722222</v>
      </c>
      <c r="Q2445" s="1" t="s">
        <v>6104</v>
      </c>
      <c r="R2445" s="1" t="s">
        <v>10982</v>
      </c>
      <c r="S2445" s="14"/>
      <c r="T2445" s="14"/>
      <c r="U2445" s="19" t="str">
        <f>HYPERLINK("https://pbs.twimg.com/profile_images/1178278987476459520/vZd32iMc.jpg","View")</f>
        <v>View</v>
      </c>
      <c r="V2445" s="14"/>
      <c r="W2445" s="14"/>
      <c r="X2445" s="14"/>
      <c r="Y2445" s="14"/>
      <c r="Z2445" s="14"/>
    </row>
    <row r="2446">
      <c r="A2446" s="11">
        <v>43843.43005787037</v>
      </c>
      <c r="B2446" s="12" t="str">
        <f>HYPERLINK("https://twitter.com/MNCAssociates","@MNCAssociates")</f>
        <v>@MNCAssociates</v>
      </c>
      <c r="C2446" s="1" t="s">
        <v>10983</v>
      </c>
      <c r="D2446" s="1" t="s">
        <v>10984</v>
      </c>
      <c r="E2446" s="12" t="str">
        <f>HYPERLINK("https://twitter.com/MNCAssociates/status/1216741512811307008","1216741512811307008")</f>
        <v>1216741512811307008</v>
      </c>
      <c r="F2446" s="13" t="s">
        <v>10985</v>
      </c>
      <c r="G2446" s="14"/>
      <c r="H2446" s="14"/>
      <c r="I2446" s="15">
        <v>0.0</v>
      </c>
      <c r="J2446" s="15">
        <v>0.0</v>
      </c>
      <c r="K2446" s="12" t="str">
        <f t="shared" si="251"/>
        <v>Twitter for Android</v>
      </c>
      <c r="L2446" s="16">
        <v>93.0</v>
      </c>
      <c r="M2446" s="16">
        <v>102.0</v>
      </c>
      <c r="N2446" s="16">
        <v>3.0</v>
      </c>
      <c r="O2446" s="17"/>
      <c r="P2446" s="18">
        <v>42587.663194444445</v>
      </c>
      <c r="Q2446" s="1" t="s">
        <v>263</v>
      </c>
      <c r="R2446" s="1" t="s">
        <v>10986</v>
      </c>
      <c r="S2446" s="13" t="s">
        <v>10987</v>
      </c>
      <c r="T2446" s="14"/>
      <c r="U2446" s="19" t="str">
        <f>HYPERLINK("https://pbs.twimg.com/profile_images/761655718680276993/qwN_U45N.jpg","View")</f>
        <v>View</v>
      </c>
      <c r="V2446" s="14"/>
      <c r="W2446" s="14"/>
      <c r="X2446" s="14"/>
      <c r="Y2446" s="14"/>
      <c r="Z2446" s="14"/>
    </row>
    <row r="2447">
      <c r="A2447" s="11">
        <v>43843.42903935185</v>
      </c>
      <c r="B2447" s="12" t="str">
        <f>HYPERLINK("https://twitter.com/SueSpeakeLMFT","@SueSpeakeLMFT")</f>
        <v>@SueSpeakeLMFT</v>
      </c>
      <c r="C2447" s="1" t="s">
        <v>10988</v>
      </c>
      <c r="D2447" s="1" t="s">
        <v>10989</v>
      </c>
      <c r="E2447" s="12" t="str">
        <f>HYPERLINK("https://twitter.com/SueSpeakeLMFT/status/1216741144492527616","1216741144492527616")</f>
        <v>1216741144492527616</v>
      </c>
      <c r="F2447" s="13" t="s">
        <v>10990</v>
      </c>
      <c r="G2447" s="14"/>
      <c r="H2447" s="14"/>
      <c r="I2447" s="15">
        <v>0.0</v>
      </c>
      <c r="J2447" s="15">
        <v>0.0</v>
      </c>
      <c r="K2447" s="12" t="str">
        <f>HYPERLINK("https://mobile.twitter.com","Twitter Web App")</f>
        <v>Twitter Web App</v>
      </c>
      <c r="L2447" s="16">
        <v>500.0</v>
      </c>
      <c r="M2447" s="16">
        <v>57.0</v>
      </c>
      <c r="N2447" s="16">
        <v>203.0</v>
      </c>
      <c r="O2447" s="17"/>
      <c r="P2447" s="18">
        <v>40201.74824074074</v>
      </c>
      <c r="Q2447" s="1" t="s">
        <v>521</v>
      </c>
      <c r="R2447" s="1" t="s">
        <v>10991</v>
      </c>
      <c r="S2447" s="13" t="s">
        <v>10992</v>
      </c>
      <c r="T2447" s="14"/>
      <c r="U2447" s="19" t="str">
        <f>HYPERLINK("https://pbs.twimg.com/profile_images/1061609358969102336/klMfQYeV.jpg","View")</f>
        <v>View</v>
      </c>
      <c r="V2447" s="14"/>
      <c r="W2447" s="14"/>
      <c r="X2447" s="14"/>
      <c r="Y2447" s="14"/>
      <c r="Z2447" s="14"/>
    </row>
    <row r="2448">
      <c r="A2448" s="11">
        <v>43843.428935185184</v>
      </c>
      <c r="B2448" s="12" t="str">
        <f>HYPERLINK("https://twitter.com/_sarcasm_wala","@_sarcasm_wala")</f>
        <v>@_sarcasm_wala</v>
      </c>
      <c r="C2448" s="1" t="s">
        <v>10993</v>
      </c>
      <c r="D2448" s="1" t="s">
        <v>10994</v>
      </c>
      <c r="E2448" s="12" t="str">
        <f>HYPERLINK("https://twitter.com/_sarcasm_wala/status/1216741107070930944","1216741107070930944")</f>
        <v>1216741107070930944</v>
      </c>
      <c r="F2448" s="14"/>
      <c r="G2448" s="14"/>
      <c r="H2448" s="14"/>
      <c r="I2448" s="15">
        <v>1.0</v>
      </c>
      <c r="J2448" s="15">
        <v>3.0</v>
      </c>
      <c r="K2448" s="12" t="str">
        <f>HYPERLINK("http://twitter.com/download/android","Twitter for Android")</f>
        <v>Twitter for Android</v>
      </c>
      <c r="L2448" s="16">
        <v>4.0</v>
      </c>
      <c r="M2448" s="16">
        <v>19.0</v>
      </c>
      <c r="N2448" s="16">
        <v>0.0</v>
      </c>
      <c r="O2448" s="17"/>
      <c r="P2448" s="18">
        <v>43540.4309375</v>
      </c>
      <c r="Q2448" s="1" t="s">
        <v>10995</v>
      </c>
      <c r="R2448" s="1" t="s">
        <v>10996</v>
      </c>
      <c r="S2448" s="14"/>
      <c r="T2448" s="14"/>
      <c r="U2448" s="19" t="str">
        <f>HYPERLINK("https://pbs.twimg.com/profile_images/1216133489398972416/l5mlcZjH.jpg","View")</f>
        <v>View</v>
      </c>
      <c r="V2448" s="14"/>
      <c r="W2448" s="14"/>
      <c r="X2448" s="14"/>
      <c r="Y2448" s="14"/>
      <c r="Z2448" s="14"/>
    </row>
    <row r="2449">
      <c r="A2449" s="11">
        <v>43843.42859953704</v>
      </c>
      <c r="B2449" s="12" t="str">
        <f>HYPERLINK("https://twitter.com/mylifenbalance","@mylifenbalance")</f>
        <v>@mylifenbalance</v>
      </c>
      <c r="C2449" s="1" t="s">
        <v>10997</v>
      </c>
      <c r="D2449" s="1" t="s">
        <v>10998</v>
      </c>
      <c r="E2449" s="12" t="str">
        <f>HYPERLINK("https://twitter.com/mylifenbalance/status/1216740984576466944","1216740984576466944")</f>
        <v>1216740984576466944</v>
      </c>
      <c r="F2449" s="13" t="s">
        <v>10999</v>
      </c>
      <c r="G2449" s="13" t="s">
        <v>11000</v>
      </c>
      <c r="H2449" s="14"/>
      <c r="I2449" s="15">
        <v>1.0</v>
      </c>
      <c r="J2449" s="15">
        <v>1.0</v>
      </c>
      <c r="K2449" s="12" t="str">
        <f>HYPERLINK("https://www.socialjukebox.com","The Social Jukebox")</f>
        <v>The Social Jukebox</v>
      </c>
      <c r="L2449" s="16">
        <v>48570.0</v>
      </c>
      <c r="M2449" s="16">
        <v>26816.0</v>
      </c>
      <c r="N2449" s="16">
        <v>1149.0</v>
      </c>
      <c r="O2449" s="17"/>
      <c r="P2449" s="18">
        <v>42038.345243055555</v>
      </c>
      <c r="Q2449" s="13" t="s">
        <v>11001</v>
      </c>
      <c r="R2449" s="1" t="s">
        <v>11002</v>
      </c>
      <c r="S2449" s="13" t="s">
        <v>11003</v>
      </c>
      <c r="T2449" s="14"/>
      <c r="U2449" s="19" t="str">
        <f>HYPERLINK("https://pbs.twimg.com/profile_images/1012226942244937729/jXE-N6fT.jpg","View")</f>
        <v>View</v>
      </c>
      <c r="V2449" s="14"/>
      <c r="W2449" s="14"/>
      <c r="X2449" s="14"/>
      <c r="Y2449" s="14"/>
      <c r="Z2449" s="14"/>
    </row>
    <row r="2450">
      <c r="A2450" s="11">
        <v>43843.42741898148</v>
      </c>
      <c r="B2450" s="12" t="str">
        <f>HYPERLINK("https://twitter.com/LivingOrderSA","@LivingOrderSA")</f>
        <v>@LivingOrderSA</v>
      </c>
      <c r="C2450" s="1" t="s">
        <v>6927</v>
      </c>
      <c r="D2450" s="1" t="s">
        <v>11004</v>
      </c>
      <c r="E2450" s="12" t="str">
        <f>HYPERLINK("https://twitter.com/LivingOrderSA/status/1216740557667606528","1216740557667606528")</f>
        <v>1216740557667606528</v>
      </c>
      <c r="F2450" s="13" t="s">
        <v>11005</v>
      </c>
      <c r="G2450" s="13" t="s">
        <v>11006</v>
      </c>
      <c r="H2450" s="14"/>
      <c r="I2450" s="15">
        <v>0.0</v>
      </c>
      <c r="J2450" s="15">
        <v>0.0</v>
      </c>
      <c r="K2450" s="12" t="str">
        <f>HYPERLINK("https://www.hootsuite.com","Hootsuite Inc.")</f>
        <v>Hootsuite Inc.</v>
      </c>
      <c r="L2450" s="16">
        <v>4829.0</v>
      </c>
      <c r="M2450" s="16">
        <v>3989.0</v>
      </c>
      <c r="N2450" s="16">
        <v>272.0</v>
      </c>
      <c r="O2450" s="17"/>
      <c r="P2450" s="18">
        <v>39937.70297453704</v>
      </c>
      <c r="Q2450" s="1" t="s">
        <v>691</v>
      </c>
      <c r="R2450" s="1" t="s">
        <v>6930</v>
      </c>
      <c r="S2450" s="13" t="s">
        <v>6931</v>
      </c>
      <c r="T2450" s="14"/>
      <c r="U2450" s="19" t="str">
        <f>HYPERLINK("https://pbs.twimg.com/profile_images/512229719043887104/ih8_Gh7B.jpeg","View")</f>
        <v>View</v>
      </c>
      <c r="V2450" s="14"/>
      <c r="W2450" s="14"/>
      <c r="X2450" s="14"/>
      <c r="Y2450" s="14"/>
      <c r="Z2450" s="14"/>
    </row>
    <row r="2451">
      <c r="A2451" s="11">
        <v>43843.42693287037</v>
      </c>
      <c r="B2451" s="12" t="str">
        <f>HYPERLINK("https://twitter.com/Wellness_Orbit","@Wellness_Orbit")</f>
        <v>@Wellness_Orbit</v>
      </c>
      <c r="C2451" s="1" t="s">
        <v>4184</v>
      </c>
      <c r="D2451" s="1" t="s">
        <v>11007</v>
      </c>
      <c r="E2451" s="12" t="str">
        <f>HYPERLINK("https://twitter.com/Wellness_Orbit/status/1216740381758496770","1216740381758496770")</f>
        <v>1216740381758496770</v>
      </c>
      <c r="F2451" s="13" t="s">
        <v>11008</v>
      </c>
      <c r="G2451" s="13" t="s">
        <v>11009</v>
      </c>
      <c r="H2451" s="14"/>
      <c r="I2451" s="15">
        <v>1.0</v>
      </c>
      <c r="J2451" s="15">
        <v>0.0</v>
      </c>
      <c r="K2451" s="12" t="str">
        <f t="shared" ref="K2451:K2453" si="252">HYPERLINK("https://mobile.twitter.com","Twitter Web App")</f>
        <v>Twitter Web App</v>
      </c>
      <c r="L2451" s="16">
        <v>1868.0</v>
      </c>
      <c r="M2451" s="16">
        <v>4864.0</v>
      </c>
      <c r="N2451" s="16">
        <v>13.0</v>
      </c>
      <c r="O2451" s="17"/>
      <c r="P2451" s="18">
        <v>42748.75420138889</v>
      </c>
      <c r="Q2451" s="14"/>
      <c r="R2451" s="1" t="s">
        <v>4188</v>
      </c>
      <c r="S2451" s="13" t="s">
        <v>4189</v>
      </c>
      <c r="T2451" s="14"/>
      <c r="U2451" s="19" t="str">
        <f>HYPERLINK("https://pbs.twimg.com/profile_images/1152339235388755968/xWq9HR5r.jpg","View")</f>
        <v>View</v>
      </c>
      <c r="V2451" s="14"/>
      <c r="W2451" s="14"/>
      <c r="X2451" s="14"/>
      <c r="Y2451" s="14"/>
      <c r="Z2451" s="14"/>
    </row>
    <row r="2452">
      <c r="A2452" s="11">
        <v>43843.42644675926</v>
      </c>
      <c r="B2452" s="12" t="str">
        <f>HYPERLINK("https://twitter.com/Ziff_DavisB2B","@Ziff_DavisB2B")</f>
        <v>@Ziff_DavisB2B</v>
      </c>
      <c r="C2452" s="1" t="s">
        <v>11010</v>
      </c>
      <c r="D2452" s="1" t="s">
        <v>11011</v>
      </c>
      <c r="E2452" s="12" t="str">
        <f>HYPERLINK("https://twitter.com/Ziff_DavisB2B/status/1216740205828460550","1216740205828460550")</f>
        <v>1216740205828460550</v>
      </c>
      <c r="F2452" s="13" t="s">
        <v>11012</v>
      </c>
      <c r="G2452" s="14"/>
      <c r="H2452" s="14"/>
      <c r="I2452" s="15">
        <v>0.0</v>
      </c>
      <c r="J2452" s="15">
        <v>0.0</v>
      </c>
      <c r="K2452" s="12" t="str">
        <f t="shared" si="252"/>
        <v>Twitter Web App</v>
      </c>
      <c r="L2452" s="16">
        <v>3422.0</v>
      </c>
      <c r="M2452" s="16">
        <v>4441.0</v>
      </c>
      <c r="N2452" s="16">
        <v>482.0</v>
      </c>
      <c r="O2452" s="17"/>
      <c r="P2452" s="18">
        <v>40387.530081018514</v>
      </c>
      <c r="Q2452" s="1" t="s">
        <v>1782</v>
      </c>
      <c r="R2452" s="1" t="s">
        <v>11013</v>
      </c>
      <c r="S2452" s="13" t="s">
        <v>11014</v>
      </c>
      <c r="T2452" s="14"/>
      <c r="U2452" s="19" t="str">
        <f>HYPERLINK("https://pbs.twimg.com/profile_images/1097909326503645184/a2TIXUeG.png","View")</f>
        <v>View</v>
      </c>
      <c r="V2452" s="14"/>
      <c r="W2452" s="14"/>
      <c r="X2452" s="14"/>
      <c r="Y2452" s="14"/>
      <c r="Z2452" s="14"/>
    </row>
    <row r="2453">
      <c r="A2453" s="11">
        <v>43843.42575231481</v>
      </c>
      <c r="B2453" s="12" t="str">
        <f>HYPERLINK("https://twitter.com/MoodDisordersCa","@MoodDisordersCa")</f>
        <v>@MoodDisordersCa</v>
      </c>
      <c r="C2453" s="1" t="s">
        <v>3018</v>
      </c>
      <c r="D2453" s="1" t="s">
        <v>11015</v>
      </c>
      <c r="E2453" s="12" t="str">
        <f>HYPERLINK("https://twitter.com/MoodDisordersCa/status/1216739953104818184","1216739953104818184")</f>
        <v>1216739953104818184</v>
      </c>
      <c r="F2453" s="13" t="s">
        <v>11016</v>
      </c>
      <c r="G2453" s="14"/>
      <c r="H2453" s="14"/>
      <c r="I2453" s="15">
        <v>3.0</v>
      </c>
      <c r="J2453" s="15">
        <v>10.0</v>
      </c>
      <c r="K2453" s="12" t="str">
        <f t="shared" si="252"/>
        <v>Twitter Web App</v>
      </c>
      <c r="L2453" s="16">
        <v>20746.0</v>
      </c>
      <c r="M2453" s="16">
        <v>7291.0</v>
      </c>
      <c r="N2453" s="16">
        <v>510.0</v>
      </c>
      <c r="O2453" s="17"/>
      <c r="P2453" s="18">
        <v>40434.27810185185</v>
      </c>
      <c r="Q2453" s="1" t="s">
        <v>3021</v>
      </c>
      <c r="R2453" s="1" t="s">
        <v>3022</v>
      </c>
      <c r="S2453" s="13" t="s">
        <v>3023</v>
      </c>
      <c r="T2453" s="14"/>
      <c r="U2453" s="19" t="str">
        <f>HYPERLINK("https://pbs.twimg.com/profile_images/928788915959472128/CLboLfmJ.jpg","View")</f>
        <v>View</v>
      </c>
      <c r="V2453" s="14"/>
      <c r="W2453" s="14"/>
      <c r="X2453" s="14"/>
      <c r="Y2453" s="14"/>
      <c r="Z2453" s="14"/>
    </row>
    <row r="2454">
      <c r="A2454" s="11">
        <v>43843.42229166666</v>
      </c>
      <c r="B2454" s="12" t="str">
        <f>HYPERLINK("https://twitter.com/pritiyoga","@pritiyoga")</f>
        <v>@pritiyoga</v>
      </c>
      <c r="C2454" s="1" t="s">
        <v>11017</v>
      </c>
      <c r="D2454" s="1" t="s">
        <v>11018</v>
      </c>
      <c r="E2454" s="12" t="str">
        <f>HYPERLINK("https://twitter.com/pritiyoga/status/1216738697518944263","1216738697518944263")</f>
        <v>1216738697518944263</v>
      </c>
      <c r="F2454" s="14"/>
      <c r="G2454" s="13" t="s">
        <v>11019</v>
      </c>
      <c r="H2454" s="14"/>
      <c r="I2454" s="15">
        <v>0.0</v>
      </c>
      <c r="J2454" s="15">
        <v>0.0</v>
      </c>
      <c r="K2454" s="12" t="str">
        <f>HYPERLINK("https://buffer.com","Buffer")</f>
        <v>Buffer</v>
      </c>
      <c r="L2454" s="16">
        <v>224.0</v>
      </c>
      <c r="M2454" s="16">
        <v>106.0</v>
      </c>
      <c r="N2454" s="16">
        <v>9.0</v>
      </c>
      <c r="O2454" s="17"/>
      <c r="P2454" s="18">
        <v>41595.6168287037</v>
      </c>
      <c r="Q2454" s="1" t="s">
        <v>1116</v>
      </c>
      <c r="R2454" s="1" t="s">
        <v>11020</v>
      </c>
      <c r="S2454" s="13" t="s">
        <v>11021</v>
      </c>
      <c r="T2454" s="14"/>
      <c r="U2454" s="19" t="str">
        <f>HYPERLINK("https://pbs.twimg.com/profile_images/378800000753812668/43cb285186d502cc6d274a01668b8b63.jpeg","View")</f>
        <v>View</v>
      </c>
      <c r="V2454" s="14"/>
      <c r="W2454" s="14"/>
      <c r="X2454" s="14"/>
      <c r="Y2454" s="14"/>
      <c r="Z2454" s="14"/>
    </row>
    <row r="2455">
      <c r="A2455" s="11">
        <v>43843.42146990741</v>
      </c>
      <c r="B2455" s="12" t="str">
        <f>HYPERLINK("https://twitter.com/element_coach","@element_coach")</f>
        <v>@element_coach</v>
      </c>
      <c r="C2455" s="1" t="s">
        <v>11022</v>
      </c>
      <c r="D2455" s="1" t="s">
        <v>11023</v>
      </c>
      <c r="E2455" s="12" t="str">
        <f>HYPERLINK("https://twitter.com/element_coach/status/1216738401468190720","1216738401468190720")</f>
        <v>1216738401468190720</v>
      </c>
      <c r="F2455" s="14"/>
      <c r="G2455" s="13" t="s">
        <v>11024</v>
      </c>
      <c r="H2455" s="14"/>
      <c r="I2455" s="15">
        <v>1.0</v>
      </c>
      <c r="J2455" s="15">
        <v>2.0</v>
      </c>
      <c r="K2455" s="12" t="str">
        <f>HYPERLINK("https://mobile.twitter.com","Twitter Web App")</f>
        <v>Twitter Web App</v>
      </c>
      <c r="L2455" s="16">
        <v>12.0</v>
      </c>
      <c r="M2455" s="16">
        <v>80.0</v>
      </c>
      <c r="N2455" s="16">
        <v>0.0</v>
      </c>
      <c r="O2455" s="17"/>
      <c r="P2455" s="18">
        <v>43840.23905092593</v>
      </c>
      <c r="Q2455" s="14"/>
      <c r="R2455" s="1" t="s">
        <v>11025</v>
      </c>
      <c r="S2455" s="14"/>
      <c r="T2455" s="14"/>
      <c r="U2455" s="19" t="str">
        <f>HYPERLINK("https://pbs.twimg.com/profile_images/1215585295674023943/oiPvin9n.png","View")</f>
        <v>View</v>
      </c>
      <c r="V2455" s="14"/>
      <c r="W2455" s="14"/>
      <c r="X2455" s="14"/>
      <c r="Y2455" s="14"/>
      <c r="Z2455" s="14"/>
    </row>
    <row r="2456">
      <c r="A2456" s="11">
        <v>43843.42125</v>
      </c>
      <c r="B2456" s="12" t="str">
        <f>HYPERLINK("https://twitter.com/spa_ik","@spa_ik")</f>
        <v>@spa_ik</v>
      </c>
      <c r="C2456" s="1" t="s">
        <v>11026</v>
      </c>
      <c r="D2456" s="1" t="s">
        <v>11027</v>
      </c>
      <c r="E2456" s="12" t="str">
        <f>HYPERLINK("https://twitter.com/spa_ik/status/1216738321042419712","1216738321042419712")</f>
        <v>1216738321042419712</v>
      </c>
      <c r="F2456" s="13" t="s">
        <v>11028</v>
      </c>
      <c r="G2456" s="13" t="s">
        <v>11029</v>
      </c>
      <c r="H2456" s="14"/>
      <c r="I2456" s="15">
        <v>0.0</v>
      </c>
      <c r="J2456" s="15">
        <v>0.0</v>
      </c>
      <c r="K2456" s="12" t="str">
        <f>HYPERLINK("https://www.socialreport.com","SocialReport.com")</f>
        <v>SocialReport.com</v>
      </c>
      <c r="L2456" s="16">
        <v>1.0</v>
      </c>
      <c r="M2456" s="16">
        <v>0.0</v>
      </c>
      <c r="N2456" s="16">
        <v>0.0</v>
      </c>
      <c r="O2456" s="17"/>
      <c r="P2456" s="18">
        <v>43781.46364583333</v>
      </c>
      <c r="Q2456" s="14"/>
      <c r="R2456" s="1" t="s">
        <v>11030</v>
      </c>
      <c r="S2456" s="14"/>
      <c r="T2456" s="14"/>
      <c r="U2456" s="19" t="str">
        <f>HYPERLINK("https://pbs.twimg.com/profile_images/1194287353243848705/g8-qjc_t.jpg","View")</f>
        <v>View</v>
      </c>
      <c r="V2456" s="14"/>
      <c r="W2456" s="14"/>
      <c r="X2456" s="14"/>
      <c r="Y2456" s="14"/>
      <c r="Z2456" s="14"/>
    </row>
    <row r="2457">
      <c r="A2457" s="11">
        <v>43843.417974537035</v>
      </c>
      <c r="B2457" s="12" t="str">
        <f>HYPERLINK("https://twitter.com/TBtalks","@TBtalks")</f>
        <v>@TBtalks</v>
      </c>
      <c r="C2457" s="1" t="s">
        <v>355</v>
      </c>
      <c r="D2457" s="1" t="s">
        <v>11031</v>
      </c>
      <c r="E2457" s="12" t="str">
        <f>HYPERLINK("https://twitter.com/TBtalks/status/1216737134910083073","1216737134910083073")</f>
        <v>1216737134910083073</v>
      </c>
      <c r="F2457" s="13" t="s">
        <v>11032</v>
      </c>
      <c r="G2457" s="13" t="s">
        <v>11033</v>
      </c>
      <c r="H2457" s="14"/>
      <c r="I2457" s="15">
        <v>0.0</v>
      </c>
      <c r="J2457" s="15">
        <v>0.0</v>
      </c>
      <c r="K2457" s="12" t="str">
        <f>HYPERLINK("https://www.hootsuite.com","Hootsuite Inc.")</f>
        <v>Hootsuite Inc.</v>
      </c>
      <c r="L2457" s="16">
        <v>1190.0</v>
      </c>
      <c r="M2457" s="16">
        <v>566.0</v>
      </c>
      <c r="N2457" s="16">
        <v>25.0</v>
      </c>
      <c r="O2457" s="17"/>
      <c r="P2457" s="18">
        <v>41197.62918981482</v>
      </c>
      <c r="Q2457" s="1" t="s">
        <v>358</v>
      </c>
      <c r="R2457" s="1" t="s">
        <v>359</v>
      </c>
      <c r="S2457" s="13" t="s">
        <v>360</v>
      </c>
      <c r="T2457" s="14"/>
      <c r="U2457" s="19" t="str">
        <f>HYPERLINK("https://pbs.twimg.com/profile_images/1181990097610256384/DQu0ny3B.jpg","View")</f>
        <v>View</v>
      </c>
      <c r="V2457" s="14"/>
      <c r="W2457" s="14"/>
      <c r="X2457" s="14"/>
      <c r="Y2457" s="14"/>
      <c r="Z2457" s="14"/>
    </row>
    <row r="2458">
      <c r="A2458" s="11">
        <v>43843.41763888889</v>
      </c>
      <c r="B2458" s="12" t="str">
        <f>HYPERLINK("https://twitter.com/AngelFaceMedia","@AngelFaceMedia")</f>
        <v>@AngelFaceMedia</v>
      </c>
      <c r="C2458" s="1" t="s">
        <v>6520</v>
      </c>
      <c r="D2458" s="1" t="s">
        <v>11034</v>
      </c>
      <c r="E2458" s="12" t="str">
        <f>HYPERLINK("https://twitter.com/AngelFaceMedia/status/1216737011840823296","1216737011840823296")</f>
        <v>1216737011840823296</v>
      </c>
      <c r="F2458" s="14"/>
      <c r="G2458" s="13" t="s">
        <v>11035</v>
      </c>
      <c r="H2458" s="14"/>
      <c r="I2458" s="15">
        <v>1.0</v>
      </c>
      <c r="J2458" s="15">
        <v>0.0</v>
      </c>
      <c r="K2458" s="12" t="str">
        <f>HYPERLINK("https://www.later.com","LaterMedia")</f>
        <v>LaterMedia</v>
      </c>
      <c r="L2458" s="16">
        <v>4609.0</v>
      </c>
      <c r="M2458" s="16">
        <v>4796.0</v>
      </c>
      <c r="N2458" s="16">
        <v>524.0</v>
      </c>
      <c r="O2458" s="17"/>
      <c r="P2458" s="18">
        <v>40356.48460648148</v>
      </c>
      <c r="Q2458" s="1" t="s">
        <v>521</v>
      </c>
      <c r="R2458" s="1" t="s">
        <v>6523</v>
      </c>
      <c r="S2458" s="14"/>
      <c r="T2458" s="14"/>
      <c r="U2458" s="19" t="str">
        <f>HYPERLINK("https://pbs.twimg.com/profile_images/801836897345609729/c2DydRe_.jpg","View")</f>
        <v>View</v>
      </c>
      <c r="V2458" s="14"/>
      <c r="W2458" s="14"/>
      <c r="X2458" s="14"/>
      <c r="Y2458" s="14"/>
      <c r="Z2458" s="14"/>
    </row>
    <row r="2459">
      <c r="A2459" s="11">
        <v>43843.41711805556</v>
      </c>
      <c r="B2459" s="12" t="str">
        <f>HYPERLINK("https://twitter.com/Daniel_Fryer","@Daniel_Fryer")</f>
        <v>@Daniel_Fryer</v>
      </c>
      <c r="C2459" s="1" t="s">
        <v>11036</v>
      </c>
      <c r="D2459" s="1" t="s">
        <v>11037</v>
      </c>
      <c r="E2459" s="12" t="str">
        <f>HYPERLINK("https://twitter.com/Daniel_Fryer/status/1216736826485960711","1216736826485960711")</f>
        <v>1216736826485960711</v>
      </c>
      <c r="F2459" s="13" t="s">
        <v>11038</v>
      </c>
      <c r="G2459" s="14"/>
      <c r="H2459" s="14"/>
      <c r="I2459" s="15">
        <v>0.0</v>
      </c>
      <c r="J2459" s="15">
        <v>0.0</v>
      </c>
      <c r="K2459" s="12" t="str">
        <f>HYPERLINK("https://buffer.com","Buffer")</f>
        <v>Buffer</v>
      </c>
      <c r="L2459" s="16">
        <v>1448.0</v>
      </c>
      <c r="M2459" s="16">
        <v>1026.0</v>
      </c>
      <c r="N2459" s="16">
        <v>39.0</v>
      </c>
      <c r="O2459" s="17"/>
      <c r="P2459" s="18">
        <v>40373.53863425926</v>
      </c>
      <c r="Q2459" s="1" t="s">
        <v>7418</v>
      </c>
      <c r="R2459" s="1" t="s">
        <v>11039</v>
      </c>
      <c r="S2459" s="13" t="s">
        <v>11040</v>
      </c>
      <c r="T2459" s="14"/>
      <c r="U2459" s="19" t="str">
        <f>HYPERLINK("https://pbs.twimg.com/profile_images/1190674406495920129/qH1a0Rp6.jpg","View")</f>
        <v>View</v>
      </c>
      <c r="V2459" s="14"/>
      <c r="W2459" s="14"/>
      <c r="X2459" s="14"/>
      <c r="Y2459" s="14"/>
      <c r="Z2459" s="14"/>
    </row>
    <row r="2460">
      <c r="A2460" s="11">
        <v>43843.417071759264</v>
      </c>
      <c r="B2460" s="12" t="str">
        <f>HYPERLINK("https://twitter.com/Design2Fashion","@Design2Fashion")</f>
        <v>@Design2Fashion</v>
      </c>
      <c r="C2460" s="1" t="s">
        <v>11041</v>
      </c>
      <c r="D2460" s="1" t="s">
        <v>11042</v>
      </c>
      <c r="E2460" s="12" t="str">
        <f>HYPERLINK("https://twitter.com/Design2Fashion/status/1216736805858566145","1216736805858566145")</f>
        <v>1216736805858566145</v>
      </c>
      <c r="F2460" s="14"/>
      <c r="G2460" s="13" t="s">
        <v>11043</v>
      </c>
      <c r="H2460" s="14"/>
      <c r="I2460" s="15">
        <v>0.0</v>
      </c>
      <c r="J2460" s="15">
        <v>0.0</v>
      </c>
      <c r="K2460" s="12" t="str">
        <f>HYPERLINK("https://www.socialoomph.com","SocialOomph")</f>
        <v>SocialOomph</v>
      </c>
      <c r="L2460" s="16">
        <v>607.0</v>
      </c>
      <c r="M2460" s="16">
        <v>84.0</v>
      </c>
      <c r="N2460" s="16">
        <v>142.0</v>
      </c>
      <c r="O2460" s="17"/>
      <c r="P2460" s="18">
        <v>41333.413935185185</v>
      </c>
      <c r="Q2460" s="1" t="s">
        <v>624</v>
      </c>
      <c r="R2460" s="1" t="s">
        <v>11044</v>
      </c>
      <c r="S2460" s="13" t="s">
        <v>11045</v>
      </c>
      <c r="T2460" s="14"/>
      <c r="U2460" s="19" t="str">
        <f>HYPERLINK("https://pbs.twimg.com/profile_images/3329029793/e75b0e52652a079d4bd8760f9f48957a.jpeg","View")</f>
        <v>View</v>
      </c>
      <c r="V2460" s="14"/>
      <c r="W2460" s="14"/>
      <c r="X2460" s="14"/>
      <c r="Y2460" s="14"/>
      <c r="Z2460" s="14"/>
    </row>
    <row r="2461">
      <c r="A2461" s="11">
        <v>43843.41704861111</v>
      </c>
      <c r="B2461" s="12" t="str">
        <f>HYPERLINK("https://twitter.com/lifenotestofile","@lifenotestofile")</f>
        <v>@lifenotestofile</v>
      </c>
      <c r="C2461" s="1" t="s">
        <v>11046</v>
      </c>
      <c r="D2461" s="1" t="s">
        <v>11047</v>
      </c>
      <c r="E2461" s="12" t="str">
        <f>HYPERLINK("https://twitter.com/lifenotestofile/status/1216736797608288258","1216736797608288258")</f>
        <v>1216736797608288258</v>
      </c>
      <c r="F2461" s="13" t="s">
        <v>11048</v>
      </c>
      <c r="G2461" s="13" t="s">
        <v>11049</v>
      </c>
      <c r="H2461" s="14"/>
      <c r="I2461" s="15">
        <v>0.0</v>
      </c>
      <c r="J2461" s="15">
        <v>0.0</v>
      </c>
      <c r="K2461" s="12" t="str">
        <f>HYPERLINK("https://missinglettr.com","Missinglettr")</f>
        <v>Missinglettr</v>
      </c>
      <c r="L2461" s="16">
        <v>2541.0</v>
      </c>
      <c r="M2461" s="16">
        <v>1998.0</v>
      </c>
      <c r="N2461" s="16">
        <v>6.0</v>
      </c>
      <c r="O2461" s="17"/>
      <c r="P2461" s="18">
        <v>42983.29037037037</v>
      </c>
      <c r="Q2461" s="1" t="s">
        <v>56</v>
      </c>
      <c r="R2461" s="1" t="s">
        <v>11050</v>
      </c>
      <c r="S2461" s="13" t="s">
        <v>11051</v>
      </c>
      <c r="T2461" s="14"/>
      <c r="U2461" s="19" t="str">
        <f>HYPERLINK("https://pbs.twimg.com/profile_images/905025578448764928/dC-vE-oa.jpg","View")</f>
        <v>View</v>
      </c>
      <c r="V2461" s="14"/>
      <c r="W2461" s="14"/>
      <c r="X2461" s="14"/>
      <c r="Y2461" s="14"/>
      <c r="Z2461" s="14"/>
    </row>
    <row r="2462">
      <c r="A2462" s="11">
        <v>43843.41690972222</v>
      </c>
      <c r="B2462" s="12" t="str">
        <f>HYPERLINK("https://twitter.com/Writing_Doctors","@Writing_Doctors")</f>
        <v>@Writing_Doctors</v>
      </c>
      <c r="C2462" s="1" t="s">
        <v>5115</v>
      </c>
      <c r="D2462" s="1" t="s">
        <v>5116</v>
      </c>
      <c r="E2462" s="12" t="str">
        <f>HYPERLINK("https://twitter.com/Writing_Doctors/status/1216736747427651585","1216736747427651585")</f>
        <v>1216736747427651585</v>
      </c>
      <c r="F2462" s="13" t="s">
        <v>5117</v>
      </c>
      <c r="G2462" s="14"/>
      <c r="H2462" s="14"/>
      <c r="I2462" s="15">
        <v>0.0</v>
      </c>
      <c r="J2462" s="15">
        <v>1.0</v>
      </c>
      <c r="K2462" s="12" t="str">
        <f>HYPERLINK("https://www.socialoomph.com","SocialOomph")</f>
        <v>SocialOomph</v>
      </c>
      <c r="L2462" s="16">
        <v>83.0</v>
      </c>
      <c r="M2462" s="16">
        <v>49.0</v>
      </c>
      <c r="N2462" s="16">
        <v>6.0</v>
      </c>
      <c r="O2462" s="17"/>
      <c r="P2462" s="18">
        <v>41689.242164351854</v>
      </c>
      <c r="Q2462" s="14"/>
      <c r="R2462" s="1" t="s">
        <v>5118</v>
      </c>
      <c r="S2462" s="13" t="s">
        <v>5119</v>
      </c>
      <c r="T2462" s="14"/>
      <c r="U2462" s="19" t="str">
        <f>HYPERLINK("https://pbs.twimg.com/profile_images/436092675540787200/eCYxUFND.jpeg","View")</f>
        <v>View</v>
      </c>
      <c r="V2462" s="14"/>
      <c r="W2462" s="14"/>
      <c r="X2462" s="14"/>
      <c r="Y2462" s="14"/>
      <c r="Z2462" s="14"/>
    </row>
    <row r="2463">
      <c r="A2463" s="11">
        <v>43843.41353009259</v>
      </c>
      <c r="B2463" s="12" t="str">
        <f>HYPERLINK("https://twitter.com/KeepfitKingdom","@KeepfitKingdom")</f>
        <v>@KeepfitKingdom</v>
      </c>
      <c r="C2463" s="1" t="s">
        <v>11052</v>
      </c>
      <c r="D2463" s="1" t="s">
        <v>11053</v>
      </c>
      <c r="E2463" s="12" t="str">
        <f>HYPERLINK("https://twitter.com/KeepfitKingdom/status/1216735524242821121","1216735524242821121")</f>
        <v>1216735524242821121</v>
      </c>
      <c r="F2463" s="13" t="s">
        <v>11054</v>
      </c>
      <c r="G2463" s="13" t="s">
        <v>11055</v>
      </c>
      <c r="H2463" s="14"/>
      <c r="I2463" s="15">
        <v>0.0</v>
      </c>
      <c r="J2463" s="15">
        <v>1.0</v>
      </c>
      <c r="K2463" s="12" t="str">
        <f>HYPERLINK("https://mobile.twitter.com","Twitter Web App")</f>
        <v>Twitter Web App</v>
      </c>
      <c r="L2463" s="16">
        <v>365.0</v>
      </c>
      <c r="M2463" s="16">
        <v>259.0</v>
      </c>
      <c r="N2463" s="16">
        <v>23.0</v>
      </c>
      <c r="O2463" s="17"/>
      <c r="P2463" s="18">
        <v>42404.53946759259</v>
      </c>
      <c r="Q2463" s="1" t="s">
        <v>268</v>
      </c>
      <c r="R2463" s="1" t="s">
        <v>11056</v>
      </c>
      <c r="S2463" s="13" t="s">
        <v>11057</v>
      </c>
      <c r="T2463" s="14"/>
      <c r="U2463" s="19" t="str">
        <f>HYPERLINK("https://pbs.twimg.com/profile_images/1131243999640084485/gMPLlC8a.png","View")</f>
        <v>View</v>
      </c>
      <c r="V2463" s="14"/>
      <c r="W2463" s="14"/>
      <c r="X2463" s="14"/>
      <c r="Y2463" s="14"/>
      <c r="Z2463" s="14"/>
    </row>
    <row r="2464">
      <c r="A2464" s="11">
        <v>43843.41348379629</v>
      </c>
      <c r="B2464" s="12" t="str">
        <f>HYPERLINK("https://twitter.com/ScentFill","@ScentFill")</f>
        <v>@ScentFill</v>
      </c>
      <c r="C2464" s="1" t="s">
        <v>960</v>
      </c>
      <c r="D2464" s="1" t="s">
        <v>11058</v>
      </c>
      <c r="E2464" s="12" t="str">
        <f>HYPERLINK("https://twitter.com/ScentFill/status/1216735508665073664","1216735508665073664")</f>
        <v>1216735508665073664</v>
      </c>
      <c r="F2464" s="14"/>
      <c r="G2464" s="13" t="s">
        <v>11059</v>
      </c>
      <c r="H2464" s="14"/>
      <c r="I2464" s="15">
        <v>0.0</v>
      </c>
      <c r="J2464" s="15">
        <v>1.0</v>
      </c>
      <c r="K2464" s="12" t="str">
        <f>HYPERLINK("https://www.socialoomph.com","SocialOomph")</f>
        <v>SocialOomph</v>
      </c>
      <c r="L2464" s="16">
        <v>1863.0</v>
      </c>
      <c r="M2464" s="16">
        <v>2105.0</v>
      </c>
      <c r="N2464" s="16">
        <v>25.0</v>
      </c>
      <c r="O2464" s="17"/>
      <c r="P2464" s="18">
        <v>42692.65809027778</v>
      </c>
      <c r="Q2464" s="14"/>
      <c r="R2464" s="1" t="s">
        <v>964</v>
      </c>
      <c r="S2464" s="13" t="s">
        <v>965</v>
      </c>
      <c r="T2464" s="14"/>
      <c r="U2464" s="19" t="str">
        <f>HYPERLINK("https://pbs.twimg.com/profile_images/799717698556956672/mdITl9zd.jpg","View")</f>
        <v>View</v>
      </c>
      <c r="V2464" s="14"/>
      <c r="W2464" s="14"/>
      <c r="X2464" s="14"/>
      <c r="Y2464" s="14"/>
      <c r="Z2464" s="14"/>
    </row>
    <row r="2465">
      <c r="A2465" s="11">
        <v>43843.41267361111</v>
      </c>
      <c r="B2465" s="12" t="str">
        <f>HYPERLINK("https://twitter.com/ebonyfrance59","@ebonyfrance59")</f>
        <v>@ebonyfrance59</v>
      </c>
      <c r="C2465" s="1" t="s">
        <v>11060</v>
      </c>
      <c r="D2465" s="1" t="s">
        <v>11061</v>
      </c>
      <c r="E2465" s="12" t="str">
        <f>HYPERLINK("https://twitter.com/ebonyfrance59/status/1216735213767790592","1216735213767790592")</f>
        <v>1216735213767790592</v>
      </c>
      <c r="F2465" s="14"/>
      <c r="G2465" s="13" t="s">
        <v>11062</v>
      </c>
      <c r="H2465" s="14"/>
      <c r="I2465" s="15">
        <v>0.0</v>
      </c>
      <c r="J2465" s="15">
        <v>0.0</v>
      </c>
      <c r="K2465" s="12" t="str">
        <f t="shared" ref="K2465:K2466" si="253">HYPERLINK("http://twitter.com/download/android","Twitter for Android")</f>
        <v>Twitter for Android</v>
      </c>
      <c r="L2465" s="16">
        <v>137.0</v>
      </c>
      <c r="M2465" s="16">
        <v>176.0</v>
      </c>
      <c r="N2465" s="16">
        <v>16.0</v>
      </c>
      <c r="O2465" s="17"/>
      <c r="P2465" s="18">
        <v>42382.21042824074</v>
      </c>
      <c r="Q2465" s="14"/>
      <c r="R2465" s="1" t="s">
        <v>11063</v>
      </c>
      <c r="S2465" s="14"/>
      <c r="T2465" s="14"/>
      <c r="U2465" s="19" t="str">
        <f>HYPERLINK("https://pbs.twimg.com/profile_images/966266526721564672/2DMr5rsJ.jpg","View")</f>
        <v>View</v>
      </c>
      <c r="V2465" s="14"/>
      <c r="W2465" s="14"/>
      <c r="X2465" s="14"/>
      <c r="Y2465" s="14"/>
      <c r="Z2465" s="14"/>
    </row>
    <row r="2466">
      <c r="A2466" s="11">
        <v>43843.412141203706</v>
      </c>
      <c r="B2466" s="12" t="str">
        <f>HYPERLINK("https://twitter.com/thepethempstore","@thepethempstore")</f>
        <v>@thepethempstore</v>
      </c>
      <c r="C2466" s="1" t="s">
        <v>11064</v>
      </c>
      <c r="D2466" s="1" t="s">
        <v>11065</v>
      </c>
      <c r="E2466" s="12" t="str">
        <f>HYPERLINK("https://twitter.com/thepethempstore/status/1216735020251074573","1216735020251074573")</f>
        <v>1216735020251074573</v>
      </c>
      <c r="F2466" s="13" t="s">
        <v>11066</v>
      </c>
      <c r="G2466" s="14"/>
      <c r="H2466" s="14"/>
      <c r="I2466" s="15">
        <v>0.0</v>
      </c>
      <c r="J2466" s="15">
        <v>1.0</v>
      </c>
      <c r="K2466" s="12" t="str">
        <f t="shared" si="253"/>
        <v>Twitter for Android</v>
      </c>
      <c r="L2466" s="16">
        <v>123.0</v>
      </c>
      <c r="M2466" s="16">
        <v>72.0</v>
      </c>
      <c r="N2466" s="16">
        <v>0.0</v>
      </c>
      <c r="O2466" s="17"/>
      <c r="P2466" s="18">
        <v>43688.47471064815</v>
      </c>
      <c r="Q2466" s="1" t="s">
        <v>817</v>
      </c>
      <c r="R2466" s="1" t="s">
        <v>11067</v>
      </c>
      <c r="S2466" s="13" t="s">
        <v>11068</v>
      </c>
      <c r="T2466" s="14"/>
      <c r="U2466" s="19" t="str">
        <f>HYPERLINK("https://pbs.twimg.com/profile_images/1165725644879269889/pKDj-Cbg.jpg","View")</f>
        <v>View</v>
      </c>
      <c r="V2466" s="14"/>
      <c r="W2466" s="14"/>
      <c r="X2466" s="14"/>
      <c r="Y2466" s="14"/>
      <c r="Z2466" s="14"/>
    </row>
    <row r="2467">
      <c r="A2467" s="11">
        <v>43843.41190972222</v>
      </c>
      <c r="B2467" s="12" t="str">
        <f>HYPERLINK("https://twitter.com/giridakshi","@giridakshi")</f>
        <v>@giridakshi</v>
      </c>
      <c r="C2467" s="1" t="s">
        <v>9548</v>
      </c>
      <c r="D2467" s="1" t="s">
        <v>11069</v>
      </c>
      <c r="E2467" s="12" t="str">
        <f>HYPERLINK("https://twitter.com/giridakshi/status/1216734936910237696","1216734936910237696")</f>
        <v>1216734936910237696</v>
      </c>
      <c r="F2467" s="13" t="s">
        <v>11070</v>
      </c>
      <c r="G2467" s="13" t="s">
        <v>11071</v>
      </c>
      <c r="H2467" s="14"/>
      <c r="I2467" s="15">
        <v>2.0</v>
      </c>
      <c r="J2467" s="15">
        <v>2.0</v>
      </c>
      <c r="K2467" s="12" t="str">
        <f>HYPERLINK("http://twitter.com/download/iphone","Twitter for iPhone")</f>
        <v>Twitter for iPhone</v>
      </c>
      <c r="L2467" s="16">
        <v>6.0</v>
      </c>
      <c r="M2467" s="16">
        <v>32.0</v>
      </c>
      <c r="N2467" s="16">
        <v>2.0</v>
      </c>
      <c r="O2467" s="17"/>
      <c r="P2467" s="18">
        <v>43276.68902777778</v>
      </c>
      <c r="Q2467" s="14"/>
      <c r="R2467" s="14"/>
      <c r="S2467" s="14"/>
      <c r="T2467" s="14"/>
      <c r="U2467" s="20" t="s">
        <v>202</v>
      </c>
      <c r="V2467" s="14"/>
      <c r="W2467" s="14"/>
      <c r="X2467" s="14"/>
      <c r="Y2467" s="14"/>
      <c r="Z2467" s="14"/>
    </row>
    <row r="2468">
      <c r="A2468" s="11">
        <v>43843.41030092593</v>
      </c>
      <c r="B2468" s="12" t="str">
        <f>HYPERLINK("https://twitter.com/NAPSnews","@NAPSnews")</f>
        <v>@NAPSnews</v>
      </c>
      <c r="C2468" s="1" t="s">
        <v>11072</v>
      </c>
      <c r="D2468" s="1" t="s">
        <v>11073</v>
      </c>
      <c r="E2468" s="12" t="str">
        <f>HYPERLINK("https://twitter.com/NAPSnews/status/1216734355147587585","1216734355147587585")</f>
        <v>1216734355147587585</v>
      </c>
      <c r="F2468" s="13" t="s">
        <v>11074</v>
      </c>
      <c r="G2468" s="13" t="s">
        <v>11075</v>
      </c>
      <c r="H2468" s="14"/>
      <c r="I2468" s="15">
        <v>0.0</v>
      </c>
      <c r="J2468" s="15">
        <v>0.0</v>
      </c>
      <c r="K2468" s="12" t="str">
        <f>HYPERLINK("https://mobile.twitter.com","Twitter Web App")</f>
        <v>Twitter Web App</v>
      </c>
      <c r="L2468" s="16">
        <v>2061.0</v>
      </c>
      <c r="M2468" s="16">
        <v>2475.0</v>
      </c>
      <c r="N2468" s="16">
        <v>186.0</v>
      </c>
      <c r="O2468" s="17"/>
      <c r="P2468" s="18">
        <v>40134.53189814815</v>
      </c>
      <c r="Q2468" s="1" t="s">
        <v>921</v>
      </c>
      <c r="R2468" s="1" t="s">
        <v>11076</v>
      </c>
      <c r="S2468" s="13" t="s">
        <v>11077</v>
      </c>
      <c r="T2468" s="14"/>
      <c r="U2468" s="19" t="str">
        <f>HYPERLINK("https://pbs.twimg.com/profile_images/531225520/featurette.jpg","View")</f>
        <v>View</v>
      </c>
      <c r="V2468" s="14"/>
      <c r="W2468" s="14"/>
      <c r="X2468" s="14"/>
      <c r="Y2468" s="14"/>
      <c r="Z2468" s="14"/>
    </row>
    <row r="2469">
      <c r="A2469" s="11">
        <v>43843.40976851852</v>
      </c>
      <c r="B2469" s="12" t="str">
        <f>HYPERLINK("https://twitter.com/LearnToLiveCBT","@LearnToLiveCBT")</f>
        <v>@LearnToLiveCBT</v>
      </c>
      <c r="C2469" s="1" t="s">
        <v>11078</v>
      </c>
      <c r="D2469" s="1" t="s">
        <v>11079</v>
      </c>
      <c r="E2469" s="12" t="str">
        <f>HYPERLINK("https://twitter.com/LearnToLiveCBT/status/1216734160112537603","1216734160112537603")</f>
        <v>1216734160112537603</v>
      </c>
      <c r="F2469" s="13" t="s">
        <v>11080</v>
      </c>
      <c r="G2469" s="14"/>
      <c r="H2469" s="14"/>
      <c r="I2469" s="15">
        <v>0.0</v>
      </c>
      <c r="J2469" s="15">
        <v>0.0</v>
      </c>
      <c r="K2469" s="12" t="str">
        <f>HYPERLINK("https://www.hootsuite.com","Hootsuite Inc.")</f>
        <v>Hootsuite Inc.</v>
      </c>
      <c r="L2469" s="16">
        <v>3912.0</v>
      </c>
      <c r="M2469" s="16">
        <v>256.0</v>
      </c>
      <c r="N2469" s="16">
        <v>98.0</v>
      </c>
      <c r="O2469" s="17"/>
      <c r="P2469" s="18">
        <v>40976.47256944444</v>
      </c>
      <c r="Q2469" s="14"/>
      <c r="R2469" s="1" t="s">
        <v>11081</v>
      </c>
      <c r="S2469" s="13" t="s">
        <v>11082</v>
      </c>
      <c r="T2469" s="14"/>
      <c r="U2469" s="19" t="str">
        <f>HYPERLINK("https://pbs.twimg.com/profile_images/607018676210909185/rb7ZQQTC.png","View")</f>
        <v>View</v>
      </c>
      <c r="V2469" s="14"/>
      <c r="W2469" s="14"/>
      <c r="X2469" s="14"/>
      <c r="Y2469" s="14"/>
      <c r="Z2469" s="14"/>
    </row>
    <row r="2470">
      <c r="A2470" s="11">
        <v>43843.40913194444</v>
      </c>
      <c r="B2470" s="12" t="str">
        <f>HYPERLINK("https://twitter.com/PawnixANC","@PawnixANC")</f>
        <v>@PawnixANC</v>
      </c>
      <c r="C2470" s="1" t="s">
        <v>11083</v>
      </c>
      <c r="D2470" s="1" t="s">
        <v>11084</v>
      </c>
      <c r="E2470" s="12" t="str">
        <f>HYPERLINK("https://twitter.com/PawnixANC/status/1216733928578568194","1216733928578568194")</f>
        <v>1216733928578568194</v>
      </c>
      <c r="F2470" s="14"/>
      <c r="G2470" s="13" t="s">
        <v>11085</v>
      </c>
      <c r="H2470" s="14"/>
      <c r="I2470" s="15">
        <v>1.0</v>
      </c>
      <c r="J2470" s="15">
        <v>2.0</v>
      </c>
      <c r="K2470" s="12" t="str">
        <f>HYPERLINK("http://twitter.com/download/iphone","Twitter for iPhone")</f>
        <v>Twitter for iPhone</v>
      </c>
      <c r="L2470" s="16">
        <v>15.0</v>
      </c>
      <c r="M2470" s="16">
        <v>87.0</v>
      </c>
      <c r="N2470" s="16">
        <v>0.0</v>
      </c>
      <c r="O2470" s="17"/>
      <c r="P2470" s="18">
        <v>43717.37347222222</v>
      </c>
      <c r="Q2470" s="14"/>
      <c r="R2470" s="1" t="s">
        <v>11086</v>
      </c>
      <c r="S2470" s="14"/>
      <c r="T2470" s="14"/>
      <c r="U2470" s="19" t="str">
        <f>HYPERLINK("https://pbs.twimg.com/profile_images/1171045078527291393/7Mv5LG6d.jpg","View")</f>
        <v>View</v>
      </c>
      <c r="V2470" s="14"/>
      <c r="W2470" s="14"/>
      <c r="X2470" s="14"/>
      <c r="Y2470" s="14"/>
      <c r="Z2470" s="14"/>
    </row>
    <row r="2471">
      <c r="A2471" s="11">
        <v>43843.40900462963</v>
      </c>
      <c r="B2471" s="12" t="str">
        <f>HYPERLINK("https://twitter.com/newsgramDOTcom","@newsgramDOTcom")</f>
        <v>@newsgramDOTcom</v>
      </c>
      <c r="C2471" s="1" t="s">
        <v>11087</v>
      </c>
      <c r="D2471" s="1" t="s">
        <v>11088</v>
      </c>
      <c r="E2471" s="12" t="str">
        <f>HYPERLINK("https://twitter.com/newsgramDOTcom/status/1216733883271720960","1216733883271720960")</f>
        <v>1216733883271720960</v>
      </c>
      <c r="F2471" s="13" t="s">
        <v>11089</v>
      </c>
      <c r="G2471" s="14"/>
      <c r="H2471" s="14"/>
      <c r="I2471" s="15">
        <v>0.0</v>
      </c>
      <c r="J2471" s="15">
        <v>0.0</v>
      </c>
      <c r="K2471" s="12" t="str">
        <f>HYPERLINK("https://mobile.twitter.com","Twitter Web App")</f>
        <v>Twitter Web App</v>
      </c>
      <c r="L2471" s="16">
        <v>1314.0</v>
      </c>
      <c r="M2471" s="16">
        <v>1.0</v>
      </c>
      <c r="N2471" s="16">
        <v>7.0</v>
      </c>
      <c r="O2471" s="17"/>
      <c r="P2471" s="18">
        <v>42845.56280092592</v>
      </c>
      <c r="Q2471" s="1" t="s">
        <v>11090</v>
      </c>
      <c r="R2471" s="1" t="s">
        <v>11091</v>
      </c>
      <c r="S2471" s="13" t="s">
        <v>11092</v>
      </c>
      <c r="T2471" s="14"/>
      <c r="U2471" s="19" t="str">
        <f>HYPERLINK("https://pbs.twimg.com/profile_images/915122563772071937/yU7G4x_l.jpg","View")</f>
        <v>View</v>
      </c>
      <c r="V2471" s="14"/>
      <c r="W2471" s="14"/>
      <c r="X2471" s="14"/>
      <c r="Y2471" s="14"/>
      <c r="Z2471" s="14"/>
    </row>
    <row r="2472">
      <c r="A2472" s="11">
        <v>43843.40766203703</v>
      </c>
      <c r="B2472" s="12" t="str">
        <f>HYPERLINK("https://twitter.com/MasisStaffing","@MasisStaffing")</f>
        <v>@MasisStaffing</v>
      </c>
      <c r="C2472" s="1" t="s">
        <v>1084</v>
      </c>
      <c r="D2472" s="1" t="s">
        <v>4570</v>
      </c>
      <c r="E2472" s="12" t="str">
        <f>HYPERLINK("https://twitter.com/MasisStaffing/status/1216733398078717952","1216733398078717952")</f>
        <v>1216733398078717952</v>
      </c>
      <c r="F2472" s="13" t="s">
        <v>4571</v>
      </c>
      <c r="G2472" s="13" t="s">
        <v>11093</v>
      </c>
      <c r="H2472" s="14"/>
      <c r="I2472" s="15">
        <v>0.0</v>
      </c>
      <c r="J2472" s="15">
        <v>1.0</v>
      </c>
      <c r="K2472" s="12" t="str">
        <f>HYPERLINK("https://sproutsocial.com","Sprout Social")</f>
        <v>Sprout Social</v>
      </c>
      <c r="L2472" s="16">
        <v>1490.0</v>
      </c>
      <c r="M2472" s="16">
        <v>765.0</v>
      </c>
      <c r="N2472" s="16">
        <v>238.0</v>
      </c>
      <c r="O2472" s="17"/>
      <c r="P2472" s="18">
        <v>41392.447129629625</v>
      </c>
      <c r="Q2472" s="1" t="s">
        <v>56</v>
      </c>
      <c r="R2472" s="1" t="s">
        <v>1088</v>
      </c>
      <c r="S2472" s="13" t="s">
        <v>1089</v>
      </c>
      <c r="T2472" s="14"/>
      <c r="U2472" s="19" t="str">
        <f>HYPERLINK("https://pbs.twimg.com/profile_images/921080088879403009/itKBxF8G.jpg","View")</f>
        <v>View</v>
      </c>
      <c r="V2472" s="14"/>
      <c r="W2472" s="14"/>
      <c r="X2472" s="14"/>
      <c r="Y2472" s="14"/>
      <c r="Z2472" s="14"/>
    </row>
    <row r="2473">
      <c r="A2473" s="11">
        <v>43843.406875</v>
      </c>
      <c r="B2473" s="12" t="str">
        <f>HYPERLINK("https://twitter.com/KnowStressZone","@KnowStressZone")</f>
        <v>@KnowStressZone</v>
      </c>
      <c r="C2473" s="1" t="s">
        <v>7294</v>
      </c>
      <c r="D2473" s="1" t="s">
        <v>11094</v>
      </c>
      <c r="E2473" s="12" t="str">
        <f>HYPERLINK("https://twitter.com/KnowStressZone/status/1216733111280635905","1216733111280635905")</f>
        <v>1216733111280635905</v>
      </c>
      <c r="F2473" s="1" t="s">
        <v>7296</v>
      </c>
      <c r="G2473" s="14"/>
      <c r="H2473" s="14"/>
      <c r="I2473" s="15">
        <v>0.0</v>
      </c>
      <c r="J2473" s="15">
        <v>0.0</v>
      </c>
      <c r="K2473" s="12" t="str">
        <f>HYPERLINK("https://paper.li","Paper.li")</f>
        <v>Paper.li</v>
      </c>
      <c r="L2473" s="16">
        <v>817.0</v>
      </c>
      <c r="M2473" s="16">
        <v>1912.0</v>
      </c>
      <c r="N2473" s="16">
        <v>26.0</v>
      </c>
      <c r="O2473" s="17"/>
      <c r="P2473" s="18">
        <v>41244.66185185185</v>
      </c>
      <c r="Q2473" s="1" t="s">
        <v>7297</v>
      </c>
      <c r="R2473" s="1" t="s">
        <v>7298</v>
      </c>
      <c r="S2473" s="13" t="s">
        <v>7299</v>
      </c>
      <c r="T2473" s="14"/>
      <c r="U2473" s="19" t="str">
        <f>HYPERLINK("https://pbs.twimg.com/profile_images/718154912291364864/znT0razj.jpg","View")</f>
        <v>View</v>
      </c>
      <c r="V2473" s="14"/>
      <c r="W2473" s="14"/>
      <c r="X2473" s="14"/>
      <c r="Y2473" s="14"/>
      <c r="Z2473" s="14"/>
    </row>
    <row r="2474">
      <c r="A2474" s="11">
        <v>43843.406747685185</v>
      </c>
      <c r="B2474" s="12" t="str">
        <f>HYPERLINK("https://twitter.com/crowd_ranger","@crowd_ranger")</f>
        <v>@crowd_ranger</v>
      </c>
      <c r="C2474" s="1" t="s">
        <v>7111</v>
      </c>
      <c r="D2474" s="1" t="s">
        <v>7112</v>
      </c>
      <c r="E2474" s="12" t="str">
        <f>HYPERLINK("https://twitter.com/crowd_ranger/status/1216733065579503616","1216733065579503616")</f>
        <v>1216733065579503616</v>
      </c>
      <c r="F2474" s="13" t="s">
        <v>7113</v>
      </c>
      <c r="G2474" s="13" t="s">
        <v>11095</v>
      </c>
      <c r="H2474" s="14"/>
      <c r="I2474" s="15">
        <v>0.0</v>
      </c>
      <c r="J2474" s="15">
        <v>0.0</v>
      </c>
      <c r="K2474" s="12" t="str">
        <f>HYPERLINK("http://twitter.com/download/android","Twitter for Android")</f>
        <v>Twitter for Android</v>
      </c>
      <c r="L2474" s="16">
        <v>80.0</v>
      </c>
      <c r="M2474" s="16">
        <v>32.0</v>
      </c>
      <c r="N2474" s="16">
        <v>2.0</v>
      </c>
      <c r="O2474" s="17"/>
      <c r="P2474" s="18">
        <v>43735.41412037037</v>
      </c>
      <c r="Q2474" s="1" t="s">
        <v>7114</v>
      </c>
      <c r="R2474" s="1" t="s">
        <v>7115</v>
      </c>
      <c r="S2474" s="13" t="s">
        <v>7116</v>
      </c>
      <c r="T2474" s="14"/>
      <c r="U2474" s="19" t="str">
        <f>HYPERLINK("https://pbs.twimg.com/profile_images/1177583157878480896/T6enyfO7.jpg","View")</f>
        <v>View</v>
      </c>
      <c r="V2474" s="14"/>
      <c r="W2474" s="14"/>
      <c r="X2474" s="14"/>
      <c r="Y2474" s="14"/>
      <c r="Z2474" s="14"/>
    </row>
    <row r="2475">
      <c r="A2475" s="11">
        <v>43843.40666666666</v>
      </c>
      <c r="B2475" s="12" t="str">
        <f>HYPERLINK("https://twitter.com/kateyogaryan","@kateyogaryan")</f>
        <v>@kateyogaryan</v>
      </c>
      <c r="C2475" s="1" t="s">
        <v>11096</v>
      </c>
      <c r="D2475" s="1" t="s">
        <v>11097</v>
      </c>
      <c r="E2475" s="12" t="str">
        <f>HYPERLINK("https://twitter.com/kateyogaryan/status/1216733035791572993","1216733035791572993")</f>
        <v>1216733035791572993</v>
      </c>
      <c r="F2475" s="13" t="s">
        <v>11098</v>
      </c>
      <c r="G2475" s="14"/>
      <c r="H2475" s="14"/>
      <c r="I2475" s="15">
        <v>0.0</v>
      </c>
      <c r="J2475" s="15">
        <v>1.0</v>
      </c>
      <c r="K2475" s="12" t="str">
        <f>HYPERLINK("http://tweepsmap.com","Tweepsmap")</f>
        <v>Tweepsmap</v>
      </c>
      <c r="L2475" s="16">
        <v>56.0</v>
      </c>
      <c r="M2475" s="16">
        <v>251.0</v>
      </c>
      <c r="N2475" s="16">
        <v>0.0</v>
      </c>
      <c r="O2475" s="17"/>
      <c r="P2475" s="18">
        <v>43809.71554398148</v>
      </c>
      <c r="Q2475" s="14"/>
      <c r="R2475" s="1" t="s">
        <v>11099</v>
      </c>
      <c r="S2475" s="13" t="s">
        <v>11100</v>
      </c>
      <c r="T2475" s="14"/>
      <c r="U2475" s="19" t="str">
        <f>HYPERLINK("https://pbs.twimg.com/profile_images/1204523957510189057/tkPVg8fP.jpg","View")</f>
        <v>View</v>
      </c>
      <c r="V2475" s="14"/>
      <c r="W2475" s="14"/>
      <c r="X2475" s="14"/>
      <c r="Y2475" s="14"/>
      <c r="Z2475" s="14"/>
    </row>
    <row r="2476">
      <c r="A2476" s="23"/>
      <c r="B2476" s="2"/>
      <c r="C2476" s="2"/>
      <c r="D2476" s="2"/>
      <c r="E2476" s="2"/>
      <c r="F2476" s="2"/>
      <c r="G2476" s="2"/>
      <c r="H2476" s="2"/>
      <c r="I2476" s="2"/>
      <c r="J2476" s="2"/>
      <c r="K2476" s="2"/>
      <c r="L2476" s="24"/>
      <c r="M2476" s="24"/>
      <c r="N2476" s="24"/>
      <c r="O2476" s="24"/>
      <c r="P2476" s="24"/>
      <c r="Q2476" s="2"/>
      <c r="R2476" s="2"/>
      <c r="S2476" s="2"/>
      <c r="T2476" s="2"/>
      <c r="U2476" s="24"/>
      <c r="V2476" s="2"/>
      <c r="W2476" s="2"/>
      <c r="X2476" s="2"/>
      <c r="Y2476" s="2"/>
      <c r="Z2476" s="2"/>
    </row>
    <row r="2477">
      <c r="A2477" s="23"/>
      <c r="B2477" s="2"/>
      <c r="C2477" s="2"/>
      <c r="D2477" s="2"/>
      <c r="E2477" s="2"/>
      <c r="F2477" s="2"/>
      <c r="G2477" s="2"/>
      <c r="H2477" s="2"/>
      <c r="I2477" s="2"/>
      <c r="J2477" s="2"/>
      <c r="K2477" s="2"/>
      <c r="L2477" s="24"/>
      <c r="M2477" s="24"/>
      <c r="N2477" s="24"/>
      <c r="O2477" s="24"/>
      <c r="P2477" s="24"/>
      <c r="Q2477" s="2"/>
      <c r="R2477" s="2"/>
      <c r="S2477" s="2"/>
      <c r="T2477" s="2"/>
      <c r="U2477" s="24"/>
      <c r="V2477" s="2"/>
      <c r="W2477" s="2"/>
      <c r="X2477" s="2"/>
      <c r="Y2477" s="2"/>
      <c r="Z2477" s="2"/>
    </row>
    <row r="2478">
      <c r="A2478" s="23"/>
      <c r="B2478" s="2"/>
      <c r="C2478" s="2"/>
      <c r="D2478" s="2"/>
      <c r="E2478" s="2"/>
      <c r="F2478" s="2"/>
      <c r="G2478" s="2"/>
      <c r="H2478" s="2"/>
      <c r="I2478" s="2"/>
      <c r="J2478" s="2"/>
      <c r="K2478" s="2"/>
      <c r="L2478" s="24"/>
      <c r="M2478" s="24"/>
      <c r="N2478" s="24"/>
      <c r="O2478" s="24"/>
      <c r="P2478" s="24"/>
      <c r="Q2478" s="2"/>
      <c r="R2478" s="2"/>
      <c r="S2478" s="2"/>
      <c r="T2478" s="2"/>
      <c r="U2478" s="24"/>
      <c r="V2478" s="2"/>
      <c r="W2478" s="2"/>
      <c r="X2478" s="2"/>
      <c r="Y2478" s="2"/>
      <c r="Z2478" s="2"/>
    </row>
    <row r="2479">
      <c r="A2479" s="23"/>
      <c r="B2479" s="2"/>
      <c r="C2479" s="2"/>
      <c r="D2479" s="2"/>
      <c r="E2479" s="2"/>
      <c r="F2479" s="2"/>
      <c r="G2479" s="2"/>
      <c r="H2479" s="2"/>
      <c r="I2479" s="2"/>
      <c r="J2479" s="2"/>
      <c r="K2479" s="2"/>
      <c r="L2479" s="24"/>
      <c r="M2479" s="24"/>
      <c r="N2479" s="24"/>
      <c r="O2479" s="24"/>
      <c r="P2479" s="24"/>
      <c r="Q2479" s="2"/>
      <c r="R2479" s="2"/>
      <c r="S2479" s="2"/>
      <c r="T2479" s="2"/>
      <c r="U2479" s="24"/>
      <c r="V2479" s="2"/>
      <c r="W2479" s="2"/>
      <c r="X2479" s="2"/>
      <c r="Y2479" s="2"/>
      <c r="Z2479" s="2"/>
    </row>
    <row r="2480">
      <c r="A2480" s="23"/>
      <c r="B2480" s="2"/>
      <c r="C2480" s="2"/>
      <c r="D2480" s="2"/>
      <c r="E2480" s="2"/>
      <c r="F2480" s="2"/>
      <c r="G2480" s="2"/>
      <c r="H2480" s="2"/>
      <c r="I2480" s="2"/>
      <c r="J2480" s="2"/>
      <c r="K2480" s="2"/>
      <c r="L2480" s="24"/>
      <c r="M2480" s="24"/>
      <c r="N2480" s="24"/>
      <c r="O2480" s="24"/>
      <c r="P2480" s="24"/>
      <c r="Q2480" s="2"/>
      <c r="R2480" s="2"/>
      <c r="S2480" s="2"/>
      <c r="T2480" s="2"/>
      <c r="U2480" s="24"/>
      <c r="V2480" s="2"/>
      <c r="W2480" s="2"/>
      <c r="X2480" s="2"/>
      <c r="Y2480" s="2"/>
      <c r="Z2480" s="2"/>
    </row>
    <row r="2481">
      <c r="A2481" s="23"/>
      <c r="B2481" s="2"/>
      <c r="C2481" s="2"/>
      <c r="D2481" s="2"/>
      <c r="E2481" s="2"/>
      <c r="F2481" s="2"/>
      <c r="G2481" s="2"/>
      <c r="H2481" s="2"/>
      <c r="I2481" s="2"/>
      <c r="J2481" s="2"/>
      <c r="K2481" s="2"/>
      <c r="L2481" s="24"/>
      <c r="M2481" s="24"/>
      <c r="N2481" s="24"/>
      <c r="O2481" s="24"/>
      <c r="P2481" s="24"/>
      <c r="Q2481" s="2"/>
      <c r="R2481" s="2"/>
      <c r="S2481" s="2"/>
      <c r="T2481" s="2"/>
      <c r="U2481" s="24"/>
      <c r="V2481" s="2"/>
      <c r="W2481" s="2"/>
      <c r="X2481" s="2"/>
      <c r="Y2481" s="2"/>
      <c r="Z2481" s="2"/>
    </row>
    <row r="2482">
      <c r="A2482" s="23"/>
      <c r="B2482" s="2"/>
      <c r="C2482" s="2"/>
      <c r="D2482" s="2"/>
      <c r="E2482" s="2"/>
      <c r="F2482" s="2"/>
      <c r="G2482" s="2"/>
      <c r="H2482" s="2"/>
      <c r="I2482" s="2"/>
      <c r="J2482" s="2"/>
      <c r="K2482" s="2"/>
      <c r="L2482" s="24"/>
      <c r="M2482" s="24"/>
      <c r="N2482" s="24"/>
      <c r="O2482" s="24"/>
      <c r="P2482" s="24"/>
      <c r="Q2482" s="2"/>
      <c r="R2482" s="2"/>
      <c r="S2482" s="2"/>
      <c r="T2482" s="2"/>
      <c r="U2482" s="24"/>
      <c r="V2482" s="2"/>
      <c r="W2482" s="2"/>
      <c r="X2482" s="2"/>
      <c r="Y2482" s="2"/>
      <c r="Z2482" s="2"/>
    </row>
    <row r="2483">
      <c r="A2483" s="23"/>
      <c r="B2483" s="2"/>
      <c r="C2483" s="2"/>
      <c r="D2483" s="2"/>
      <c r="E2483" s="2"/>
      <c r="F2483" s="2"/>
      <c r="G2483" s="2"/>
      <c r="H2483" s="2"/>
      <c r="I2483" s="2"/>
      <c r="J2483" s="2"/>
      <c r="K2483" s="2"/>
      <c r="L2483" s="24"/>
      <c r="M2483" s="24"/>
      <c r="N2483" s="24"/>
      <c r="O2483" s="24"/>
      <c r="P2483" s="24"/>
      <c r="Q2483" s="2"/>
      <c r="R2483" s="2"/>
      <c r="S2483" s="2"/>
      <c r="T2483" s="2"/>
      <c r="U2483" s="24"/>
      <c r="V2483" s="2"/>
      <c r="W2483" s="2"/>
      <c r="X2483" s="2"/>
      <c r="Y2483" s="2"/>
      <c r="Z2483" s="2"/>
    </row>
    <row r="2484">
      <c r="A2484" s="23"/>
      <c r="B2484" s="2"/>
      <c r="C2484" s="2"/>
      <c r="D2484" s="2"/>
      <c r="E2484" s="2"/>
      <c r="F2484" s="2"/>
      <c r="G2484" s="2"/>
      <c r="H2484" s="2"/>
      <c r="I2484" s="2"/>
      <c r="J2484" s="2"/>
      <c r="K2484" s="2"/>
      <c r="L2484" s="24"/>
      <c r="M2484" s="24"/>
      <c r="N2484" s="24"/>
      <c r="O2484" s="24"/>
      <c r="P2484" s="24"/>
      <c r="Q2484" s="2"/>
      <c r="R2484" s="2"/>
      <c r="S2484" s="2"/>
      <c r="T2484" s="2"/>
      <c r="U2484" s="24"/>
      <c r="V2484" s="2"/>
      <c r="W2484" s="2"/>
      <c r="X2484" s="2"/>
      <c r="Y2484" s="2"/>
      <c r="Z2484" s="2"/>
    </row>
    <row r="2485">
      <c r="A2485" s="23"/>
      <c r="B2485" s="2"/>
      <c r="C2485" s="2"/>
      <c r="D2485" s="2"/>
      <c r="E2485" s="2"/>
      <c r="F2485" s="2"/>
      <c r="G2485" s="2"/>
      <c r="H2485" s="2"/>
      <c r="I2485" s="2"/>
      <c r="J2485" s="2"/>
      <c r="K2485" s="2"/>
      <c r="L2485" s="24"/>
      <c r="M2485" s="24"/>
      <c r="N2485" s="24"/>
      <c r="O2485" s="24"/>
      <c r="P2485" s="24"/>
      <c r="Q2485" s="2"/>
      <c r="R2485" s="2"/>
      <c r="S2485" s="2"/>
      <c r="T2485" s="2"/>
      <c r="U2485" s="24"/>
      <c r="V2485" s="2"/>
      <c r="W2485" s="2"/>
      <c r="X2485" s="2"/>
      <c r="Y2485" s="2"/>
      <c r="Z2485" s="2"/>
    </row>
    <row r="2486">
      <c r="A2486" s="23"/>
      <c r="B2486" s="2"/>
      <c r="C2486" s="2"/>
      <c r="D2486" s="2"/>
      <c r="E2486" s="2"/>
      <c r="F2486" s="2"/>
      <c r="G2486" s="2"/>
      <c r="H2486" s="2"/>
      <c r="I2486" s="2"/>
      <c r="J2486" s="2"/>
      <c r="K2486" s="2"/>
      <c r="L2486" s="24"/>
      <c r="M2486" s="24"/>
      <c r="N2486" s="24"/>
      <c r="O2486" s="24"/>
      <c r="P2486" s="24"/>
      <c r="Q2486" s="2"/>
      <c r="R2486" s="2"/>
      <c r="S2486" s="2"/>
      <c r="T2486" s="2"/>
      <c r="U2486" s="24"/>
      <c r="V2486" s="2"/>
      <c r="W2486" s="2"/>
      <c r="X2486" s="2"/>
      <c r="Y2486" s="2"/>
      <c r="Z2486" s="2"/>
    </row>
    <row r="2487">
      <c r="A2487" s="23"/>
      <c r="B2487" s="2"/>
      <c r="C2487" s="2"/>
      <c r="D2487" s="2"/>
      <c r="E2487" s="2"/>
      <c r="F2487" s="2"/>
      <c r="G2487" s="2"/>
      <c r="H2487" s="2"/>
      <c r="I2487" s="2"/>
      <c r="J2487" s="2"/>
      <c r="K2487" s="2"/>
      <c r="L2487" s="24"/>
      <c r="M2487" s="24"/>
      <c r="N2487" s="24"/>
      <c r="O2487" s="24"/>
      <c r="P2487" s="24"/>
      <c r="Q2487" s="2"/>
      <c r="R2487" s="2"/>
      <c r="S2487" s="2"/>
      <c r="T2487" s="2"/>
      <c r="U2487" s="24"/>
      <c r="V2487" s="2"/>
      <c r="W2487" s="2"/>
      <c r="X2487" s="2"/>
      <c r="Y2487" s="2"/>
      <c r="Z2487" s="2"/>
    </row>
    <row r="2488">
      <c r="A2488" s="23"/>
      <c r="B2488" s="2"/>
      <c r="C2488" s="2"/>
      <c r="D2488" s="2"/>
      <c r="E2488" s="2"/>
      <c r="F2488" s="2"/>
      <c r="G2488" s="2"/>
      <c r="H2488" s="2"/>
      <c r="I2488" s="2"/>
      <c r="J2488" s="2"/>
      <c r="K2488" s="2"/>
      <c r="L2488" s="24"/>
      <c r="M2488" s="24"/>
      <c r="N2488" s="24"/>
      <c r="O2488" s="24"/>
      <c r="P2488" s="24"/>
      <c r="Q2488" s="2"/>
      <c r="R2488" s="2"/>
      <c r="S2488" s="2"/>
      <c r="T2488" s="2"/>
      <c r="U2488" s="24"/>
      <c r="V2488" s="2"/>
      <c r="W2488" s="2"/>
      <c r="X2488" s="2"/>
      <c r="Y2488" s="2"/>
      <c r="Z2488" s="2"/>
    </row>
    <row r="2489">
      <c r="A2489" s="23"/>
      <c r="B2489" s="2"/>
      <c r="C2489" s="2"/>
      <c r="D2489" s="2"/>
      <c r="E2489" s="2"/>
      <c r="F2489" s="2"/>
      <c r="G2489" s="2"/>
      <c r="H2489" s="2"/>
      <c r="I2489" s="2"/>
      <c r="J2489" s="2"/>
      <c r="K2489" s="2"/>
      <c r="L2489" s="24"/>
      <c r="M2489" s="24"/>
      <c r="N2489" s="24"/>
      <c r="O2489" s="24"/>
      <c r="P2489" s="24"/>
      <c r="Q2489" s="2"/>
      <c r="R2489" s="2"/>
      <c r="S2489" s="2"/>
      <c r="T2489" s="2"/>
      <c r="U2489" s="24"/>
      <c r="V2489" s="2"/>
      <c r="W2489" s="2"/>
      <c r="X2489" s="2"/>
      <c r="Y2489" s="2"/>
      <c r="Z2489" s="2"/>
    </row>
    <row r="2490">
      <c r="A2490" s="23"/>
      <c r="B2490" s="2"/>
      <c r="C2490" s="2"/>
      <c r="D2490" s="2"/>
      <c r="E2490" s="2"/>
      <c r="F2490" s="2"/>
      <c r="G2490" s="2"/>
      <c r="H2490" s="2"/>
      <c r="I2490" s="2"/>
      <c r="J2490" s="2"/>
      <c r="K2490" s="2"/>
      <c r="L2490" s="24"/>
      <c r="M2490" s="24"/>
      <c r="N2490" s="24"/>
      <c r="O2490" s="24"/>
      <c r="P2490" s="24"/>
      <c r="Q2490" s="2"/>
      <c r="R2490" s="2"/>
      <c r="S2490" s="2"/>
      <c r="T2490" s="2"/>
      <c r="U2490" s="24"/>
      <c r="V2490" s="2"/>
      <c r="W2490" s="2"/>
      <c r="X2490" s="2"/>
      <c r="Y2490" s="2"/>
      <c r="Z2490" s="2"/>
    </row>
    <row r="2491">
      <c r="A2491" s="23"/>
      <c r="B2491" s="2"/>
      <c r="C2491" s="2"/>
      <c r="D2491" s="2"/>
      <c r="E2491" s="2"/>
      <c r="F2491" s="2"/>
      <c r="G2491" s="2"/>
      <c r="H2491" s="2"/>
      <c r="I2491" s="2"/>
      <c r="J2491" s="2"/>
      <c r="K2491" s="2"/>
      <c r="L2491" s="24"/>
      <c r="M2491" s="24"/>
      <c r="N2491" s="24"/>
      <c r="O2491" s="24"/>
      <c r="P2491" s="24"/>
      <c r="Q2491" s="2"/>
      <c r="R2491" s="2"/>
      <c r="S2491" s="2"/>
      <c r="T2491" s="2"/>
      <c r="U2491" s="24"/>
      <c r="V2491" s="2"/>
      <c r="W2491" s="2"/>
      <c r="X2491" s="2"/>
      <c r="Y2491" s="2"/>
      <c r="Z2491" s="2"/>
    </row>
    <row r="2492">
      <c r="A2492" s="23"/>
      <c r="B2492" s="2"/>
      <c r="C2492" s="2"/>
      <c r="D2492" s="2"/>
      <c r="E2492" s="2"/>
      <c r="F2492" s="2"/>
      <c r="G2492" s="2"/>
      <c r="H2492" s="2"/>
      <c r="I2492" s="2"/>
      <c r="J2492" s="2"/>
      <c r="K2492" s="2"/>
      <c r="L2492" s="24"/>
      <c r="M2492" s="24"/>
      <c r="N2492" s="24"/>
      <c r="O2492" s="24"/>
      <c r="P2492" s="24"/>
      <c r="Q2492" s="2"/>
      <c r="R2492" s="2"/>
      <c r="S2492" s="2"/>
      <c r="T2492" s="2"/>
      <c r="U2492" s="24"/>
      <c r="V2492" s="2"/>
      <c r="W2492" s="2"/>
      <c r="X2492" s="2"/>
      <c r="Y2492" s="2"/>
      <c r="Z2492" s="2"/>
    </row>
    <row r="2493">
      <c r="A2493" s="23"/>
      <c r="B2493" s="2"/>
      <c r="C2493" s="2"/>
      <c r="D2493" s="2"/>
      <c r="E2493" s="2"/>
      <c r="F2493" s="2"/>
      <c r="G2493" s="2"/>
      <c r="H2493" s="2"/>
      <c r="I2493" s="2"/>
      <c r="J2493" s="2"/>
      <c r="K2493" s="2"/>
      <c r="L2493" s="24"/>
      <c r="M2493" s="24"/>
      <c r="N2493" s="24"/>
      <c r="O2493" s="24"/>
      <c r="P2493" s="24"/>
      <c r="Q2493" s="2"/>
      <c r="R2493" s="2"/>
      <c r="S2493" s="2"/>
      <c r="T2493" s="2"/>
      <c r="U2493" s="24"/>
      <c r="V2493" s="2"/>
      <c r="W2493" s="2"/>
      <c r="X2493" s="2"/>
      <c r="Y2493" s="2"/>
      <c r="Z2493" s="2"/>
    </row>
    <row r="2494">
      <c r="A2494" s="23"/>
      <c r="B2494" s="2"/>
      <c r="C2494" s="2"/>
      <c r="D2494" s="2"/>
      <c r="E2494" s="2"/>
      <c r="F2494" s="2"/>
      <c r="G2494" s="2"/>
      <c r="H2494" s="2"/>
      <c r="I2494" s="2"/>
      <c r="J2494" s="2"/>
      <c r="K2494" s="2"/>
      <c r="L2494" s="24"/>
      <c r="M2494" s="24"/>
      <c r="N2494" s="24"/>
      <c r="O2494" s="24"/>
      <c r="P2494" s="24"/>
      <c r="Q2494" s="2"/>
      <c r="R2494" s="2"/>
      <c r="S2494" s="2"/>
      <c r="T2494" s="2"/>
      <c r="U2494" s="24"/>
      <c r="V2494" s="2"/>
      <c r="W2494" s="2"/>
      <c r="X2494" s="2"/>
      <c r="Y2494" s="2"/>
      <c r="Z2494" s="2"/>
    </row>
    <row r="2495">
      <c r="A2495" s="23"/>
      <c r="B2495" s="2"/>
      <c r="C2495" s="2"/>
      <c r="D2495" s="2"/>
      <c r="E2495" s="2"/>
      <c r="F2495" s="2"/>
      <c r="G2495" s="2"/>
      <c r="H2495" s="2"/>
      <c r="I2495" s="2"/>
      <c r="J2495" s="2"/>
      <c r="K2495" s="2"/>
      <c r="L2495" s="24"/>
      <c r="M2495" s="24"/>
      <c r="N2495" s="24"/>
      <c r="O2495" s="24"/>
      <c r="P2495" s="24"/>
      <c r="Q2495" s="2"/>
      <c r="R2495" s="2"/>
      <c r="S2495" s="2"/>
      <c r="T2495" s="2"/>
      <c r="U2495" s="24"/>
      <c r="V2495" s="2"/>
      <c r="W2495" s="2"/>
      <c r="X2495" s="2"/>
      <c r="Y2495" s="2"/>
      <c r="Z2495" s="2"/>
    </row>
    <row r="2496">
      <c r="A2496" s="23"/>
      <c r="B2496" s="2"/>
      <c r="C2496" s="2"/>
      <c r="D2496" s="2"/>
      <c r="E2496" s="2"/>
      <c r="F2496" s="2"/>
      <c r="G2496" s="2"/>
      <c r="H2496" s="2"/>
      <c r="I2496" s="2"/>
      <c r="J2496" s="2"/>
      <c r="K2496" s="2"/>
      <c r="L2496" s="24"/>
      <c r="M2496" s="24"/>
      <c r="N2496" s="24"/>
      <c r="O2496" s="24"/>
      <c r="P2496" s="24"/>
      <c r="Q2496" s="2"/>
      <c r="R2496" s="2"/>
      <c r="S2496" s="2"/>
      <c r="T2496" s="2"/>
      <c r="U2496" s="24"/>
      <c r="V2496" s="2"/>
      <c r="W2496" s="2"/>
      <c r="X2496" s="2"/>
      <c r="Y2496" s="2"/>
      <c r="Z2496" s="2"/>
    </row>
    <row r="2497">
      <c r="A2497" s="23"/>
      <c r="B2497" s="2"/>
      <c r="C2497" s="2"/>
      <c r="D2497" s="2"/>
      <c r="E2497" s="2"/>
      <c r="F2497" s="2"/>
      <c r="G2497" s="2"/>
      <c r="H2497" s="2"/>
      <c r="I2497" s="2"/>
      <c r="J2497" s="2"/>
      <c r="K2497" s="2"/>
      <c r="L2497" s="24"/>
      <c r="M2497" s="24"/>
      <c r="N2497" s="24"/>
      <c r="O2497" s="24"/>
      <c r="P2497" s="24"/>
      <c r="Q2497" s="2"/>
      <c r="R2497" s="2"/>
      <c r="S2497" s="2"/>
      <c r="T2497" s="2"/>
      <c r="U2497" s="24"/>
      <c r="V2497" s="2"/>
      <c r="W2497" s="2"/>
      <c r="X2497" s="2"/>
      <c r="Y2497" s="2"/>
      <c r="Z2497" s="2"/>
    </row>
    <row r="2498">
      <c r="A2498" s="23"/>
      <c r="B2498" s="2"/>
      <c r="C2498" s="2"/>
      <c r="D2498" s="2"/>
      <c r="E2498" s="2"/>
      <c r="F2498" s="2"/>
      <c r="G2498" s="2"/>
      <c r="H2498" s="2"/>
      <c r="I2498" s="2"/>
      <c r="J2498" s="2"/>
      <c r="K2498" s="2"/>
      <c r="L2498" s="24"/>
      <c r="M2498" s="24"/>
      <c r="N2498" s="24"/>
      <c r="O2498" s="24"/>
      <c r="P2498" s="24"/>
      <c r="Q2498" s="2"/>
      <c r="R2498" s="2"/>
      <c r="S2498" s="2"/>
      <c r="T2498" s="2"/>
      <c r="U2498" s="24"/>
      <c r="V2498" s="2"/>
      <c r="W2498" s="2"/>
      <c r="X2498" s="2"/>
      <c r="Y2498" s="2"/>
      <c r="Z2498" s="2"/>
    </row>
    <row r="2499">
      <c r="A2499" s="23"/>
      <c r="B2499" s="2"/>
      <c r="C2499" s="2"/>
      <c r="D2499" s="2"/>
      <c r="E2499" s="2"/>
      <c r="F2499" s="2"/>
      <c r="G2499" s="2"/>
      <c r="H2499" s="2"/>
      <c r="I2499" s="2"/>
      <c r="J2499" s="2"/>
      <c r="K2499" s="2"/>
      <c r="L2499" s="24"/>
      <c r="M2499" s="24"/>
      <c r="N2499" s="24"/>
      <c r="O2499" s="24"/>
      <c r="P2499" s="24"/>
      <c r="Q2499" s="2"/>
      <c r="R2499" s="2"/>
      <c r="S2499" s="2"/>
      <c r="T2499" s="2"/>
      <c r="U2499" s="24"/>
      <c r="V2499" s="2"/>
      <c r="W2499" s="2"/>
      <c r="X2499" s="2"/>
      <c r="Y2499" s="2"/>
      <c r="Z2499" s="2"/>
    </row>
    <row r="2500">
      <c r="A2500" s="23"/>
      <c r="B2500" s="2"/>
      <c r="C2500" s="2"/>
      <c r="D2500" s="2"/>
      <c r="E2500" s="2"/>
      <c r="F2500" s="2"/>
      <c r="G2500" s="2"/>
      <c r="H2500" s="2"/>
      <c r="I2500" s="2"/>
      <c r="J2500" s="2"/>
      <c r="K2500" s="2"/>
      <c r="L2500" s="24"/>
      <c r="M2500" s="24"/>
      <c r="N2500" s="24"/>
      <c r="O2500" s="24"/>
      <c r="P2500" s="24"/>
      <c r="Q2500" s="2"/>
      <c r="R2500" s="2"/>
      <c r="S2500" s="2"/>
      <c r="T2500" s="2"/>
      <c r="U2500" s="24"/>
      <c r="V2500" s="2"/>
      <c r="W2500" s="2"/>
      <c r="X2500" s="2"/>
      <c r="Y2500" s="2"/>
      <c r="Z2500" s="2"/>
    </row>
    <row r="2501">
      <c r="A2501" s="23"/>
      <c r="B2501" s="2"/>
      <c r="C2501" s="2"/>
      <c r="D2501" s="2"/>
      <c r="E2501" s="2"/>
      <c r="F2501" s="2"/>
      <c r="G2501" s="2"/>
      <c r="H2501" s="2"/>
      <c r="I2501" s="2"/>
      <c r="J2501" s="2"/>
      <c r="K2501" s="2"/>
      <c r="L2501" s="24"/>
      <c r="M2501" s="24"/>
      <c r="N2501" s="24"/>
      <c r="O2501" s="24"/>
      <c r="P2501" s="24"/>
      <c r="Q2501" s="2"/>
      <c r="R2501" s="2"/>
      <c r="S2501" s="2"/>
      <c r="T2501" s="2"/>
      <c r="U2501" s="24"/>
      <c r="V2501" s="2"/>
      <c r="W2501" s="2"/>
      <c r="X2501" s="2"/>
      <c r="Y2501" s="2"/>
      <c r="Z2501" s="2"/>
    </row>
    <row r="2502">
      <c r="A2502" s="23"/>
      <c r="B2502" s="2"/>
      <c r="C2502" s="2"/>
      <c r="D2502" s="2"/>
      <c r="E2502" s="2"/>
      <c r="F2502" s="2"/>
      <c r="G2502" s="2"/>
      <c r="H2502" s="2"/>
      <c r="I2502" s="2"/>
      <c r="J2502" s="2"/>
      <c r="K2502" s="2"/>
      <c r="L2502" s="24"/>
      <c r="M2502" s="24"/>
      <c r="N2502" s="24"/>
      <c r="O2502" s="24"/>
      <c r="P2502" s="24"/>
      <c r="Q2502" s="2"/>
      <c r="R2502" s="2"/>
      <c r="S2502" s="2"/>
      <c r="T2502" s="2"/>
      <c r="U2502" s="24"/>
      <c r="V2502" s="2"/>
      <c r="W2502" s="2"/>
      <c r="X2502" s="2"/>
      <c r="Y2502" s="2"/>
      <c r="Z2502" s="2"/>
    </row>
    <row r="2503">
      <c r="A2503" s="23"/>
      <c r="B2503" s="2"/>
      <c r="C2503" s="2"/>
      <c r="D2503" s="2"/>
      <c r="E2503" s="2"/>
      <c r="F2503" s="2"/>
      <c r="G2503" s="2"/>
      <c r="H2503" s="2"/>
      <c r="I2503" s="2"/>
      <c r="J2503" s="2"/>
      <c r="K2503" s="2"/>
      <c r="L2503" s="24"/>
      <c r="M2503" s="24"/>
      <c r="N2503" s="24"/>
      <c r="O2503" s="24"/>
      <c r="P2503" s="24"/>
      <c r="Q2503" s="2"/>
      <c r="R2503" s="2"/>
      <c r="S2503" s="2"/>
      <c r="T2503" s="2"/>
      <c r="U2503" s="24"/>
      <c r="V2503" s="2"/>
      <c r="W2503" s="2"/>
      <c r="X2503" s="2"/>
      <c r="Y2503" s="2"/>
      <c r="Z2503" s="2"/>
    </row>
    <row r="2504">
      <c r="A2504" s="23"/>
      <c r="B2504" s="2"/>
      <c r="C2504" s="2"/>
      <c r="D2504" s="2"/>
      <c r="E2504" s="2"/>
      <c r="F2504" s="2"/>
      <c r="G2504" s="2"/>
      <c r="H2504" s="2"/>
      <c r="I2504" s="2"/>
      <c r="J2504" s="2"/>
      <c r="K2504" s="2"/>
      <c r="L2504" s="24"/>
      <c r="M2504" s="24"/>
      <c r="N2504" s="24"/>
      <c r="O2504" s="24"/>
      <c r="P2504" s="24"/>
      <c r="Q2504" s="2"/>
      <c r="R2504" s="2"/>
      <c r="S2504" s="2"/>
      <c r="T2504" s="2"/>
      <c r="U2504" s="24"/>
      <c r="V2504" s="2"/>
      <c r="W2504" s="2"/>
      <c r="X2504" s="2"/>
      <c r="Y2504" s="2"/>
      <c r="Z2504" s="2"/>
    </row>
    <row r="2505">
      <c r="A2505" s="23"/>
      <c r="B2505" s="2"/>
      <c r="C2505" s="2"/>
      <c r="D2505" s="2"/>
      <c r="E2505" s="2"/>
      <c r="F2505" s="2"/>
      <c r="G2505" s="2"/>
      <c r="H2505" s="2"/>
      <c r="I2505" s="2"/>
      <c r="J2505" s="2"/>
      <c r="K2505" s="2"/>
      <c r="L2505" s="24"/>
      <c r="M2505" s="24"/>
      <c r="N2505" s="24"/>
      <c r="O2505" s="24"/>
      <c r="P2505" s="24"/>
      <c r="Q2505" s="2"/>
      <c r="R2505" s="2"/>
      <c r="S2505" s="2"/>
      <c r="T2505" s="2"/>
      <c r="U2505" s="24"/>
      <c r="V2505" s="2"/>
      <c r="W2505" s="2"/>
      <c r="X2505" s="2"/>
      <c r="Y2505" s="2"/>
      <c r="Z2505" s="2"/>
    </row>
    <row r="2506">
      <c r="A2506" s="23"/>
      <c r="B2506" s="2"/>
      <c r="C2506" s="2"/>
      <c r="D2506" s="2"/>
      <c r="E2506" s="2"/>
      <c r="F2506" s="2"/>
      <c r="G2506" s="2"/>
      <c r="H2506" s="2"/>
      <c r="I2506" s="2"/>
      <c r="J2506" s="2"/>
      <c r="K2506" s="2"/>
      <c r="L2506" s="24"/>
      <c r="M2506" s="24"/>
      <c r="N2506" s="24"/>
      <c r="O2506" s="24"/>
      <c r="P2506" s="24"/>
      <c r="Q2506" s="2"/>
      <c r="R2506" s="2"/>
      <c r="S2506" s="2"/>
      <c r="T2506" s="2"/>
      <c r="U2506" s="24"/>
      <c r="V2506" s="2"/>
      <c r="W2506" s="2"/>
      <c r="X2506" s="2"/>
      <c r="Y2506" s="2"/>
      <c r="Z2506" s="2"/>
    </row>
    <row r="2507">
      <c r="A2507" s="23"/>
      <c r="B2507" s="2"/>
      <c r="C2507" s="2"/>
      <c r="D2507" s="2"/>
      <c r="E2507" s="2"/>
      <c r="F2507" s="2"/>
      <c r="G2507" s="2"/>
      <c r="H2507" s="2"/>
      <c r="I2507" s="2"/>
      <c r="J2507" s="2"/>
      <c r="K2507" s="2"/>
      <c r="L2507" s="24"/>
      <c r="M2507" s="24"/>
      <c r="N2507" s="24"/>
      <c r="O2507" s="24"/>
      <c r="P2507" s="24"/>
      <c r="Q2507" s="2"/>
      <c r="R2507" s="2"/>
      <c r="S2507" s="2"/>
      <c r="T2507" s="2"/>
      <c r="U2507" s="24"/>
      <c r="V2507" s="2"/>
      <c r="W2507" s="2"/>
      <c r="X2507" s="2"/>
      <c r="Y2507" s="2"/>
      <c r="Z2507" s="2"/>
    </row>
    <row r="2508">
      <c r="A2508" s="23"/>
      <c r="B2508" s="2"/>
      <c r="C2508" s="2"/>
      <c r="D2508" s="2"/>
      <c r="E2508" s="2"/>
      <c r="F2508" s="2"/>
      <c r="G2508" s="2"/>
      <c r="H2508" s="2"/>
      <c r="I2508" s="2"/>
      <c r="J2508" s="2"/>
      <c r="K2508" s="2"/>
      <c r="L2508" s="24"/>
      <c r="M2508" s="24"/>
      <c r="N2508" s="24"/>
      <c r="O2508" s="24"/>
      <c r="P2508" s="24"/>
      <c r="Q2508" s="2"/>
      <c r="R2508" s="2"/>
      <c r="S2508" s="2"/>
      <c r="T2508" s="2"/>
      <c r="U2508" s="24"/>
      <c r="V2508" s="2"/>
      <c r="W2508" s="2"/>
      <c r="X2508" s="2"/>
      <c r="Y2508" s="2"/>
      <c r="Z2508" s="2"/>
    </row>
    <row r="2509">
      <c r="A2509" s="23"/>
      <c r="B2509" s="2"/>
      <c r="C2509" s="2"/>
      <c r="D2509" s="2"/>
      <c r="E2509" s="2"/>
      <c r="F2509" s="2"/>
      <c r="G2509" s="2"/>
      <c r="H2509" s="2"/>
      <c r="I2509" s="2"/>
      <c r="J2509" s="2"/>
      <c r="K2509" s="2"/>
      <c r="L2509" s="24"/>
      <c r="M2509" s="24"/>
      <c r="N2509" s="24"/>
      <c r="O2509" s="24"/>
      <c r="P2509" s="24"/>
      <c r="Q2509" s="2"/>
      <c r="R2509" s="2"/>
      <c r="S2509" s="2"/>
      <c r="T2509" s="2"/>
      <c r="U2509" s="24"/>
      <c r="V2509" s="2"/>
      <c r="W2509" s="2"/>
      <c r="X2509" s="2"/>
      <c r="Y2509" s="2"/>
      <c r="Z2509" s="2"/>
    </row>
    <row r="2510">
      <c r="A2510" s="23"/>
      <c r="B2510" s="2"/>
      <c r="C2510" s="2"/>
      <c r="D2510" s="2"/>
      <c r="E2510" s="2"/>
      <c r="F2510" s="2"/>
      <c r="G2510" s="2"/>
      <c r="H2510" s="2"/>
      <c r="I2510" s="2"/>
      <c r="J2510" s="2"/>
      <c r="K2510" s="2"/>
      <c r="L2510" s="24"/>
      <c r="M2510" s="24"/>
      <c r="N2510" s="24"/>
      <c r="O2510" s="24"/>
      <c r="P2510" s="24"/>
      <c r="Q2510" s="2"/>
      <c r="R2510" s="2"/>
      <c r="S2510" s="2"/>
      <c r="T2510" s="2"/>
      <c r="U2510" s="24"/>
      <c r="V2510" s="2"/>
      <c r="W2510" s="2"/>
      <c r="X2510" s="2"/>
      <c r="Y2510" s="2"/>
      <c r="Z2510" s="2"/>
    </row>
    <row r="2511">
      <c r="A2511" s="23"/>
      <c r="B2511" s="2"/>
      <c r="C2511" s="2"/>
      <c r="D2511" s="2"/>
      <c r="E2511" s="2"/>
      <c r="F2511" s="2"/>
      <c r="G2511" s="2"/>
      <c r="H2511" s="2"/>
      <c r="I2511" s="2"/>
      <c r="J2511" s="2"/>
      <c r="K2511" s="2"/>
      <c r="L2511" s="24"/>
      <c r="M2511" s="24"/>
      <c r="N2511" s="24"/>
      <c r="O2511" s="24"/>
      <c r="P2511" s="24"/>
      <c r="Q2511" s="2"/>
      <c r="R2511" s="2"/>
      <c r="S2511" s="2"/>
      <c r="T2511" s="2"/>
      <c r="U2511" s="24"/>
      <c r="V2511" s="2"/>
      <c r="W2511" s="2"/>
      <c r="X2511" s="2"/>
      <c r="Y2511" s="2"/>
      <c r="Z2511" s="2"/>
    </row>
    <row r="2512">
      <c r="A2512" s="23"/>
      <c r="B2512" s="2"/>
      <c r="C2512" s="2"/>
      <c r="D2512" s="2"/>
      <c r="E2512" s="2"/>
      <c r="F2512" s="2"/>
      <c r="G2512" s="2"/>
      <c r="H2512" s="2"/>
      <c r="I2512" s="2"/>
      <c r="J2512" s="2"/>
      <c r="K2512" s="2"/>
      <c r="L2512" s="24"/>
      <c r="M2512" s="24"/>
      <c r="N2512" s="24"/>
      <c r="O2512" s="24"/>
      <c r="P2512" s="24"/>
      <c r="Q2512" s="2"/>
      <c r="R2512" s="2"/>
      <c r="S2512" s="2"/>
      <c r="T2512" s="2"/>
      <c r="U2512" s="24"/>
      <c r="V2512" s="2"/>
      <c r="W2512" s="2"/>
      <c r="X2512" s="2"/>
      <c r="Y2512" s="2"/>
      <c r="Z2512" s="2"/>
    </row>
    <row r="2513">
      <c r="A2513" s="23"/>
      <c r="B2513" s="2"/>
      <c r="C2513" s="2"/>
      <c r="D2513" s="2"/>
      <c r="E2513" s="2"/>
      <c r="F2513" s="2"/>
      <c r="G2513" s="2"/>
      <c r="H2513" s="2"/>
      <c r="I2513" s="2"/>
      <c r="J2513" s="2"/>
      <c r="K2513" s="2"/>
      <c r="L2513" s="24"/>
      <c r="M2513" s="24"/>
      <c r="N2513" s="24"/>
      <c r="O2513" s="24"/>
      <c r="P2513" s="24"/>
      <c r="Q2513" s="2"/>
      <c r="R2513" s="2"/>
      <c r="S2513" s="2"/>
      <c r="T2513" s="2"/>
      <c r="U2513" s="24"/>
      <c r="V2513" s="2"/>
      <c r="W2513" s="2"/>
      <c r="X2513" s="2"/>
      <c r="Y2513" s="2"/>
      <c r="Z2513" s="2"/>
    </row>
    <row r="2514">
      <c r="A2514" s="23"/>
      <c r="B2514" s="2"/>
      <c r="C2514" s="2"/>
      <c r="D2514" s="2"/>
      <c r="E2514" s="2"/>
      <c r="F2514" s="2"/>
      <c r="G2514" s="2"/>
      <c r="H2514" s="2"/>
      <c r="I2514" s="2"/>
      <c r="J2514" s="2"/>
      <c r="K2514" s="2"/>
      <c r="L2514" s="24"/>
      <c r="M2514" s="24"/>
      <c r="N2514" s="24"/>
      <c r="O2514" s="24"/>
      <c r="P2514" s="24"/>
      <c r="Q2514" s="2"/>
      <c r="R2514" s="2"/>
      <c r="S2514" s="2"/>
      <c r="T2514" s="2"/>
      <c r="U2514" s="24"/>
      <c r="V2514" s="2"/>
      <c r="W2514" s="2"/>
      <c r="X2514" s="2"/>
      <c r="Y2514" s="2"/>
      <c r="Z2514" s="2"/>
    </row>
    <row r="2515">
      <c r="A2515" s="23"/>
      <c r="B2515" s="2"/>
      <c r="C2515" s="2"/>
      <c r="D2515" s="2"/>
      <c r="E2515" s="2"/>
      <c r="F2515" s="2"/>
      <c r="G2515" s="2"/>
      <c r="H2515" s="2"/>
      <c r="I2515" s="2"/>
      <c r="J2515" s="2"/>
      <c r="K2515" s="2"/>
      <c r="L2515" s="24"/>
      <c r="M2515" s="24"/>
      <c r="N2515" s="24"/>
      <c r="O2515" s="24"/>
      <c r="P2515" s="24"/>
      <c r="Q2515" s="2"/>
      <c r="R2515" s="2"/>
      <c r="S2515" s="2"/>
      <c r="T2515" s="2"/>
      <c r="U2515" s="24"/>
      <c r="V2515" s="2"/>
      <c r="W2515" s="2"/>
      <c r="X2515" s="2"/>
      <c r="Y2515" s="2"/>
      <c r="Z2515" s="2"/>
    </row>
    <row r="2516">
      <c r="A2516" s="23"/>
      <c r="B2516" s="2"/>
      <c r="C2516" s="2"/>
      <c r="D2516" s="2"/>
      <c r="E2516" s="2"/>
      <c r="F2516" s="2"/>
      <c r="G2516" s="2"/>
      <c r="H2516" s="2"/>
      <c r="I2516" s="2"/>
      <c r="J2516" s="2"/>
      <c r="K2516" s="2"/>
      <c r="L2516" s="24"/>
      <c r="M2516" s="24"/>
      <c r="N2516" s="24"/>
      <c r="O2516" s="24"/>
      <c r="P2516" s="24"/>
      <c r="Q2516" s="2"/>
      <c r="R2516" s="2"/>
      <c r="S2516" s="2"/>
      <c r="T2516" s="2"/>
      <c r="U2516" s="24"/>
      <c r="V2516" s="2"/>
      <c r="W2516" s="2"/>
      <c r="X2516" s="2"/>
      <c r="Y2516" s="2"/>
      <c r="Z2516" s="2"/>
    </row>
    <row r="2517">
      <c r="A2517" s="23"/>
      <c r="B2517" s="2"/>
      <c r="C2517" s="2"/>
      <c r="D2517" s="2"/>
      <c r="E2517" s="2"/>
      <c r="F2517" s="2"/>
      <c r="G2517" s="2"/>
      <c r="H2517" s="2"/>
      <c r="I2517" s="2"/>
      <c r="J2517" s="2"/>
      <c r="K2517" s="2"/>
      <c r="L2517" s="24"/>
      <c r="M2517" s="24"/>
      <c r="N2517" s="24"/>
      <c r="O2517" s="24"/>
      <c r="P2517" s="24"/>
      <c r="Q2517" s="2"/>
      <c r="R2517" s="2"/>
      <c r="S2517" s="2"/>
      <c r="T2517" s="2"/>
      <c r="U2517" s="24"/>
      <c r="V2517" s="2"/>
      <c r="W2517" s="2"/>
      <c r="X2517" s="2"/>
      <c r="Y2517" s="2"/>
      <c r="Z2517" s="2"/>
    </row>
    <row r="2518">
      <c r="A2518" s="23"/>
      <c r="B2518" s="2"/>
      <c r="C2518" s="2"/>
      <c r="D2518" s="2"/>
      <c r="E2518" s="2"/>
      <c r="F2518" s="2"/>
      <c r="G2518" s="2"/>
      <c r="H2518" s="2"/>
      <c r="I2518" s="2"/>
      <c r="J2518" s="2"/>
      <c r="K2518" s="2"/>
      <c r="L2518" s="24"/>
      <c r="M2518" s="24"/>
      <c r="N2518" s="24"/>
      <c r="O2518" s="24"/>
      <c r="P2518" s="24"/>
      <c r="Q2518" s="2"/>
      <c r="R2518" s="2"/>
      <c r="S2518" s="2"/>
      <c r="T2518" s="2"/>
      <c r="U2518" s="24"/>
      <c r="V2518" s="2"/>
      <c r="W2518" s="2"/>
      <c r="X2518" s="2"/>
      <c r="Y2518" s="2"/>
      <c r="Z2518" s="2"/>
    </row>
    <row r="2519">
      <c r="A2519" s="23"/>
      <c r="B2519" s="2"/>
      <c r="C2519" s="2"/>
      <c r="D2519" s="2"/>
      <c r="E2519" s="2"/>
      <c r="F2519" s="2"/>
      <c r="G2519" s="2"/>
      <c r="H2519" s="2"/>
      <c r="I2519" s="2"/>
      <c r="J2519" s="2"/>
      <c r="K2519" s="2"/>
      <c r="L2519" s="24"/>
      <c r="M2519" s="24"/>
      <c r="N2519" s="24"/>
      <c r="O2519" s="24"/>
      <c r="P2519" s="24"/>
      <c r="Q2519" s="2"/>
      <c r="R2519" s="2"/>
      <c r="S2519" s="2"/>
      <c r="T2519" s="2"/>
      <c r="U2519" s="24"/>
      <c r="V2519" s="2"/>
      <c r="W2519" s="2"/>
      <c r="X2519" s="2"/>
      <c r="Y2519" s="2"/>
      <c r="Z2519" s="2"/>
    </row>
    <row r="2520">
      <c r="A2520" s="23"/>
      <c r="B2520" s="2"/>
      <c r="C2520" s="2"/>
      <c r="D2520" s="2"/>
      <c r="E2520" s="2"/>
      <c r="F2520" s="2"/>
      <c r="G2520" s="2"/>
      <c r="H2520" s="2"/>
      <c r="I2520" s="2"/>
      <c r="J2520" s="2"/>
      <c r="K2520" s="2"/>
      <c r="L2520" s="24"/>
      <c r="M2520" s="24"/>
      <c r="N2520" s="24"/>
      <c r="O2520" s="24"/>
      <c r="P2520" s="24"/>
      <c r="Q2520" s="2"/>
      <c r="R2520" s="2"/>
      <c r="S2520" s="2"/>
      <c r="T2520" s="2"/>
      <c r="U2520" s="24"/>
      <c r="V2520" s="2"/>
      <c r="W2520" s="2"/>
      <c r="X2520" s="2"/>
      <c r="Y2520" s="2"/>
      <c r="Z2520" s="2"/>
    </row>
    <row r="2521">
      <c r="A2521" s="23"/>
      <c r="B2521" s="2"/>
      <c r="C2521" s="2"/>
      <c r="D2521" s="2"/>
      <c r="E2521" s="2"/>
      <c r="F2521" s="2"/>
      <c r="G2521" s="2"/>
      <c r="H2521" s="2"/>
      <c r="I2521" s="2"/>
      <c r="J2521" s="2"/>
      <c r="K2521" s="2"/>
      <c r="L2521" s="24"/>
      <c r="M2521" s="24"/>
      <c r="N2521" s="24"/>
      <c r="O2521" s="24"/>
      <c r="P2521" s="24"/>
      <c r="Q2521" s="2"/>
      <c r="R2521" s="2"/>
      <c r="S2521" s="2"/>
      <c r="T2521" s="2"/>
      <c r="U2521" s="24"/>
      <c r="V2521" s="2"/>
      <c r="W2521" s="2"/>
      <c r="X2521" s="2"/>
      <c r="Y2521" s="2"/>
      <c r="Z2521" s="2"/>
    </row>
    <row r="2522">
      <c r="A2522" s="23"/>
      <c r="B2522" s="2"/>
      <c r="C2522" s="2"/>
      <c r="D2522" s="2"/>
      <c r="E2522" s="2"/>
      <c r="F2522" s="2"/>
      <c r="G2522" s="2"/>
      <c r="H2522" s="2"/>
      <c r="I2522" s="2"/>
      <c r="J2522" s="2"/>
      <c r="K2522" s="2"/>
      <c r="L2522" s="24"/>
      <c r="M2522" s="24"/>
      <c r="N2522" s="24"/>
      <c r="O2522" s="24"/>
      <c r="P2522" s="24"/>
      <c r="Q2522" s="2"/>
      <c r="R2522" s="2"/>
      <c r="S2522" s="2"/>
      <c r="T2522" s="2"/>
      <c r="U2522" s="24"/>
      <c r="V2522" s="2"/>
      <c r="W2522" s="2"/>
      <c r="X2522" s="2"/>
      <c r="Y2522" s="2"/>
      <c r="Z2522" s="2"/>
    </row>
    <row r="2523">
      <c r="A2523" s="23"/>
      <c r="B2523" s="2"/>
      <c r="C2523" s="2"/>
      <c r="D2523" s="2"/>
      <c r="E2523" s="2"/>
      <c r="F2523" s="2"/>
      <c r="G2523" s="2"/>
      <c r="H2523" s="2"/>
      <c r="I2523" s="2"/>
      <c r="J2523" s="2"/>
      <c r="K2523" s="2"/>
      <c r="L2523" s="24"/>
      <c r="M2523" s="24"/>
      <c r="N2523" s="24"/>
      <c r="O2523" s="24"/>
      <c r="P2523" s="24"/>
      <c r="Q2523" s="2"/>
      <c r="R2523" s="2"/>
      <c r="S2523" s="2"/>
      <c r="T2523" s="2"/>
      <c r="U2523" s="24"/>
      <c r="V2523" s="2"/>
      <c r="W2523" s="2"/>
      <c r="X2523" s="2"/>
      <c r="Y2523" s="2"/>
      <c r="Z2523" s="2"/>
    </row>
    <row r="2524">
      <c r="A2524" s="23"/>
      <c r="B2524" s="2"/>
      <c r="C2524" s="2"/>
      <c r="D2524" s="2"/>
      <c r="E2524" s="2"/>
      <c r="F2524" s="2"/>
      <c r="G2524" s="2"/>
      <c r="H2524" s="2"/>
      <c r="I2524" s="2"/>
      <c r="J2524" s="2"/>
      <c r="K2524" s="2"/>
      <c r="L2524" s="24"/>
      <c r="M2524" s="24"/>
      <c r="N2524" s="24"/>
      <c r="O2524" s="24"/>
      <c r="P2524" s="24"/>
      <c r="Q2524" s="2"/>
      <c r="R2524" s="2"/>
      <c r="S2524" s="2"/>
      <c r="T2524" s="2"/>
      <c r="U2524" s="24"/>
      <c r="V2524" s="2"/>
      <c r="W2524" s="2"/>
      <c r="X2524" s="2"/>
      <c r="Y2524" s="2"/>
      <c r="Z2524" s="2"/>
    </row>
    <row r="2525">
      <c r="A2525" s="23"/>
      <c r="B2525" s="2"/>
      <c r="C2525" s="2"/>
      <c r="D2525" s="2"/>
      <c r="E2525" s="2"/>
      <c r="F2525" s="2"/>
      <c r="G2525" s="2"/>
      <c r="H2525" s="2"/>
      <c r="I2525" s="2"/>
      <c r="J2525" s="2"/>
      <c r="K2525" s="2"/>
      <c r="L2525" s="24"/>
      <c r="M2525" s="24"/>
      <c r="N2525" s="24"/>
      <c r="O2525" s="24"/>
      <c r="P2525" s="24"/>
      <c r="Q2525" s="2"/>
      <c r="R2525" s="2"/>
      <c r="S2525" s="2"/>
      <c r="T2525" s="2"/>
      <c r="U2525" s="24"/>
      <c r="V2525" s="2"/>
      <c r="W2525" s="2"/>
      <c r="X2525" s="2"/>
      <c r="Y2525" s="2"/>
      <c r="Z2525" s="2"/>
    </row>
    <row r="2526">
      <c r="A2526" s="23"/>
      <c r="B2526" s="2"/>
      <c r="C2526" s="2"/>
      <c r="D2526" s="2"/>
      <c r="E2526" s="2"/>
      <c r="F2526" s="2"/>
      <c r="G2526" s="2"/>
      <c r="H2526" s="2"/>
      <c r="I2526" s="2"/>
      <c r="J2526" s="2"/>
      <c r="K2526" s="2"/>
      <c r="L2526" s="24"/>
      <c r="M2526" s="24"/>
      <c r="N2526" s="24"/>
      <c r="O2526" s="24"/>
      <c r="P2526" s="24"/>
      <c r="Q2526" s="2"/>
      <c r="R2526" s="2"/>
      <c r="S2526" s="2"/>
      <c r="T2526" s="2"/>
      <c r="U2526" s="24"/>
      <c r="V2526" s="2"/>
      <c r="W2526" s="2"/>
      <c r="X2526" s="2"/>
      <c r="Y2526" s="2"/>
      <c r="Z2526" s="2"/>
    </row>
    <row r="2527">
      <c r="A2527" s="23"/>
      <c r="B2527" s="2"/>
      <c r="C2527" s="2"/>
      <c r="D2527" s="2"/>
      <c r="E2527" s="2"/>
      <c r="F2527" s="2"/>
      <c r="G2527" s="2"/>
      <c r="H2527" s="2"/>
      <c r="I2527" s="2"/>
      <c r="J2527" s="2"/>
      <c r="K2527" s="2"/>
      <c r="L2527" s="24"/>
      <c r="M2527" s="24"/>
      <c r="N2527" s="24"/>
      <c r="O2527" s="24"/>
      <c r="P2527" s="24"/>
      <c r="Q2527" s="2"/>
      <c r="R2527" s="2"/>
      <c r="S2527" s="2"/>
      <c r="T2527" s="2"/>
      <c r="U2527" s="24"/>
      <c r="V2527" s="2"/>
      <c r="W2527" s="2"/>
      <c r="X2527" s="2"/>
      <c r="Y2527" s="2"/>
      <c r="Z2527" s="2"/>
    </row>
    <row r="2528">
      <c r="A2528" s="23"/>
      <c r="B2528" s="2"/>
      <c r="C2528" s="2"/>
      <c r="D2528" s="2"/>
      <c r="E2528" s="2"/>
      <c r="F2528" s="2"/>
      <c r="G2528" s="2"/>
      <c r="H2528" s="2"/>
      <c r="I2528" s="2"/>
      <c r="J2528" s="2"/>
      <c r="K2528" s="2"/>
      <c r="L2528" s="24"/>
      <c r="M2528" s="24"/>
      <c r="N2528" s="24"/>
      <c r="O2528" s="24"/>
      <c r="P2528" s="24"/>
      <c r="Q2528" s="2"/>
      <c r="R2528" s="2"/>
      <c r="S2528" s="2"/>
      <c r="T2528" s="2"/>
      <c r="U2528" s="24"/>
      <c r="V2528" s="2"/>
      <c r="W2528" s="2"/>
      <c r="X2528" s="2"/>
      <c r="Y2528" s="2"/>
      <c r="Z2528" s="2"/>
    </row>
    <row r="2529">
      <c r="A2529" s="23"/>
      <c r="B2529" s="2"/>
      <c r="C2529" s="2"/>
      <c r="D2529" s="2"/>
      <c r="E2529" s="2"/>
      <c r="F2529" s="2"/>
      <c r="G2529" s="2"/>
      <c r="H2529" s="2"/>
      <c r="I2529" s="2"/>
      <c r="J2529" s="2"/>
      <c r="K2529" s="2"/>
      <c r="L2529" s="24"/>
      <c r="M2529" s="24"/>
      <c r="N2529" s="24"/>
      <c r="O2529" s="24"/>
      <c r="P2529" s="24"/>
      <c r="Q2529" s="2"/>
      <c r="R2529" s="2"/>
      <c r="S2529" s="2"/>
      <c r="T2529" s="2"/>
      <c r="U2529" s="24"/>
      <c r="V2529" s="2"/>
      <c r="W2529" s="2"/>
      <c r="X2529" s="2"/>
      <c r="Y2529" s="2"/>
      <c r="Z2529" s="2"/>
    </row>
    <row r="2530">
      <c r="A2530" s="23"/>
      <c r="B2530" s="2"/>
      <c r="C2530" s="2"/>
      <c r="D2530" s="2"/>
      <c r="E2530" s="2"/>
      <c r="F2530" s="2"/>
      <c r="G2530" s="2"/>
      <c r="H2530" s="2"/>
      <c r="I2530" s="2"/>
      <c r="J2530" s="2"/>
      <c r="K2530" s="2"/>
      <c r="L2530" s="24"/>
      <c r="M2530" s="24"/>
      <c r="N2530" s="24"/>
      <c r="O2530" s="24"/>
      <c r="P2530" s="24"/>
      <c r="Q2530" s="2"/>
      <c r="R2530" s="2"/>
      <c r="S2530" s="2"/>
      <c r="T2530" s="2"/>
      <c r="U2530" s="24"/>
      <c r="V2530" s="2"/>
      <c r="W2530" s="2"/>
      <c r="X2530" s="2"/>
      <c r="Y2530" s="2"/>
      <c r="Z2530" s="2"/>
    </row>
    <row r="2531">
      <c r="A2531" s="23"/>
      <c r="B2531" s="2"/>
      <c r="C2531" s="2"/>
      <c r="D2531" s="2"/>
      <c r="E2531" s="2"/>
      <c r="F2531" s="2"/>
      <c r="G2531" s="2"/>
      <c r="H2531" s="2"/>
      <c r="I2531" s="2"/>
      <c r="J2531" s="2"/>
      <c r="K2531" s="2"/>
      <c r="L2531" s="24"/>
      <c r="M2531" s="24"/>
      <c r="N2531" s="24"/>
      <c r="O2531" s="24"/>
      <c r="P2531" s="24"/>
      <c r="Q2531" s="2"/>
      <c r="R2531" s="2"/>
      <c r="S2531" s="2"/>
      <c r="T2531" s="2"/>
      <c r="U2531" s="24"/>
      <c r="V2531" s="2"/>
      <c r="W2531" s="2"/>
      <c r="X2531" s="2"/>
      <c r="Y2531" s="2"/>
      <c r="Z2531" s="2"/>
    </row>
    <row r="2532">
      <c r="A2532" s="23"/>
      <c r="B2532" s="2"/>
      <c r="C2532" s="2"/>
      <c r="D2532" s="2"/>
      <c r="E2532" s="2"/>
      <c r="F2532" s="2"/>
      <c r="G2532" s="2"/>
      <c r="H2532" s="2"/>
      <c r="I2532" s="2"/>
      <c r="J2532" s="2"/>
      <c r="K2532" s="2"/>
      <c r="L2532" s="24"/>
      <c r="M2532" s="24"/>
      <c r="N2532" s="24"/>
      <c r="O2532" s="24"/>
      <c r="P2532" s="24"/>
      <c r="Q2532" s="2"/>
      <c r="R2532" s="2"/>
      <c r="S2532" s="2"/>
      <c r="T2532" s="2"/>
      <c r="U2532" s="24"/>
      <c r="V2532" s="2"/>
      <c r="W2532" s="2"/>
      <c r="X2532" s="2"/>
      <c r="Y2532" s="2"/>
      <c r="Z2532" s="2"/>
    </row>
    <row r="2533">
      <c r="A2533" s="23"/>
      <c r="B2533" s="2"/>
      <c r="C2533" s="2"/>
      <c r="D2533" s="2"/>
      <c r="E2533" s="2"/>
      <c r="F2533" s="2"/>
      <c r="G2533" s="2"/>
      <c r="H2533" s="2"/>
      <c r="I2533" s="2"/>
      <c r="J2533" s="2"/>
      <c r="K2533" s="2"/>
      <c r="L2533" s="24"/>
      <c r="M2533" s="24"/>
      <c r="N2533" s="24"/>
      <c r="O2533" s="24"/>
      <c r="P2533" s="24"/>
      <c r="Q2533" s="2"/>
      <c r="R2533" s="2"/>
      <c r="S2533" s="2"/>
      <c r="T2533" s="2"/>
      <c r="U2533" s="24"/>
      <c r="V2533" s="2"/>
      <c r="W2533" s="2"/>
      <c r="X2533" s="2"/>
      <c r="Y2533" s="2"/>
      <c r="Z2533" s="2"/>
    </row>
    <row r="2534">
      <c r="A2534" s="23"/>
      <c r="B2534" s="2"/>
      <c r="C2534" s="2"/>
      <c r="D2534" s="2"/>
      <c r="E2534" s="2"/>
      <c r="F2534" s="2"/>
      <c r="G2534" s="2"/>
      <c r="H2534" s="2"/>
      <c r="I2534" s="2"/>
      <c r="J2534" s="2"/>
      <c r="K2534" s="2"/>
      <c r="L2534" s="24"/>
      <c r="M2534" s="24"/>
      <c r="N2534" s="24"/>
      <c r="O2534" s="24"/>
      <c r="P2534" s="24"/>
      <c r="Q2534" s="2"/>
      <c r="R2534" s="2"/>
      <c r="S2534" s="2"/>
      <c r="T2534" s="2"/>
      <c r="U2534" s="24"/>
      <c r="V2534" s="2"/>
      <c r="W2534" s="2"/>
      <c r="X2534" s="2"/>
      <c r="Y2534" s="2"/>
      <c r="Z2534" s="2"/>
    </row>
    <row r="2535">
      <c r="A2535" s="23"/>
      <c r="B2535" s="2"/>
      <c r="C2535" s="2"/>
      <c r="D2535" s="2"/>
      <c r="E2535" s="2"/>
      <c r="F2535" s="2"/>
      <c r="G2535" s="2"/>
      <c r="H2535" s="2"/>
      <c r="I2535" s="2"/>
      <c r="J2535" s="2"/>
      <c r="K2535" s="2"/>
      <c r="L2535" s="24"/>
      <c r="M2535" s="24"/>
      <c r="N2535" s="24"/>
      <c r="O2535" s="24"/>
      <c r="P2535" s="24"/>
      <c r="Q2535" s="2"/>
      <c r="R2535" s="2"/>
      <c r="S2535" s="2"/>
      <c r="T2535" s="2"/>
      <c r="U2535" s="24"/>
      <c r="V2535" s="2"/>
      <c r="W2535" s="2"/>
      <c r="X2535" s="2"/>
      <c r="Y2535" s="2"/>
      <c r="Z2535" s="2"/>
    </row>
    <row r="2536">
      <c r="A2536" s="23"/>
      <c r="B2536" s="2"/>
      <c r="C2536" s="2"/>
      <c r="D2536" s="2"/>
      <c r="E2536" s="2"/>
      <c r="F2536" s="2"/>
      <c r="G2536" s="2"/>
      <c r="H2536" s="2"/>
      <c r="I2536" s="2"/>
      <c r="J2536" s="2"/>
      <c r="K2536" s="2"/>
      <c r="L2536" s="24"/>
      <c r="M2536" s="24"/>
      <c r="N2536" s="24"/>
      <c r="O2536" s="24"/>
      <c r="P2536" s="24"/>
      <c r="Q2536" s="2"/>
      <c r="R2536" s="2"/>
      <c r="S2536" s="2"/>
      <c r="T2536" s="2"/>
      <c r="U2536" s="24"/>
      <c r="V2536" s="2"/>
      <c r="W2536" s="2"/>
      <c r="X2536" s="2"/>
      <c r="Y2536" s="2"/>
      <c r="Z2536" s="2"/>
    </row>
    <row r="2537">
      <c r="A2537" s="23"/>
      <c r="B2537" s="2"/>
      <c r="C2537" s="2"/>
      <c r="D2537" s="2"/>
      <c r="E2537" s="2"/>
      <c r="F2537" s="2"/>
      <c r="G2537" s="2"/>
      <c r="H2537" s="2"/>
      <c r="I2537" s="2"/>
      <c r="J2537" s="2"/>
      <c r="K2537" s="2"/>
      <c r="L2537" s="24"/>
      <c r="M2537" s="24"/>
      <c r="N2537" s="24"/>
      <c r="O2537" s="24"/>
      <c r="P2537" s="24"/>
      <c r="Q2537" s="2"/>
      <c r="R2537" s="2"/>
      <c r="S2537" s="2"/>
      <c r="T2537" s="2"/>
      <c r="U2537" s="24"/>
      <c r="V2537" s="2"/>
      <c r="W2537" s="2"/>
      <c r="X2537" s="2"/>
      <c r="Y2537" s="2"/>
      <c r="Z2537" s="2"/>
    </row>
    <row r="2538">
      <c r="A2538" s="23"/>
      <c r="B2538" s="2"/>
      <c r="C2538" s="2"/>
      <c r="D2538" s="2"/>
      <c r="E2538" s="2"/>
      <c r="F2538" s="2"/>
      <c r="G2538" s="2"/>
      <c r="H2538" s="2"/>
      <c r="I2538" s="2"/>
      <c r="J2538" s="2"/>
      <c r="K2538" s="2"/>
      <c r="L2538" s="24"/>
      <c r="M2538" s="24"/>
      <c r="N2538" s="24"/>
      <c r="O2538" s="24"/>
      <c r="P2538" s="24"/>
      <c r="Q2538" s="2"/>
      <c r="R2538" s="2"/>
      <c r="S2538" s="2"/>
      <c r="T2538" s="2"/>
      <c r="U2538" s="24"/>
      <c r="V2538" s="2"/>
      <c r="W2538" s="2"/>
      <c r="X2538" s="2"/>
      <c r="Y2538" s="2"/>
      <c r="Z2538" s="2"/>
    </row>
    <row r="2539">
      <c r="A2539" s="23"/>
      <c r="B2539" s="2"/>
      <c r="C2539" s="2"/>
      <c r="D2539" s="2"/>
      <c r="E2539" s="2"/>
      <c r="F2539" s="2"/>
      <c r="G2539" s="2"/>
      <c r="H2539" s="2"/>
      <c r="I2539" s="2"/>
      <c r="J2539" s="2"/>
      <c r="K2539" s="2"/>
      <c r="L2539" s="24"/>
      <c r="M2539" s="24"/>
      <c r="N2539" s="24"/>
      <c r="O2539" s="24"/>
      <c r="P2539" s="24"/>
      <c r="Q2539" s="2"/>
      <c r="R2539" s="2"/>
      <c r="S2539" s="2"/>
      <c r="T2539" s="2"/>
      <c r="U2539" s="24"/>
      <c r="V2539" s="2"/>
      <c r="W2539" s="2"/>
      <c r="X2539" s="2"/>
      <c r="Y2539" s="2"/>
      <c r="Z2539" s="2"/>
    </row>
    <row r="2540">
      <c r="A2540" s="23"/>
      <c r="B2540" s="2"/>
      <c r="C2540" s="2"/>
      <c r="D2540" s="2"/>
      <c r="E2540" s="2"/>
      <c r="F2540" s="2"/>
      <c r="G2540" s="2"/>
      <c r="H2540" s="2"/>
      <c r="I2540" s="2"/>
      <c r="J2540" s="2"/>
      <c r="K2540" s="2"/>
      <c r="L2540" s="24"/>
      <c r="M2540" s="24"/>
      <c r="N2540" s="24"/>
      <c r="O2540" s="24"/>
      <c r="P2540" s="24"/>
      <c r="Q2540" s="2"/>
      <c r="R2540" s="2"/>
      <c r="S2540" s="2"/>
      <c r="T2540" s="2"/>
      <c r="U2540" s="24"/>
      <c r="V2540" s="2"/>
      <c r="W2540" s="2"/>
      <c r="X2540" s="2"/>
      <c r="Y2540" s="2"/>
      <c r="Z2540" s="2"/>
    </row>
    <row r="2541">
      <c r="A2541" s="23"/>
      <c r="B2541" s="2"/>
      <c r="C2541" s="2"/>
      <c r="D2541" s="2"/>
      <c r="E2541" s="2"/>
      <c r="F2541" s="2"/>
      <c r="G2541" s="2"/>
      <c r="H2541" s="2"/>
      <c r="I2541" s="2"/>
      <c r="J2541" s="2"/>
      <c r="K2541" s="2"/>
      <c r="L2541" s="24"/>
      <c r="M2541" s="24"/>
      <c r="N2541" s="24"/>
      <c r="O2541" s="24"/>
      <c r="P2541" s="24"/>
      <c r="Q2541" s="2"/>
      <c r="R2541" s="2"/>
      <c r="S2541" s="2"/>
      <c r="T2541" s="2"/>
      <c r="U2541" s="24"/>
      <c r="V2541" s="2"/>
      <c r="W2541" s="2"/>
      <c r="X2541" s="2"/>
      <c r="Y2541" s="2"/>
      <c r="Z2541" s="2"/>
    </row>
    <row r="2542">
      <c r="A2542" s="23"/>
      <c r="B2542" s="2"/>
      <c r="C2542" s="2"/>
      <c r="D2542" s="2"/>
      <c r="E2542" s="2"/>
      <c r="F2542" s="2"/>
      <c r="G2542" s="2"/>
      <c r="H2542" s="2"/>
      <c r="I2542" s="2"/>
      <c r="J2542" s="2"/>
      <c r="K2542" s="2"/>
      <c r="L2542" s="24"/>
      <c r="M2542" s="24"/>
      <c r="N2542" s="24"/>
      <c r="O2542" s="24"/>
      <c r="P2542" s="24"/>
      <c r="Q2542" s="2"/>
      <c r="R2542" s="2"/>
      <c r="S2542" s="2"/>
      <c r="T2542" s="2"/>
      <c r="U2542" s="24"/>
      <c r="V2542" s="2"/>
      <c r="W2542" s="2"/>
      <c r="X2542" s="2"/>
      <c r="Y2542" s="2"/>
      <c r="Z2542" s="2"/>
    </row>
    <row r="2543">
      <c r="A2543" s="23"/>
      <c r="B2543" s="2"/>
      <c r="C2543" s="2"/>
      <c r="D2543" s="2"/>
      <c r="E2543" s="2"/>
      <c r="F2543" s="2"/>
      <c r="G2543" s="2"/>
      <c r="H2543" s="2"/>
      <c r="I2543" s="2"/>
      <c r="J2543" s="2"/>
      <c r="K2543" s="2"/>
      <c r="L2543" s="24"/>
      <c r="M2543" s="24"/>
      <c r="N2543" s="24"/>
      <c r="O2543" s="24"/>
      <c r="P2543" s="24"/>
      <c r="Q2543" s="2"/>
      <c r="R2543" s="2"/>
      <c r="S2543" s="2"/>
      <c r="T2543" s="2"/>
      <c r="U2543" s="24"/>
      <c r="V2543" s="2"/>
      <c r="W2543" s="2"/>
      <c r="X2543" s="2"/>
      <c r="Y2543" s="2"/>
      <c r="Z2543" s="2"/>
    </row>
    <row r="2544">
      <c r="A2544" s="23"/>
      <c r="B2544" s="2"/>
      <c r="C2544" s="2"/>
      <c r="D2544" s="2"/>
      <c r="E2544" s="2"/>
      <c r="F2544" s="2"/>
      <c r="G2544" s="2"/>
      <c r="H2544" s="2"/>
      <c r="I2544" s="2"/>
      <c r="J2544" s="2"/>
      <c r="K2544" s="2"/>
      <c r="L2544" s="24"/>
      <c r="M2544" s="24"/>
      <c r="N2544" s="24"/>
      <c r="O2544" s="24"/>
      <c r="P2544" s="24"/>
      <c r="Q2544" s="2"/>
      <c r="R2544" s="2"/>
      <c r="S2544" s="2"/>
      <c r="T2544" s="2"/>
      <c r="U2544" s="24"/>
      <c r="V2544" s="2"/>
      <c r="W2544" s="2"/>
      <c r="X2544" s="2"/>
      <c r="Y2544" s="2"/>
      <c r="Z2544" s="2"/>
    </row>
    <row r="2545">
      <c r="A2545" s="23"/>
      <c r="B2545" s="2"/>
      <c r="C2545" s="2"/>
      <c r="D2545" s="2"/>
      <c r="E2545" s="2"/>
      <c r="F2545" s="2"/>
      <c r="G2545" s="2"/>
      <c r="H2545" s="2"/>
      <c r="I2545" s="2"/>
      <c r="J2545" s="2"/>
      <c r="K2545" s="2"/>
      <c r="L2545" s="24"/>
      <c r="M2545" s="24"/>
      <c r="N2545" s="24"/>
      <c r="O2545" s="24"/>
      <c r="P2545" s="24"/>
      <c r="Q2545" s="2"/>
      <c r="R2545" s="2"/>
      <c r="S2545" s="2"/>
      <c r="T2545" s="2"/>
      <c r="U2545" s="24"/>
      <c r="V2545" s="2"/>
      <c r="W2545" s="2"/>
      <c r="X2545" s="2"/>
      <c r="Y2545" s="2"/>
      <c r="Z2545" s="2"/>
    </row>
    <row r="2546">
      <c r="A2546" s="23"/>
      <c r="B2546" s="2"/>
      <c r="C2546" s="2"/>
      <c r="D2546" s="2"/>
      <c r="E2546" s="2"/>
      <c r="F2546" s="2"/>
      <c r="G2546" s="2"/>
      <c r="H2546" s="2"/>
      <c r="I2546" s="2"/>
      <c r="J2546" s="2"/>
      <c r="K2546" s="2"/>
      <c r="L2546" s="24"/>
      <c r="M2546" s="24"/>
      <c r="N2546" s="24"/>
      <c r="O2546" s="24"/>
      <c r="P2546" s="24"/>
      <c r="Q2546" s="2"/>
      <c r="R2546" s="2"/>
      <c r="S2546" s="2"/>
      <c r="T2546" s="2"/>
      <c r="U2546" s="24"/>
      <c r="V2546" s="2"/>
      <c r="W2546" s="2"/>
      <c r="X2546" s="2"/>
      <c r="Y2546" s="2"/>
      <c r="Z2546" s="2"/>
    </row>
    <row r="2547">
      <c r="A2547" s="23"/>
      <c r="B2547" s="2"/>
      <c r="C2547" s="2"/>
      <c r="D2547" s="2"/>
      <c r="E2547" s="2"/>
      <c r="F2547" s="2"/>
      <c r="G2547" s="2"/>
      <c r="H2547" s="2"/>
      <c r="I2547" s="2"/>
      <c r="J2547" s="2"/>
      <c r="K2547" s="2"/>
      <c r="L2547" s="24"/>
      <c r="M2547" s="24"/>
      <c r="N2547" s="24"/>
      <c r="O2547" s="24"/>
      <c r="P2547" s="24"/>
      <c r="Q2547" s="2"/>
      <c r="R2547" s="2"/>
      <c r="S2547" s="2"/>
      <c r="T2547" s="2"/>
      <c r="U2547" s="24"/>
      <c r="V2547" s="2"/>
      <c r="W2547" s="2"/>
      <c r="X2547" s="2"/>
      <c r="Y2547" s="2"/>
      <c r="Z2547" s="2"/>
    </row>
    <row r="2548">
      <c r="A2548" s="23"/>
      <c r="B2548" s="2"/>
      <c r="C2548" s="2"/>
      <c r="D2548" s="2"/>
      <c r="E2548" s="2"/>
      <c r="F2548" s="2"/>
      <c r="G2548" s="2"/>
      <c r="H2548" s="2"/>
      <c r="I2548" s="2"/>
      <c r="J2548" s="2"/>
      <c r="K2548" s="2"/>
      <c r="L2548" s="24"/>
      <c r="M2548" s="24"/>
      <c r="N2548" s="24"/>
      <c r="O2548" s="24"/>
      <c r="P2548" s="24"/>
      <c r="Q2548" s="2"/>
      <c r="R2548" s="2"/>
      <c r="S2548" s="2"/>
      <c r="T2548" s="2"/>
      <c r="U2548" s="24"/>
      <c r="V2548" s="2"/>
      <c r="W2548" s="2"/>
      <c r="X2548" s="2"/>
      <c r="Y2548" s="2"/>
      <c r="Z2548" s="2"/>
    </row>
    <row r="2549">
      <c r="A2549" s="23"/>
      <c r="B2549" s="2"/>
      <c r="C2549" s="2"/>
      <c r="D2549" s="2"/>
      <c r="E2549" s="2"/>
      <c r="F2549" s="2"/>
      <c r="G2549" s="2"/>
      <c r="H2549" s="2"/>
      <c r="I2549" s="2"/>
      <c r="J2549" s="2"/>
      <c r="K2549" s="2"/>
      <c r="L2549" s="24"/>
      <c r="M2549" s="24"/>
      <c r="N2549" s="24"/>
      <c r="O2549" s="24"/>
      <c r="P2549" s="24"/>
      <c r="Q2549" s="2"/>
      <c r="R2549" s="2"/>
      <c r="S2549" s="2"/>
      <c r="T2549" s="2"/>
      <c r="U2549" s="24"/>
      <c r="V2549" s="2"/>
      <c r="W2549" s="2"/>
      <c r="X2549" s="2"/>
      <c r="Y2549" s="2"/>
      <c r="Z2549" s="2"/>
    </row>
    <row r="2550">
      <c r="A2550" s="23"/>
      <c r="B2550" s="2"/>
      <c r="C2550" s="2"/>
      <c r="D2550" s="2"/>
      <c r="E2550" s="2"/>
      <c r="F2550" s="2"/>
      <c r="G2550" s="2"/>
      <c r="H2550" s="2"/>
      <c r="I2550" s="2"/>
      <c r="J2550" s="2"/>
      <c r="K2550" s="2"/>
      <c r="L2550" s="24"/>
      <c r="M2550" s="24"/>
      <c r="N2550" s="24"/>
      <c r="O2550" s="24"/>
      <c r="P2550" s="24"/>
      <c r="Q2550" s="2"/>
      <c r="R2550" s="2"/>
      <c r="S2550" s="2"/>
      <c r="T2550" s="2"/>
      <c r="U2550" s="24"/>
      <c r="V2550" s="2"/>
      <c r="W2550" s="2"/>
      <c r="X2550" s="2"/>
      <c r="Y2550" s="2"/>
      <c r="Z2550" s="2"/>
    </row>
    <row r="2551">
      <c r="A2551" s="23"/>
      <c r="B2551" s="2"/>
      <c r="C2551" s="2"/>
      <c r="D2551" s="2"/>
      <c r="E2551" s="2"/>
      <c r="F2551" s="2"/>
      <c r="G2551" s="2"/>
      <c r="H2551" s="2"/>
      <c r="I2551" s="2"/>
      <c r="J2551" s="2"/>
      <c r="K2551" s="2"/>
      <c r="L2551" s="24"/>
      <c r="M2551" s="24"/>
      <c r="N2551" s="24"/>
      <c r="O2551" s="24"/>
      <c r="P2551" s="24"/>
      <c r="Q2551" s="2"/>
      <c r="R2551" s="2"/>
      <c r="S2551" s="2"/>
      <c r="T2551" s="2"/>
      <c r="U2551" s="24"/>
      <c r="V2551" s="2"/>
      <c r="W2551" s="2"/>
      <c r="X2551" s="2"/>
      <c r="Y2551" s="2"/>
      <c r="Z2551" s="2"/>
    </row>
    <row r="2552">
      <c r="A2552" s="23"/>
      <c r="B2552" s="2"/>
      <c r="C2552" s="2"/>
      <c r="D2552" s="2"/>
      <c r="E2552" s="2"/>
      <c r="F2552" s="2"/>
      <c r="G2552" s="2"/>
      <c r="H2552" s="2"/>
      <c r="I2552" s="2"/>
      <c r="J2552" s="2"/>
      <c r="K2552" s="2"/>
      <c r="L2552" s="24"/>
      <c r="M2552" s="24"/>
      <c r="N2552" s="24"/>
      <c r="O2552" s="24"/>
      <c r="P2552" s="24"/>
      <c r="Q2552" s="2"/>
      <c r="R2552" s="2"/>
      <c r="S2552" s="2"/>
      <c r="T2552" s="2"/>
      <c r="U2552" s="24"/>
      <c r="V2552" s="2"/>
      <c r="W2552" s="2"/>
      <c r="X2552" s="2"/>
      <c r="Y2552" s="2"/>
      <c r="Z2552" s="2"/>
    </row>
    <row r="2553">
      <c r="A2553" s="23"/>
      <c r="B2553" s="2"/>
      <c r="C2553" s="2"/>
      <c r="D2553" s="2"/>
      <c r="E2553" s="2"/>
      <c r="F2553" s="2"/>
      <c r="G2553" s="2"/>
      <c r="H2553" s="2"/>
      <c r="I2553" s="2"/>
      <c r="J2553" s="2"/>
      <c r="K2553" s="2"/>
      <c r="L2553" s="24"/>
      <c r="M2553" s="24"/>
      <c r="N2553" s="24"/>
      <c r="O2553" s="24"/>
      <c r="P2553" s="24"/>
      <c r="Q2553" s="2"/>
      <c r="R2553" s="2"/>
      <c r="S2553" s="2"/>
      <c r="T2553" s="2"/>
      <c r="U2553" s="24"/>
      <c r="V2553" s="2"/>
      <c r="W2553" s="2"/>
      <c r="X2553" s="2"/>
      <c r="Y2553" s="2"/>
      <c r="Z2553" s="2"/>
    </row>
    <row r="2554">
      <c r="A2554" s="23"/>
      <c r="B2554" s="2"/>
      <c r="C2554" s="2"/>
      <c r="D2554" s="2"/>
      <c r="E2554" s="2"/>
      <c r="F2554" s="2"/>
      <c r="G2554" s="2"/>
      <c r="H2554" s="2"/>
      <c r="I2554" s="2"/>
      <c r="J2554" s="2"/>
      <c r="K2554" s="2"/>
      <c r="L2554" s="24"/>
      <c r="M2554" s="24"/>
      <c r="N2554" s="24"/>
      <c r="O2554" s="24"/>
      <c r="P2554" s="24"/>
      <c r="Q2554" s="2"/>
      <c r="R2554" s="2"/>
      <c r="S2554" s="2"/>
      <c r="T2554" s="2"/>
      <c r="U2554" s="24"/>
      <c r="V2554" s="2"/>
      <c r="W2554" s="2"/>
      <c r="X2554" s="2"/>
      <c r="Y2554" s="2"/>
      <c r="Z2554" s="2"/>
    </row>
    <row r="2555">
      <c r="A2555" s="23"/>
      <c r="B2555" s="2"/>
      <c r="C2555" s="2"/>
      <c r="D2555" s="2"/>
      <c r="E2555" s="2"/>
      <c r="F2555" s="2"/>
      <c r="G2555" s="2"/>
      <c r="H2555" s="2"/>
      <c r="I2555" s="2"/>
      <c r="J2555" s="2"/>
      <c r="K2555" s="2"/>
      <c r="L2555" s="24"/>
      <c r="M2555" s="24"/>
      <c r="N2555" s="24"/>
      <c r="O2555" s="24"/>
      <c r="P2555" s="24"/>
      <c r="Q2555" s="2"/>
      <c r="R2555" s="2"/>
      <c r="S2555" s="2"/>
      <c r="T2555" s="2"/>
      <c r="U2555" s="24"/>
      <c r="V2555" s="2"/>
      <c r="W2555" s="2"/>
      <c r="X2555" s="2"/>
      <c r="Y2555" s="2"/>
      <c r="Z2555" s="2"/>
    </row>
    <row r="2556">
      <c r="A2556" s="23"/>
      <c r="B2556" s="2"/>
      <c r="C2556" s="2"/>
      <c r="D2556" s="2"/>
      <c r="E2556" s="2"/>
      <c r="F2556" s="2"/>
      <c r="G2556" s="2"/>
      <c r="H2556" s="2"/>
      <c r="I2556" s="2"/>
      <c r="J2556" s="2"/>
      <c r="K2556" s="2"/>
      <c r="L2556" s="24"/>
      <c r="M2556" s="24"/>
      <c r="N2556" s="24"/>
      <c r="O2556" s="24"/>
      <c r="P2556" s="24"/>
      <c r="Q2556" s="2"/>
      <c r="R2556" s="2"/>
      <c r="S2556" s="2"/>
      <c r="T2556" s="2"/>
      <c r="U2556" s="24"/>
      <c r="V2556" s="2"/>
      <c r="W2556" s="2"/>
      <c r="X2556" s="2"/>
      <c r="Y2556" s="2"/>
      <c r="Z2556" s="2"/>
    </row>
    <row r="2557">
      <c r="A2557" s="23"/>
      <c r="B2557" s="2"/>
      <c r="C2557" s="2"/>
      <c r="D2557" s="2"/>
      <c r="E2557" s="2"/>
      <c r="F2557" s="2"/>
      <c r="G2557" s="2"/>
      <c r="H2557" s="2"/>
      <c r="I2557" s="2"/>
      <c r="J2557" s="2"/>
      <c r="K2557" s="2"/>
      <c r="L2557" s="24"/>
      <c r="M2557" s="24"/>
      <c r="N2557" s="24"/>
      <c r="O2557" s="24"/>
      <c r="P2557" s="24"/>
      <c r="Q2557" s="2"/>
      <c r="R2557" s="2"/>
      <c r="S2557" s="2"/>
      <c r="T2557" s="2"/>
      <c r="U2557" s="24"/>
      <c r="V2557" s="2"/>
      <c r="W2557" s="2"/>
      <c r="X2557" s="2"/>
      <c r="Y2557" s="2"/>
      <c r="Z2557" s="2"/>
    </row>
    <row r="2558">
      <c r="A2558" s="23"/>
      <c r="B2558" s="2"/>
      <c r="C2558" s="2"/>
      <c r="D2558" s="2"/>
      <c r="E2558" s="2"/>
      <c r="F2558" s="2"/>
      <c r="G2558" s="2"/>
      <c r="H2558" s="2"/>
      <c r="I2558" s="2"/>
      <c r="J2558" s="2"/>
      <c r="K2558" s="2"/>
      <c r="L2558" s="24"/>
      <c r="M2558" s="24"/>
      <c r="N2558" s="24"/>
      <c r="O2558" s="24"/>
      <c r="P2558" s="24"/>
      <c r="Q2558" s="2"/>
      <c r="R2558" s="2"/>
      <c r="S2558" s="2"/>
      <c r="T2558" s="2"/>
      <c r="U2558" s="24"/>
      <c r="V2558" s="2"/>
      <c r="W2558" s="2"/>
      <c r="X2558" s="2"/>
      <c r="Y2558" s="2"/>
      <c r="Z2558" s="2"/>
    </row>
    <row r="2559">
      <c r="A2559" s="23"/>
      <c r="B2559" s="2"/>
      <c r="C2559" s="2"/>
      <c r="D2559" s="2"/>
      <c r="E2559" s="2"/>
      <c r="F2559" s="2"/>
      <c r="G2559" s="2"/>
      <c r="H2559" s="2"/>
      <c r="I2559" s="2"/>
      <c r="J2559" s="2"/>
      <c r="K2559" s="2"/>
      <c r="L2559" s="24"/>
      <c r="M2559" s="24"/>
      <c r="N2559" s="24"/>
      <c r="O2559" s="24"/>
      <c r="P2559" s="24"/>
      <c r="Q2559" s="2"/>
      <c r="R2559" s="2"/>
      <c r="S2559" s="2"/>
      <c r="T2559" s="2"/>
      <c r="U2559" s="24"/>
      <c r="V2559" s="2"/>
      <c r="W2559" s="2"/>
      <c r="X2559" s="2"/>
      <c r="Y2559" s="2"/>
      <c r="Z2559" s="2"/>
    </row>
    <row r="2560">
      <c r="A2560" s="23"/>
      <c r="B2560" s="2"/>
      <c r="C2560" s="2"/>
      <c r="D2560" s="2"/>
      <c r="E2560" s="2"/>
      <c r="F2560" s="2"/>
      <c r="G2560" s="2"/>
      <c r="H2560" s="2"/>
      <c r="I2560" s="2"/>
      <c r="J2560" s="2"/>
      <c r="K2560" s="2"/>
      <c r="L2560" s="24"/>
      <c r="M2560" s="24"/>
      <c r="N2560" s="24"/>
      <c r="O2560" s="24"/>
      <c r="P2560" s="24"/>
      <c r="Q2560" s="2"/>
      <c r="R2560" s="2"/>
      <c r="S2560" s="2"/>
      <c r="T2560" s="2"/>
      <c r="U2560" s="24"/>
      <c r="V2560" s="2"/>
      <c r="W2560" s="2"/>
      <c r="X2560" s="2"/>
      <c r="Y2560" s="2"/>
      <c r="Z2560" s="2"/>
    </row>
    <row r="2561">
      <c r="A2561" s="23"/>
      <c r="B2561" s="2"/>
      <c r="C2561" s="2"/>
      <c r="D2561" s="2"/>
      <c r="E2561" s="2"/>
      <c r="F2561" s="2"/>
      <c r="G2561" s="2"/>
      <c r="H2561" s="2"/>
      <c r="I2561" s="2"/>
      <c r="J2561" s="2"/>
      <c r="K2561" s="2"/>
      <c r="L2561" s="24"/>
      <c r="M2561" s="24"/>
      <c r="N2561" s="24"/>
      <c r="O2561" s="24"/>
      <c r="P2561" s="24"/>
      <c r="Q2561" s="2"/>
      <c r="R2561" s="2"/>
      <c r="S2561" s="2"/>
      <c r="T2561" s="2"/>
      <c r="U2561" s="24"/>
      <c r="V2561" s="2"/>
      <c r="W2561" s="2"/>
      <c r="X2561" s="2"/>
      <c r="Y2561" s="2"/>
      <c r="Z2561" s="2"/>
    </row>
    <row r="2562">
      <c r="A2562" s="23"/>
      <c r="B2562" s="2"/>
      <c r="C2562" s="2"/>
      <c r="D2562" s="2"/>
      <c r="E2562" s="2"/>
      <c r="F2562" s="2"/>
      <c r="G2562" s="2"/>
      <c r="H2562" s="2"/>
      <c r="I2562" s="2"/>
      <c r="J2562" s="2"/>
      <c r="K2562" s="2"/>
      <c r="L2562" s="24"/>
      <c r="M2562" s="24"/>
      <c r="N2562" s="24"/>
      <c r="O2562" s="24"/>
      <c r="P2562" s="24"/>
      <c r="Q2562" s="2"/>
      <c r="R2562" s="2"/>
      <c r="S2562" s="2"/>
      <c r="T2562" s="2"/>
      <c r="U2562" s="24"/>
      <c r="V2562" s="2"/>
      <c r="W2562" s="2"/>
      <c r="X2562" s="2"/>
      <c r="Y2562" s="2"/>
      <c r="Z2562" s="2"/>
    </row>
    <row r="2563">
      <c r="A2563" s="23"/>
      <c r="B2563" s="2"/>
      <c r="C2563" s="2"/>
      <c r="D2563" s="2"/>
      <c r="E2563" s="2"/>
      <c r="F2563" s="2"/>
      <c r="G2563" s="2"/>
      <c r="H2563" s="2"/>
      <c r="I2563" s="2"/>
      <c r="J2563" s="2"/>
      <c r="K2563" s="2"/>
      <c r="L2563" s="24"/>
      <c r="M2563" s="24"/>
      <c r="N2563" s="24"/>
      <c r="O2563" s="24"/>
      <c r="P2563" s="24"/>
      <c r="Q2563" s="2"/>
      <c r="R2563" s="2"/>
      <c r="S2563" s="2"/>
      <c r="T2563" s="2"/>
      <c r="U2563" s="24"/>
      <c r="V2563" s="2"/>
      <c r="W2563" s="2"/>
      <c r="X2563" s="2"/>
      <c r="Y2563" s="2"/>
      <c r="Z2563" s="2"/>
    </row>
    <row r="2564">
      <c r="A2564" s="23"/>
      <c r="B2564" s="2"/>
      <c r="C2564" s="2"/>
      <c r="D2564" s="2"/>
      <c r="E2564" s="2"/>
      <c r="F2564" s="2"/>
      <c r="G2564" s="2"/>
      <c r="H2564" s="2"/>
      <c r="I2564" s="2"/>
      <c r="J2564" s="2"/>
      <c r="K2564" s="2"/>
      <c r="L2564" s="24"/>
      <c r="M2564" s="24"/>
      <c r="N2564" s="24"/>
      <c r="O2564" s="24"/>
      <c r="P2564" s="24"/>
      <c r="Q2564" s="2"/>
      <c r="R2564" s="2"/>
      <c r="S2564" s="2"/>
      <c r="T2564" s="2"/>
      <c r="U2564" s="24"/>
      <c r="V2564" s="2"/>
      <c r="W2564" s="2"/>
      <c r="X2564" s="2"/>
      <c r="Y2564" s="2"/>
      <c r="Z2564" s="2"/>
    </row>
    <row r="2565">
      <c r="A2565" s="23"/>
      <c r="B2565" s="2"/>
      <c r="C2565" s="2"/>
      <c r="D2565" s="2"/>
      <c r="E2565" s="2"/>
      <c r="F2565" s="2"/>
      <c r="G2565" s="2"/>
      <c r="H2565" s="2"/>
      <c r="I2565" s="2"/>
      <c r="J2565" s="2"/>
      <c r="K2565" s="2"/>
      <c r="L2565" s="24"/>
      <c r="M2565" s="24"/>
      <c r="N2565" s="24"/>
      <c r="O2565" s="24"/>
      <c r="P2565" s="24"/>
      <c r="Q2565" s="2"/>
      <c r="R2565" s="2"/>
      <c r="S2565" s="2"/>
      <c r="T2565" s="2"/>
      <c r="U2565" s="24"/>
      <c r="V2565" s="2"/>
      <c r="W2565" s="2"/>
      <c r="X2565" s="2"/>
      <c r="Y2565" s="2"/>
      <c r="Z2565" s="2"/>
    </row>
    <row r="2566">
      <c r="A2566" s="23"/>
      <c r="B2566" s="2"/>
      <c r="C2566" s="2"/>
      <c r="D2566" s="2"/>
      <c r="E2566" s="2"/>
      <c r="F2566" s="2"/>
      <c r="G2566" s="2"/>
      <c r="H2566" s="2"/>
      <c r="I2566" s="2"/>
      <c r="J2566" s="2"/>
      <c r="K2566" s="2"/>
      <c r="L2566" s="24"/>
      <c r="M2566" s="24"/>
      <c r="N2566" s="24"/>
      <c r="O2566" s="24"/>
      <c r="P2566" s="24"/>
      <c r="Q2566" s="2"/>
      <c r="R2566" s="2"/>
      <c r="S2566" s="2"/>
      <c r="T2566" s="2"/>
      <c r="U2566" s="24"/>
      <c r="V2566" s="2"/>
      <c r="W2566" s="2"/>
      <c r="X2566" s="2"/>
      <c r="Y2566" s="2"/>
      <c r="Z2566" s="2"/>
    </row>
    <row r="2567">
      <c r="A2567" s="23"/>
      <c r="B2567" s="2"/>
      <c r="C2567" s="2"/>
      <c r="D2567" s="2"/>
      <c r="E2567" s="2"/>
      <c r="F2567" s="2"/>
      <c r="G2567" s="2"/>
      <c r="H2567" s="2"/>
      <c r="I2567" s="2"/>
      <c r="J2567" s="2"/>
      <c r="K2567" s="2"/>
      <c r="L2567" s="24"/>
      <c r="M2567" s="24"/>
      <c r="N2567" s="24"/>
      <c r="O2567" s="24"/>
      <c r="P2567" s="24"/>
      <c r="Q2567" s="2"/>
      <c r="R2567" s="2"/>
      <c r="S2567" s="2"/>
      <c r="T2567" s="2"/>
      <c r="U2567" s="24"/>
      <c r="V2567" s="2"/>
      <c r="W2567" s="2"/>
      <c r="X2567" s="2"/>
      <c r="Y2567" s="2"/>
      <c r="Z2567" s="2"/>
    </row>
    <row r="2568">
      <c r="A2568" s="23"/>
      <c r="B2568" s="2"/>
      <c r="C2568" s="2"/>
      <c r="D2568" s="2"/>
      <c r="E2568" s="2"/>
      <c r="F2568" s="2"/>
      <c r="G2568" s="2"/>
      <c r="H2568" s="2"/>
      <c r="I2568" s="2"/>
      <c r="J2568" s="2"/>
      <c r="K2568" s="2"/>
      <c r="L2568" s="24"/>
      <c r="M2568" s="24"/>
      <c r="N2568" s="24"/>
      <c r="O2568" s="24"/>
      <c r="P2568" s="24"/>
      <c r="Q2568" s="2"/>
      <c r="R2568" s="2"/>
      <c r="S2568" s="2"/>
      <c r="T2568" s="2"/>
      <c r="U2568" s="24"/>
      <c r="V2568" s="2"/>
      <c r="W2568" s="2"/>
      <c r="X2568" s="2"/>
      <c r="Y2568" s="2"/>
      <c r="Z2568" s="2"/>
    </row>
    <row r="2569">
      <c r="A2569" s="23"/>
      <c r="B2569" s="2"/>
      <c r="C2569" s="2"/>
      <c r="D2569" s="2"/>
      <c r="E2569" s="2"/>
      <c r="F2569" s="2"/>
      <c r="G2569" s="2"/>
      <c r="H2569" s="2"/>
      <c r="I2569" s="2"/>
      <c r="J2569" s="2"/>
      <c r="K2569" s="2"/>
      <c r="L2569" s="24"/>
      <c r="M2569" s="24"/>
      <c r="N2569" s="24"/>
      <c r="O2569" s="24"/>
      <c r="P2569" s="24"/>
      <c r="Q2569" s="2"/>
      <c r="R2569" s="2"/>
      <c r="S2569" s="2"/>
      <c r="T2569" s="2"/>
      <c r="U2569" s="24"/>
      <c r="V2569" s="2"/>
      <c r="W2569" s="2"/>
      <c r="X2569" s="2"/>
      <c r="Y2569" s="2"/>
      <c r="Z2569" s="2"/>
    </row>
    <row r="2570">
      <c r="A2570" s="23"/>
      <c r="B2570" s="2"/>
      <c r="C2570" s="2"/>
      <c r="D2570" s="2"/>
      <c r="E2570" s="2"/>
      <c r="F2570" s="2"/>
      <c r="G2570" s="2"/>
      <c r="H2570" s="2"/>
      <c r="I2570" s="2"/>
      <c r="J2570" s="2"/>
      <c r="K2570" s="2"/>
      <c r="L2570" s="24"/>
      <c r="M2570" s="24"/>
      <c r="N2570" s="24"/>
      <c r="O2570" s="24"/>
      <c r="P2570" s="24"/>
      <c r="Q2570" s="2"/>
      <c r="R2570" s="2"/>
      <c r="S2570" s="2"/>
      <c r="T2570" s="2"/>
      <c r="U2570" s="24"/>
      <c r="V2570" s="2"/>
      <c r="W2570" s="2"/>
      <c r="X2570" s="2"/>
      <c r="Y2570" s="2"/>
      <c r="Z2570" s="2"/>
    </row>
    <row r="2571">
      <c r="A2571" s="23"/>
      <c r="B2571" s="2"/>
      <c r="C2571" s="2"/>
      <c r="D2571" s="2"/>
      <c r="E2571" s="2"/>
      <c r="F2571" s="2"/>
      <c r="G2571" s="2"/>
      <c r="H2571" s="2"/>
      <c r="I2571" s="2"/>
      <c r="J2571" s="2"/>
      <c r="K2571" s="2"/>
      <c r="L2571" s="24"/>
      <c r="M2571" s="24"/>
      <c r="N2571" s="24"/>
      <c r="O2571" s="24"/>
      <c r="P2571" s="24"/>
      <c r="Q2571" s="2"/>
      <c r="R2571" s="2"/>
      <c r="S2571" s="2"/>
      <c r="T2571" s="2"/>
      <c r="U2571" s="24"/>
      <c r="V2571" s="2"/>
      <c r="W2571" s="2"/>
      <c r="X2571" s="2"/>
      <c r="Y2571" s="2"/>
      <c r="Z2571" s="2"/>
    </row>
    <row r="2572">
      <c r="A2572" s="23"/>
      <c r="B2572" s="2"/>
      <c r="C2572" s="2"/>
      <c r="D2572" s="2"/>
      <c r="E2572" s="2"/>
      <c r="F2572" s="2"/>
      <c r="G2572" s="2"/>
      <c r="H2572" s="2"/>
      <c r="I2572" s="2"/>
      <c r="J2572" s="2"/>
      <c r="K2572" s="2"/>
      <c r="L2572" s="24"/>
      <c r="M2572" s="24"/>
      <c r="N2572" s="24"/>
      <c r="O2572" s="24"/>
      <c r="P2572" s="24"/>
      <c r="Q2572" s="2"/>
      <c r="R2572" s="2"/>
      <c r="S2572" s="2"/>
      <c r="T2572" s="2"/>
      <c r="U2572" s="24"/>
      <c r="V2572" s="2"/>
      <c r="W2572" s="2"/>
      <c r="X2572" s="2"/>
      <c r="Y2572" s="2"/>
      <c r="Z2572" s="2"/>
    </row>
    <row r="2573">
      <c r="A2573" s="23"/>
      <c r="B2573" s="2"/>
      <c r="C2573" s="2"/>
      <c r="D2573" s="2"/>
      <c r="E2573" s="2"/>
      <c r="F2573" s="2"/>
      <c r="G2573" s="2"/>
      <c r="H2573" s="2"/>
      <c r="I2573" s="2"/>
      <c r="J2573" s="2"/>
      <c r="K2573" s="2"/>
      <c r="L2573" s="24"/>
      <c r="M2573" s="24"/>
      <c r="N2573" s="24"/>
      <c r="O2573" s="24"/>
      <c r="P2573" s="24"/>
      <c r="Q2573" s="2"/>
      <c r="R2573" s="2"/>
      <c r="S2573" s="2"/>
      <c r="T2573" s="2"/>
      <c r="U2573" s="24"/>
      <c r="V2573" s="2"/>
      <c r="W2573" s="2"/>
      <c r="X2573" s="2"/>
      <c r="Y2573" s="2"/>
      <c r="Z2573" s="2"/>
    </row>
    <row r="2574">
      <c r="A2574" s="23"/>
      <c r="B2574" s="2"/>
      <c r="C2574" s="2"/>
      <c r="D2574" s="2"/>
      <c r="E2574" s="2"/>
      <c r="F2574" s="2"/>
      <c r="G2574" s="2"/>
      <c r="H2574" s="2"/>
      <c r="I2574" s="2"/>
      <c r="J2574" s="2"/>
      <c r="K2574" s="2"/>
      <c r="L2574" s="24"/>
      <c r="M2574" s="24"/>
      <c r="N2574" s="24"/>
      <c r="O2574" s="24"/>
      <c r="P2574" s="24"/>
      <c r="Q2574" s="2"/>
      <c r="R2574" s="2"/>
      <c r="S2574" s="2"/>
      <c r="T2574" s="2"/>
      <c r="U2574" s="24"/>
      <c r="V2574" s="2"/>
      <c r="W2574" s="2"/>
      <c r="X2574" s="2"/>
      <c r="Y2574" s="2"/>
      <c r="Z2574" s="2"/>
    </row>
    <row r="2575">
      <c r="A2575" s="23"/>
      <c r="B2575" s="2"/>
      <c r="C2575" s="2"/>
      <c r="D2575" s="2"/>
      <c r="E2575" s="2"/>
      <c r="F2575" s="2"/>
      <c r="G2575" s="2"/>
      <c r="H2575" s="2"/>
      <c r="I2575" s="2"/>
      <c r="J2575" s="2"/>
      <c r="K2575" s="2"/>
      <c r="L2575" s="24"/>
      <c r="M2575" s="24"/>
      <c r="N2575" s="24"/>
      <c r="O2575" s="24"/>
      <c r="P2575" s="24"/>
      <c r="Q2575" s="2"/>
      <c r="R2575" s="2"/>
      <c r="S2575" s="2"/>
      <c r="T2575" s="2"/>
      <c r="U2575" s="24"/>
      <c r="V2575" s="2"/>
      <c r="W2575" s="2"/>
      <c r="X2575" s="2"/>
      <c r="Y2575" s="2"/>
      <c r="Z2575" s="2"/>
    </row>
    <row r="2576">
      <c r="A2576" s="23"/>
      <c r="B2576" s="2"/>
      <c r="C2576" s="2"/>
      <c r="D2576" s="2"/>
      <c r="E2576" s="2"/>
      <c r="F2576" s="2"/>
      <c r="G2576" s="2"/>
      <c r="H2576" s="2"/>
      <c r="I2576" s="2"/>
      <c r="J2576" s="2"/>
      <c r="K2576" s="2"/>
      <c r="L2576" s="24"/>
      <c r="M2576" s="24"/>
      <c r="N2576" s="24"/>
      <c r="O2576" s="24"/>
      <c r="P2576" s="24"/>
      <c r="Q2576" s="2"/>
      <c r="R2576" s="2"/>
      <c r="S2576" s="2"/>
      <c r="T2576" s="2"/>
      <c r="U2576" s="24"/>
      <c r="V2576" s="2"/>
      <c r="W2576" s="2"/>
      <c r="X2576" s="2"/>
      <c r="Y2576" s="2"/>
      <c r="Z2576" s="2"/>
    </row>
    <row r="2577">
      <c r="A2577" s="23"/>
      <c r="B2577" s="2"/>
      <c r="C2577" s="2"/>
      <c r="D2577" s="2"/>
      <c r="E2577" s="2"/>
      <c r="F2577" s="2"/>
      <c r="G2577" s="2"/>
      <c r="H2577" s="2"/>
      <c r="I2577" s="2"/>
      <c r="J2577" s="2"/>
      <c r="K2577" s="2"/>
      <c r="L2577" s="24"/>
      <c r="M2577" s="24"/>
      <c r="N2577" s="24"/>
      <c r="O2577" s="24"/>
      <c r="P2577" s="24"/>
      <c r="Q2577" s="2"/>
      <c r="R2577" s="2"/>
      <c r="S2577" s="2"/>
      <c r="T2577" s="2"/>
      <c r="U2577" s="24"/>
      <c r="V2577" s="2"/>
      <c r="W2577" s="2"/>
      <c r="X2577" s="2"/>
      <c r="Y2577" s="2"/>
      <c r="Z2577" s="2"/>
    </row>
    <row r="2578">
      <c r="A2578" s="23"/>
      <c r="B2578" s="2"/>
      <c r="C2578" s="2"/>
      <c r="D2578" s="2"/>
      <c r="E2578" s="2"/>
      <c r="F2578" s="2"/>
      <c r="G2578" s="2"/>
      <c r="H2578" s="2"/>
      <c r="I2578" s="2"/>
      <c r="J2578" s="2"/>
      <c r="K2578" s="2"/>
      <c r="L2578" s="24"/>
      <c r="M2578" s="24"/>
      <c r="N2578" s="24"/>
      <c r="O2578" s="24"/>
      <c r="P2578" s="24"/>
      <c r="Q2578" s="2"/>
      <c r="R2578" s="2"/>
      <c r="S2578" s="2"/>
      <c r="T2578" s="2"/>
      <c r="U2578" s="24"/>
      <c r="V2578" s="2"/>
      <c r="W2578" s="2"/>
      <c r="X2578" s="2"/>
      <c r="Y2578" s="2"/>
      <c r="Z2578" s="2"/>
    </row>
    <row r="2579">
      <c r="A2579" s="23"/>
      <c r="B2579" s="2"/>
      <c r="C2579" s="2"/>
      <c r="D2579" s="2"/>
      <c r="E2579" s="2"/>
      <c r="F2579" s="2"/>
      <c r="G2579" s="2"/>
      <c r="H2579" s="2"/>
      <c r="I2579" s="2"/>
      <c r="J2579" s="2"/>
      <c r="K2579" s="2"/>
      <c r="L2579" s="24"/>
      <c r="M2579" s="24"/>
      <c r="N2579" s="24"/>
      <c r="O2579" s="24"/>
      <c r="P2579" s="24"/>
      <c r="Q2579" s="2"/>
      <c r="R2579" s="2"/>
      <c r="S2579" s="2"/>
      <c r="T2579" s="2"/>
      <c r="U2579" s="24"/>
      <c r="V2579" s="2"/>
      <c r="W2579" s="2"/>
      <c r="X2579" s="2"/>
      <c r="Y2579" s="2"/>
      <c r="Z2579" s="2"/>
    </row>
    <row r="2580">
      <c r="A2580" s="23"/>
      <c r="B2580" s="2"/>
      <c r="C2580" s="2"/>
      <c r="D2580" s="2"/>
      <c r="E2580" s="2"/>
      <c r="F2580" s="2"/>
      <c r="G2580" s="2"/>
      <c r="H2580" s="2"/>
      <c r="I2580" s="2"/>
      <c r="J2580" s="2"/>
      <c r="K2580" s="2"/>
      <c r="L2580" s="24"/>
      <c r="M2580" s="24"/>
      <c r="N2580" s="24"/>
      <c r="O2580" s="24"/>
      <c r="P2580" s="24"/>
      <c r="Q2580" s="2"/>
      <c r="R2580" s="2"/>
      <c r="S2580" s="2"/>
      <c r="T2580" s="2"/>
      <c r="U2580" s="24"/>
      <c r="V2580" s="2"/>
      <c r="W2580" s="2"/>
      <c r="X2580" s="2"/>
      <c r="Y2580" s="2"/>
      <c r="Z2580" s="2"/>
    </row>
    <row r="2581">
      <c r="A2581" s="23"/>
      <c r="B2581" s="2"/>
      <c r="C2581" s="2"/>
      <c r="D2581" s="2"/>
      <c r="E2581" s="2"/>
      <c r="F2581" s="2"/>
      <c r="G2581" s="2"/>
      <c r="H2581" s="2"/>
      <c r="I2581" s="2"/>
      <c r="J2581" s="2"/>
      <c r="K2581" s="2"/>
      <c r="L2581" s="24"/>
      <c r="M2581" s="24"/>
      <c r="N2581" s="24"/>
      <c r="O2581" s="24"/>
      <c r="P2581" s="24"/>
      <c r="Q2581" s="2"/>
      <c r="R2581" s="2"/>
      <c r="S2581" s="2"/>
      <c r="T2581" s="2"/>
      <c r="U2581" s="24"/>
      <c r="V2581" s="2"/>
      <c r="W2581" s="2"/>
      <c r="X2581" s="2"/>
      <c r="Y2581" s="2"/>
      <c r="Z2581" s="2"/>
    </row>
    <row r="2582">
      <c r="A2582" s="23"/>
      <c r="B2582" s="2"/>
      <c r="C2582" s="2"/>
      <c r="D2582" s="2"/>
      <c r="E2582" s="2"/>
      <c r="F2582" s="2"/>
      <c r="G2582" s="2"/>
      <c r="H2582" s="2"/>
      <c r="I2582" s="2"/>
      <c r="J2582" s="2"/>
      <c r="K2582" s="2"/>
      <c r="L2582" s="24"/>
      <c r="M2582" s="24"/>
      <c r="N2582" s="24"/>
      <c r="O2582" s="24"/>
      <c r="P2582" s="24"/>
      <c r="Q2582" s="2"/>
      <c r="R2582" s="2"/>
      <c r="S2582" s="2"/>
      <c r="T2582" s="2"/>
      <c r="U2582" s="24"/>
      <c r="V2582" s="2"/>
      <c r="W2582" s="2"/>
      <c r="X2582" s="2"/>
      <c r="Y2582" s="2"/>
      <c r="Z2582" s="2"/>
    </row>
    <row r="2583">
      <c r="A2583" s="23"/>
      <c r="B2583" s="2"/>
      <c r="C2583" s="2"/>
      <c r="D2583" s="2"/>
      <c r="E2583" s="2"/>
      <c r="F2583" s="2"/>
      <c r="G2583" s="2"/>
      <c r="H2583" s="2"/>
      <c r="I2583" s="2"/>
      <c r="J2583" s="2"/>
      <c r="K2583" s="2"/>
      <c r="L2583" s="24"/>
      <c r="M2583" s="24"/>
      <c r="N2583" s="24"/>
      <c r="O2583" s="24"/>
      <c r="P2583" s="24"/>
      <c r="Q2583" s="2"/>
      <c r="R2583" s="2"/>
      <c r="S2583" s="2"/>
      <c r="T2583" s="2"/>
      <c r="U2583" s="24"/>
      <c r="V2583" s="2"/>
      <c r="W2583" s="2"/>
      <c r="X2583" s="2"/>
      <c r="Y2583" s="2"/>
      <c r="Z2583" s="2"/>
    </row>
    <row r="2584">
      <c r="A2584" s="23"/>
      <c r="B2584" s="2"/>
      <c r="C2584" s="2"/>
      <c r="D2584" s="2"/>
      <c r="E2584" s="2"/>
      <c r="F2584" s="2"/>
      <c r="G2584" s="2"/>
      <c r="H2584" s="2"/>
      <c r="I2584" s="2"/>
      <c r="J2584" s="2"/>
      <c r="K2584" s="2"/>
      <c r="L2584" s="24"/>
      <c r="M2584" s="24"/>
      <c r="N2584" s="24"/>
      <c r="O2584" s="24"/>
      <c r="P2584" s="24"/>
      <c r="Q2584" s="2"/>
      <c r="R2584" s="2"/>
      <c r="S2584" s="2"/>
      <c r="T2584" s="2"/>
      <c r="U2584" s="24"/>
      <c r="V2584" s="2"/>
      <c r="W2584" s="2"/>
      <c r="X2584" s="2"/>
      <c r="Y2584" s="2"/>
      <c r="Z2584" s="2"/>
    </row>
    <row r="2585">
      <c r="A2585" s="23"/>
      <c r="B2585" s="2"/>
      <c r="C2585" s="2"/>
      <c r="D2585" s="2"/>
      <c r="E2585" s="2"/>
      <c r="F2585" s="2"/>
      <c r="G2585" s="2"/>
      <c r="H2585" s="2"/>
      <c r="I2585" s="2"/>
      <c r="J2585" s="2"/>
      <c r="K2585" s="2"/>
      <c r="L2585" s="24"/>
      <c r="M2585" s="24"/>
      <c r="N2585" s="24"/>
      <c r="O2585" s="24"/>
      <c r="P2585" s="24"/>
      <c r="Q2585" s="2"/>
      <c r="R2585" s="2"/>
      <c r="S2585" s="2"/>
      <c r="T2585" s="2"/>
      <c r="U2585" s="24"/>
      <c r="V2585" s="2"/>
      <c r="W2585" s="2"/>
      <c r="X2585" s="2"/>
      <c r="Y2585" s="2"/>
      <c r="Z2585" s="2"/>
    </row>
    <row r="2586">
      <c r="A2586" s="23"/>
      <c r="B2586" s="2"/>
      <c r="C2586" s="2"/>
      <c r="D2586" s="2"/>
      <c r="E2586" s="2"/>
      <c r="F2586" s="2"/>
      <c r="G2586" s="2"/>
      <c r="H2586" s="2"/>
      <c r="I2586" s="2"/>
      <c r="J2586" s="2"/>
      <c r="K2586" s="2"/>
      <c r="L2586" s="24"/>
      <c r="M2586" s="24"/>
      <c r="N2586" s="24"/>
      <c r="O2586" s="24"/>
      <c r="P2586" s="24"/>
      <c r="Q2586" s="2"/>
      <c r="R2586" s="2"/>
      <c r="S2586" s="2"/>
      <c r="T2586" s="2"/>
      <c r="U2586" s="24"/>
      <c r="V2586" s="2"/>
      <c r="W2586" s="2"/>
      <c r="X2586" s="2"/>
      <c r="Y2586" s="2"/>
      <c r="Z2586" s="2"/>
    </row>
    <row r="2587">
      <c r="A2587" s="23"/>
      <c r="B2587" s="2"/>
      <c r="C2587" s="2"/>
      <c r="D2587" s="2"/>
      <c r="E2587" s="2"/>
      <c r="F2587" s="2"/>
      <c r="G2587" s="2"/>
      <c r="H2587" s="2"/>
      <c r="I2587" s="2"/>
      <c r="J2587" s="2"/>
      <c r="K2587" s="2"/>
      <c r="L2587" s="24"/>
      <c r="M2587" s="24"/>
      <c r="N2587" s="24"/>
      <c r="O2587" s="24"/>
      <c r="P2587" s="24"/>
      <c r="Q2587" s="2"/>
      <c r="R2587" s="2"/>
      <c r="S2587" s="2"/>
      <c r="T2587" s="2"/>
      <c r="U2587" s="24"/>
      <c r="V2587" s="2"/>
      <c r="W2587" s="2"/>
      <c r="X2587" s="2"/>
      <c r="Y2587" s="2"/>
      <c r="Z2587" s="2"/>
    </row>
    <row r="2588">
      <c r="A2588" s="23"/>
      <c r="B2588" s="2"/>
      <c r="C2588" s="2"/>
      <c r="D2588" s="2"/>
      <c r="E2588" s="2"/>
      <c r="F2588" s="2"/>
      <c r="G2588" s="2"/>
      <c r="H2588" s="2"/>
      <c r="I2588" s="2"/>
      <c r="J2588" s="2"/>
      <c r="K2588" s="2"/>
      <c r="L2588" s="24"/>
      <c r="M2588" s="24"/>
      <c r="N2588" s="24"/>
      <c r="O2588" s="24"/>
      <c r="P2588" s="24"/>
      <c r="Q2588" s="2"/>
      <c r="R2588" s="2"/>
      <c r="S2588" s="2"/>
      <c r="T2588" s="2"/>
      <c r="U2588" s="24"/>
      <c r="V2588" s="2"/>
      <c r="W2588" s="2"/>
      <c r="X2588" s="2"/>
      <c r="Y2588" s="2"/>
      <c r="Z2588" s="2"/>
    </row>
    <row r="2589">
      <c r="A2589" s="23"/>
      <c r="B2589" s="2"/>
      <c r="C2589" s="2"/>
      <c r="D2589" s="2"/>
      <c r="E2589" s="2"/>
      <c r="F2589" s="2"/>
      <c r="G2589" s="2"/>
      <c r="H2589" s="2"/>
      <c r="I2589" s="2"/>
      <c r="J2589" s="2"/>
      <c r="K2589" s="2"/>
      <c r="L2589" s="24"/>
      <c r="M2589" s="24"/>
      <c r="N2589" s="24"/>
      <c r="O2589" s="24"/>
      <c r="P2589" s="24"/>
      <c r="Q2589" s="2"/>
      <c r="R2589" s="2"/>
      <c r="S2589" s="2"/>
      <c r="T2589" s="2"/>
      <c r="U2589" s="24"/>
      <c r="V2589" s="2"/>
      <c r="W2589" s="2"/>
      <c r="X2589" s="2"/>
      <c r="Y2589" s="2"/>
      <c r="Z2589" s="2"/>
    </row>
    <row r="2590">
      <c r="A2590" s="23"/>
      <c r="B2590" s="2"/>
      <c r="C2590" s="2"/>
      <c r="D2590" s="2"/>
      <c r="E2590" s="2"/>
      <c r="F2590" s="2"/>
      <c r="G2590" s="2"/>
      <c r="H2590" s="2"/>
      <c r="I2590" s="2"/>
      <c r="J2590" s="2"/>
      <c r="K2590" s="2"/>
      <c r="L2590" s="24"/>
      <c r="M2590" s="24"/>
      <c r="N2590" s="24"/>
      <c r="O2590" s="24"/>
      <c r="P2590" s="24"/>
      <c r="Q2590" s="2"/>
      <c r="R2590" s="2"/>
      <c r="S2590" s="2"/>
      <c r="T2590" s="2"/>
      <c r="U2590" s="24"/>
      <c r="V2590" s="2"/>
      <c r="W2590" s="2"/>
      <c r="X2590" s="2"/>
      <c r="Y2590" s="2"/>
      <c r="Z2590" s="2"/>
    </row>
    <row r="2591">
      <c r="A2591" s="23"/>
      <c r="B2591" s="2"/>
      <c r="C2591" s="2"/>
      <c r="D2591" s="2"/>
      <c r="E2591" s="2"/>
      <c r="F2591" s="2"/>
      <c r="G2591" s="2"/>
      <c r="H2591" s="2"/>
      <c r="I2591" s="2"/>
      <c r="J2591" s="2"/>
      <c r="K2591" s="2"/>
      <c r="L2591" s="24"/>
      <c r="M2591" s="24"/>
      <c r="N2591" s="24"/>
      <c r="O2591" s="24"/>
      <c r="P2591" s="24"/>
      <c r="Q2591" s="2"/>
      <c r="R2591" s="2"/>
      <c r="S2591" s="2"/>
      <c r="T2591" s="2"/>
      <c r="U2591" s="24"/>
      <c r="V2591" s="2"/>
      <c r="W2591" s="2"/>
      <c r="X2591" s="2"/>
      <c r="Y2591" s="2"/>
      <c r="Z2591" s="2"/>
    </row>
    <row r="2592">
      <c r="A2592" s="23"/>
      <c r="B2592" s="2"/>
      <c r="C2592" s="2"/>
      <c r="D2592" s="2"/>
      <c r="E2592" s="2"/>
      <c r="F2592" s="2"/>
      <c r="G2592" s="2"/>
      <c r="H2592" s="2"/>
      <c r="I2592" s="2"/>
      <c r="J2592" s="2"/>
      <c r="K2592" s="2"/>
      <c r="L2592" s="24"/>
      <c r="M2592" s="24"/>
      <c r="N2592" s="24"/>
      <c r="O2592" s="24"/>
      <c r="P2592" s="24"/>
      <c r="Q2592" s="2"/>
      <c r="R2592" s="2"/>
      <c r="S2592" s="2"/>
      <c r="T2592" s="2"/>
      <c r="U2592" s="24"/>
      <c r="V2592" s="2"/>
      <c r="W2592" s="2"/>
      <c r="X2592" s="2"/>
      <c r="Y2592" s="2"/>
      <c r="Z2592" s="2"/>
    </row>
    <row r="2593">
      <c r="A2593" s="23"/>
      <c r="B2593" s="2"/>
      <c r="C2593" s="2"/>
      <c r="D2593" s="2"/>
      <c r="E2593" s="2"/>
      <c r="F2593" s="2"/>
      <c r="G2593" s="2"/>
      <c r="H2593" s="2"/>
      <c r="I2593" s="2"/>
      <c r="J2593" s="2"/>
      <c r="K2593" s="2"/>
      <c r="L2593" s="24"/>
      <c r="M2593" s="24"/>
      <c r="N2593" s="24"/>
      <c r="O2593" s="24"/>
      <c r="P2593" s="24"/>
      <c r="Q2593" s="2"/>
      <c r="R2593" s="2"/>
      <c r="S2593" s="2"/>
      <c r="T2593" s="2"/>
      <c r="U2593" s="24"/>
      <c r="V2593" s="2"/>
      <c r="W2593" s="2"/>
      <c r="X2593" s="2"/>
      <c r="Y2593" s="2"/>
      <c r="Z2593" s="2"/>
    </row>
    <row r="2594">
      <c r="A2594" s="23"/>
      <c r="B2594" s="2"/>
      <c r="C2594" s="2"/>
      <c r="D2594" s="2"/>
      <c r="E2594" s="2"/>
      <c r="F2594" s="2"/>
      <c r="G2594" s="2"/>
      <c r="H2594" s="2"/>
      <c r="I2594" s="2"/>
      <c r="J2594" s="2"/>
      <c r="K2594" s="2"/>
      <c r="L2594" s="24"/>
      <c r="M2594" s="24"/>
      <c r="N2594" s="24"/>
      <c r="O2594" s="24"/>
      <c r="P2594" s="24"/>
      <c r="Q2594" s="2"/>
      <c r="R2594" s="2"/>
      <c r="S2594" s="2"/>
      <c r="T2594" s="2"/>
      <c r="U2594" s="24"/>
      <c r="V2594" s="2"/>
      <c r="W2594" s="2"/>
      <c r="X2594" s="2"/>
      <c r="Y2594" s="2"/>
      <c r="Z2594" s="2"/>
    </row>
    <row r="2595">
      <c r="A2595" s="23"/>
      <c r="B2595" s="2"/>
      <c r="C2595" s="2"/>
      <c r="D2595" s="2"/>
      <c r="E2595" s="2"/>
      <c r="F2595" s="2"/>
      <c r="G2595" s="2"/>
      <c r="H2595" s="2"/>
      <c r="I2595" s="2"/>
      <c r="J2595" s="2"/>
      <c r="K2595" s="2"/>
      <c r="L2595" s="24"/>
      <c r="M2595" s="24"/>
      <c r="N2595" s="24"/>
      <c r="O2595" s="24"/>
      <c r="P2595" s="24"/>
      <c r="Q2595" s="2"/>
      <c r="R2595" s="2"/>
      <c r="S2595" s="2"/>
      <c r="T2595" s="2"/>
      <c r="U2595" s="24"/>
      <c r="V2595" s="2"/>
      <c r="W2595" s="2"/>
      <c r="X2595" s="2"/>
      <c r="Y2595" s="2"/>
      <c r="Z2595" s="2"/>
    </row>
    <row r="2596">
      <c r="A2596" s="23"/>
      <c r="B2596" s="2"/>
      <c r="C2596" s="2"/>
      <c r="D2596" s="2"/>
      <c r="E2596" s="2"/>
      <c r="F2596" s="2"/>
      <c r="G2596" s="2"/>
      <c r="H2596" s="2"/>
      <c r="I2596" s="2"/>
      <c r="J2596" s="2"/>
      <c r="K2596" s="2"/>
      <c r="L2596" s="24"/>
      <c r="M2596" s="24"/>
      <c r="N2596" s="24"/>
      <c r="O2596" s="24"/>
      <c r="P2596" s="24"/>
      <c r="Q2596" s="2"/>
      <c r="R2596" s="2"/>
      <c r="S2596" s="2"/>
      <c r="T2596" s="2"/>
      <c r="U2596" s="24"/>
      <c r="V2596" s="2"/>
      <c r="W2596" s="2"/>
      <c r="X2596" s="2"/>
      <c r="Y2596" s="2"/>
      <c r="Z2596" s="2"/>
    </row>
    <row r="2597">
      <c r="A2597" s="23"/>
      <c r="B2597" s="2"/>
      <c r="C2597" s="2"/>
      <c r="D2597" s="2"/>
      <c r="E2597" s="2"/>
      <c r="F2597" s="2"/>
      <c r="G2597" s="2"/>
      <c r="H2597" s="2"/>
      <c r="I2597" s="2"/>
      <c r="J2597" s="2"/>
      <c r="K2597" s="2"/>
      <c r="L2597" s="24"/>
      <c r="M2597" s="24"/>
      <c r="N2597" s="24"/>
      <c r="O2597" s="24"/>
      <c r="P2597" s="24"/>
      <c r="Q2597" s="2"/>
      <c r="R2597" s="2"/>
      <c r="S2597" s="2"/>
      <c r="T2597" s="2"/>
      <c r="U2597" s="24"/>
      <c r="V2597" s="2"/>
      <c r="W2597" s="2"/>
      <c r="X2597" s="2"/>
      <c r="Y2597" s="2"/>
      <c r="Z2597" s="2"/>
    </row>
    <row r="2598">
      <c r="A2598" s="23"/>
      <c r="B2598" s="2"/>
      <c r="C2598" s="2"/>
      <c r="D2598" s="2"/>
      <c r="E2598" s="2"/>
      <c r="F2598" s="2"/>
      <c r="G2598" s="2"/>
      <c r="H2598" s="2"/>
      <c r="I2598" s="2"/>
      <c r="J2598" s="2"/>
      <c r="K2598" s="2"/>
      <c r="L2598" s="24"/>
      <c r="M2598" s="24"/>
      <c r="N2598" s="24"/>
      <c r="O2598" s="24"/>
      <c r="P2598" s="24"/>
      <c r="Q2598" s="2"/>
      <c r="R2598" s="2"/>
      <c r="S2598" s="2"/>
      <c r="T2598" s="2"/>
      <c r="U2598" s="24"/>
      <c r="V2598" s="2"/>
      <c r="W2598" s="2"/>
      <c r="X2598" s="2"/>
      <c r="Y2598" s="2"/>
      <c r="Z2598" s="2"/>
    </row>
    <row r="2599">
      <c r="A2599" s="23"/>
      <c r="B2599" s="2"/>
      <c r="C2599" s="2"/>
      <c r="D2599" s="2"/>
      <c r="E2599" s="2"/>
      <c r="F2599" s="2"/>
      <c r="G2599" s="2"/>
      <c r="H2599" s="2"/>
      <c r="I2599" s="2"/>
      <c r="J2599" s="2"/>
      <c r="K2599" s="2"/>
      <c r="L2599" s="24"/>
      <c r="M2599" s="24"/>
      <c r="N2599" s="24"/>
      <c r="O2599" s="24"/>
      <c r="P2599" s="24"/>
      <c r="Q2599" s="2"/>
      <c r="R2599" s="2"/>
      <c r="S2599" s="2"/>
      <c r="T2599" s="2"/>
      <c r="U2599" s="24"/>
      <c r="V2599" s="2"/>
      <c r="W2599" s="2"/>
      <c r="X2599" s="2"/>
      <c r="Y2599" s="2"/>
      <c r="Z2599" s="2"/>
    </row>
    <row r="2600">
      <c r="A2600" s="23"/>
      <c r="B2600" s="2"/>
      <c r="C2600" s="2"/>
      <c r="D2600" s="2"/>
      <c r="E2600" s="2"/>
      <c r="F2600" s="2"/>
      <c r="G2600" s="2"/>
      <c r="H2600" s="2"/>
      <c r="I2600" s="2"/>
      <c r="J2600" s="2"/>
      <c r="K2600" s="2"/>
      <c r="L2600" s="24"/>
      <c r="M2600" s="24"/>
      <c r="N2600" s="24"/>
      <c r="O2600" s="24"/>
      <c r="P2600" s="24"/>
      <c r="Q2600" s="2"/>
      <c r="R2600" s="2"/>
      <c r="S2600" s="2"/>
      <c r="T2600" s="2"/>
      <c r="U2600" s="24"/>
      <c r="V2600" s="2"/>
      <c r="W2600" s="2"/>
      <c r="X2600" s="2"/>
      <c r="Y2600" s="2"/>
      <c r="Z2600" s="2"/>
    </row>
    <row r="2601">
      <c r="A2601" s="23"/>
      <c r="B2601" s="2"/>
      <c r="C2601" s="2"/>
      <c r="D2601" s="2"/>
      <c r="E2601" s="2"/>
      <c r="F2601" s="2"/>
      <c r="G2601" s="2"/>
      <c r="H2601" s="2"/>
      <c r="I2601" s="2"/>
      <c r="J2601" s="2"/>
      <c r="K2601" s="2"/>
      <c r="L2601" s="24"/>
      <c r="M2601" s="24"/>
      <c r="N2601" s="24"/>
      <c r="O2601" s="24"/>
      <c r="P2601" s="24"/>
      <c r="Q2601" s="2"/>
      <c r="R2601" s="2"/>
      <c r="S2601" s="2"/>
      <c r="T2601" s="2"/>
      <c r="U2601" s="24"/>
      <c r="V2601" s="2"/>
      <c r="W2601" s="2"/>
      <c r="X2601" s="2"/>
      <c r="Y2601" s="2"/>
      <c r="Z2601" s="2"/>
    </row>
    <row r="2602">
      <c r="A2602" s="23"/>
      <c r="B2602" s="2"/>
      <c r="C2602" s="2"/>
      <c r="D2602" s="2"/>
      <c r="E2602" s="2"/>
      <c r="F2602" s="2"/>
      <c r="G2602" s="2"/>
      <c r="H2602" s="2"/>
      <c r="I2602" s="2"/>
      <c r="J2602" s="2"/>
      <c r="K2602" s="2"/>
      <c r="L2602" s="24"/>
      <c r="M2602" s="24"/>
      <c r="N2602" s="24"/>
      <c r="O2602" s="24"/>
      <c r="P2602" s="24"/>
      <c r="Q2602" s="2"/>
      <c r="R2602" s="2"/>
      <c r="S2602" s="2"/>
      <c r="T2602" s="2"/>
      <c r="U2602" s="24"/>
      <c r="V2602" s="2"/>
      <c r="W2602" s="2"/>
      <c r="X2602" s="2"/>
      <c r="Y2602" s="2"/>
      <c r="Z2602" s="2"/>
    </row>
    <row r="2603">
      <c r="A2603" s="23"/>
      <c r="B2603" s="2"/>
      <c r="C2603" s="2"/>
      <c r="D2603" s="2"/>
      <c r="E2603" s="2"/>
      <c r="F2603" s="2"/>
      <c r="G2603" s="2"/>
      <c r="H2603" s="2"/>
      <c r="I2603" s="2"/>
      <c r="J2603" s="2"/>
      <c r="K2603" s="2"/>
      <c r="L2603" s="24"/>
      <c r="M2603" s="24"/>
      <c r="N2603" s="24"/>
      <c r="O2603" s="24"/>
      <c r="P2603" s="24"/>
      <c r="Q2603" s="2"/>
      <c r="R2603" s="2"/>
      <c r="S2603" s="2"/>
      <c r="T2603" s="2"/>
      <c r="U2603" s="24"/>
      <c r="V2603" s="2"/>
      <c r="W2603" s="2"/>
      <c r="X2603" s="2"/>
      <c r="Y2603" s="2"/>
      <c r="Z2603" s="2"/>
    </row>
    <row r="2604">
      <c r="A2604" s="23"/>
      <c r="B2604" s="2"/>
      <c r="C2604" s="2"/>
      <c r="D2604" s="2"/>
      <c r="E2604" s="2"/>
      <c r="F2604" s="2"/>
      <c r="G2604" s="2"/>
      <c r="H2604" s="2"/>
      <c r="I2604" s="2"/>
      <c r="J2604" s="2"/>
      <c r="K2604" s="2"/>
      <c r="L2604" s="24"/>
      <c r="M2604" s="24"/>
      <c r="N2604" s="24"/>
      <c r="O2604" s="24"/>
      <c r="P2604" s="24"/>
      <c r="Q2604" s="2"/>
      <c r="R2604" s="2"/>
      <c r="S2604" s="2"/>
      <c r="T2604" s="2"/>
      <c r="U2604" s="24"/>
      <c r="V2604" s="2"/>
      <c r="W2604" s="2"/>
      <c r="X2604" s="2"/>
      <c r="Y2604" s="2"/>
      <c r="Z2604" s="2"/>
    </row>
    <row r="2605">
      <c r="A2605" s="23"/>
      <c r="B2605" s="2"/>
      <c r="C2605" s="2"/>
      <c r="D2605" s="2"/>
      <c r="E2605" s="2"/>
      <c r="F2605" s="2"/>
      <c r="G2605" s="2"/>
      <c r="H2605" s="2"/>
      <c r="I2605" s="2"/>
      <c r="J2605" s="2"/>
      <c r="K2605" s="2"/>
      <c r="L2605" s="24"/>
      <c r="M2605" s="24"/>
      <c r="N2605" s="24"/>
      <c r="O2605" s="24"/>
      <c r="P2605" s="24"/>
      <c r="Q2605" s="2"/>
      <c r="R2605" s="2"/>
      <c r="S2605" s="2"/>
      <c r="T2605" s="2"/>
      <c r="U2605" s="24"/>
      <c r="V2605" s="2"/>
      <c r="W2605" s="2"/>
      <c r="X2605" s="2"/>
      <c r="Y2605" s="2"/>
      <c r="Z2605" s="2"/>
    </row>
    <row r="2606">
      <c r="A2606" s="23"/>
      <c r="B2606" s="2"/>
      <c r="C2606" s="2"/>
      <c r="D2606" s="2"/>
      <c r="E2606" s="2"/>
      <c r="F2606" s="2"/>
      <c r="G2606" s="2"/>
      <c r="H2606" s="2"/>
      <c r="I2606" s="2"/>
      <c r="J2606" s="2"/>
      <c r="K2606" s="2"/>
      <c r="L2606" s="24"/>
      <c r="M2606" s="24"/>
      <c r="N2606" s="24"/>
      <c r="O2606" s="24"/>
      <c r="P2606" s="24"/>
      <c r="Q2606" s="2"/>
      <c r="R2606" s="2"/>
      <c r="S2606" s="2"/>
      <c r="T2606" s="2"/>
      <c r="U2606" s="24"/>
      <c r="V2606" s="2"/>
      <c r="W2606" s="2"/>
      <c r="X2606" s="2"/>
      <c r="Y2606" s="2"/>
      <c r="Z2606" s="2"/>
    </row>
    <row r="2607">
      <c r="A2607" s="23"/>
      <c r="B2607" s="2"/>
      <c r="C2607" s="2"/>
      <c r="D2607" s="2"/>
      <c r="E2607" s="2"/>
      <c r="F2607" s="2"/>
      <c r="G2607" s="2"/>
      <c r="H2607" s="2"/>
      <c r="I2607" s="2"/>
      <c r="J2607" s="2"/>
      <c r="K2607" s="2"/>
      <c r="L2607" s="24"/>
      <c r="M2607" s="24"/>
      <c r="N2607" s="24"/>
      <c r="O2607" s="24"/>
      <c r="P2607" s="24"/>
      <c r="Q2607" s="2"/>
      <c r="R2607" s="2"/>
      <c r="S2607" s="2"/>
      <c r="T2607" s="2"/>
      <c r="U2607" s="24"/>
      <c r="V2607" s="2"/>
      <c r="W2607" s="2"/>
      <c r="X2607" s="2"/>
      <c r="Y2607" s="2"/>
      <c r="Z2607" s="2"/>
    </row>
    <row r="2608">
      <c r="A2608" s="23"/>
      <c r="B2608" s="2"/>
      <c r="C2608" s="2"/>
      <c r="D2608" s="2"/>
      <c r="E2608" s="2"/>
      <c r="F2608" s="2"/>
      <c r="G2608" s="2"/>
      <c r="H2608" s="2"/>
      <c r="I2608" s="2"/>
      <c r="J2608" s="2"/>
      <c r="K2608" s="2"/>
      <c r="L2608" s="24"/>
      <c r="M2608" s="24"/>
      <c r="N2608" s="24"/>
      <c r="O2608" s="24"/>
      <c r="P2608" s="24"/>
      <c r="Q2608" s="2"/>
      <c r="R2608" s="2"/>
      <c r="S2608" s="2"/>
      <c r="T2608" s="2"/>
      <c r="U2608" s="24"/>
      <c r="V2608" s="2"/>
      <c r="W2608" s="2"/>
      <c r="X2608" s="2"/>
      <c r="Y2608" s="2"/>
      <c r="Z2608" s="2"/>
    </row>
    <row r="2609">
      <c r="A2609" s="23"/>
      <c r="B2609" s="2"/>
      <c r="C2609" s="2"/>
      <c r="D2609" s="2"/>
      <c r="E2609" s="2"/>
      <c r="F2609" s="2"/>
      <c r="G2609" s="2"/>
      <c r="H2609" s="2"/>
      <c r="I2609" s="2"/>
      <c r="J2609" s="2"/>
      <c r="K2609" s="2"/>
      <c r="L2609" s="24"/>
      <c r="M2609" s="24"/>
      <c r="N2609" s="24"/>
      <c r="O2609" s="24"/>
      <c r="P2609" s="24"/>
      <c r="Q2609" s="2"/>
      <c r="R2609" s="2"/>
      <c r="S2609" s="2"/>
      <c r="T2609" s="2"/>
      <c r="U2609" s="24"/>
      <c r="V2609" s="2"/>
      <c r="W2609" s="2"/>
      <c r="X2609" s="2"/>
      <c r="Y2609" s="2"/>
      <c r="Z2609" s="2"/>
    </row>
    <row r="2610">
      <c r="A2610" s="23"/>
      <c r="B2610" s="2"/>
      <c r="C2610" s="2"/>
      <c r="D2610" s="2"/>
      <c r="E2610" s="2"/>
      <c r="F2610" s="2"/>
      <c r="G2610" s="2"/>
      <c r="H2610" s="2"/>
      <c r="I2610" s="2"/>
      <c r="J2610" s="2"/>
      <c r="K2610" s="2"/>
      <c r="L2610" s="24"/>
      <c r="M2610" s="24"/>
      <c r="N2610" s="24"/>
      <c r="O2610" s="24"/>
      <c r="P2610" s="24"/>
      <c r="Q2610" s="2"/>
      <c r="R2610" s="2"/>
      <c r="S2610" s="2"/>
      <c r="T2610" s="2"/>
      <c r="U2610" s="24"/>
      <c r="V2610" s="2"/>
      <c r="W2610" s="2"/>
      <c r="X2610" s="2"/>
      <c r="Y2610" s="2"/>
      <c r="Z2610" s="2"/>
    </row>
    <row r="2611">
      <c r="A2611" s="23"/>
      <c r="B2611" s="2"/>
      <c r="C2611" s="2"/>
      <c r="D2611" s="2"/>
      <c r="E2611" s="2"/>
      <c r="F2611" s="2"/>
      <c r="G2611" s="2"/>
      <c r="H2611" s="2"/>
      <c r="I2611" s="2"/>
      <c r="J2611" s="2"/>
      <c r="K2611" s="2"/>
      <c r="L2611" s="24"/>
      <c r="M2611" s="24"/>
      <c r="N2611" s="24"/>
      <c r="O2611" s="24"/>
      <c r="P2611" s="24"/>
      <c r="Q2611" s="2"/>
      <c r="R2611" s="2"/>
      <c r="S2611" s="2"/>
      <c r="T2611" s="2"/>
      <c r="U2611" s="24"/>
      <c r="V2611" s="2"/>
      <c r="W2611" s="2"/>
      <c r="X2611" s="2"/>
      <c r="Y2611" s="2"/>
      <c r="Z2611" s="2"/>
    </row>
    <row r="2612">
      <c r="A2612" s="23"/>
      <c r="B2612" s="2"/>
      <c r="C2612" s="2"/>
      <c r="D2612" s="2"/>
      <c r="E2612" s="2"/>
      <c r="F2612" s="2"/>
      <c r="G2612" s="2"/>
      <c r="H2612" s="2"/>
      <c r="I2612" s="2"/>
      <c r="J2612" s="2"/>
      <c r="K2612" s="2"/>
      <c r="L2612" s="24"/>
      <c r="M2612" s="24"/>
      <c r="N2612" s="24"/>
      <c r="O2612" s="24"/>
      <c r="P2612" s="24"/>
      <c r="Q2612" s="2"/>
      <c r="R2612" s="2"/>
      <c r="S2612" s="2"/>
      <c r="T2612" s="2"/>
      <c r="U2612" s="24"/>
      <c r="V2612" s="2"/>
      <c r="W2612" s="2"/>
      <c r="X2612" s="2"/>
      <c r="Y2612" s="2"/>
      <c r="Z2612" s="2"/>
    </row>
    <row r="2613">
      <c r="A2613" s="23"/>
      <c r="B2613" s="2"/>
      <c r="C2613" s="2"/>
      <c r="D2613" s="2"/>
      <c r="E2613" s="2"/>
      <c r="F2613" s="2"/>
      <c r="G2613" s="2"/>
      <c r="H2613" s="2"/>
      <c r="I2613" s="2"/>
      <c r="J2613" s="2"/>
      <c r="K2613" s="2"/>
      <c r="L2613" s="24"/>
      <c r="M2613" s="24"/>
      <c r="N2613" s="24"/>
      <c r="O2613" s="24"/>
      <c r="P2613" s="24"/>
      <c r="Q2613" s="2"/>
      <c r="R2613" s="2"/>
      <c r="S2613" s="2"/>
      <c r="T2613" s="2"/>
      <c r="U2613" s="24"/>
      <c r="V2613" s="2"/>
      <c r="W2613" s="2"/>
      <c r="X2613" s="2"/>
      <c r="Y2613" s="2"/>
      <c r="Z2613" s="2"/>
    </row>
    <row r="2614">
      <c r="A2614" s="23"/>
      <c r="B2614" s="2"/>
      <c r="C2614" s="2"/>
      <c r="D2614" s="2"/>
      <c r="E2614" s="2"/>
      <c r="F2614" s="2"/>
      <c r="G2614" s="2"/>
      <c r="H2614" s="2"/>
      <c r="I2614" s="2"/>
      <c r="J2614" s="2"/>
      <c r="K2614" s="2"/>
      <c r="L2614" s="24"/>
      <c r="M2614" s="24"/>
      <c r="N2614" s="24"/>
      <c r="O2614" s="24"/>
      <c r="P2614" s="24"/>
      <c r="Q2614" s="2"/>
      <c r="R2614" s="2"/>
      <c r="S2614" s="2"/>
      <c r="T2614" s="2"/>
      <c r="U2614" s="24"/>
      <c r="V2614" s="2"/>
      <c r="W2614" s="2"/>
      <c r="X2614" s="2"/>
      <c r="Y2614" s="2"/>
      <c r="Z2614" s="2"/>
    </row>
    <row r="2615">
      <c r="A2615" s="23"/>
      <c r="B2615" s="2"/>
      <c r="C2615" s="2"/>
      <c r="D2615" s="2"/>
      <c r="E2615" s="2"/>
      <c r="F2615" s="2"/>
      <c r="G2615" s="2"/>
      <c r="H2615" s="2"/>
      <c r="I2615" s="2"/>
      <c r="J2615" s="2"/>
      <c r="K2615" s="2"/>
      <c r="L2615" s="24"/>
      <c r="M2615" s="24"/>
      <c r="N2615" s="24"/>
      <c r="O2615" s="24"/>
      <c r="P2615" s="24"/>
      <c r="Q2615" s="2"/>
      <c r="R2615" s="2"/>
      <c r="S2615" s="2"/>
      <c r="T2615" s="2"/>
      <c r="U2615" s="24"/>
      <c r="V2615" s="2"/>
      <c r="W2615" s="2"/>
      <c r="X2615" s="2"/>
      <c r="Y2615" s="2"/>
      <c r="Z2615" s="2"/>
    </row>
    <row r="2616">
      <c r="A2616" s="23"/>
      <c r="B2616" s="2"/>
      <c r="C2616" s="2"/>
      <c r="D2616" s="2"/>
      <c r="E2616" s="2"/>
      <c r="F2616" s="2"/>
      <c r="G2616" s="2"/>
      <c r="H2616" s="2"/>
      <c r="I2616" s="2"/>
      <c r="J2616" s="2"/>
      <c r="K2616" s="2"/>
      <c r="L2616" s="24"/>
      <c r="M2616" s="24"/>
      <c r="N2616" s="24"/>
      <c r="O2616" s="24"/>
      <c r="P2616" s="24"/>
      <c r="Q2616" s="2"/>
      <c r="R2616" s="2"/>
      <c r="S2616" s="2"/>
      <c r="T2616" s="2"/>
      <c r="U2616" s="24"/>
      <c r="V2616" s="2"/>
      <c r="W2616" s="2"/>
      <c r="X2616" s="2"/>
      <c r="Y2616" s="2"/>
      <c r="Z2616" s="2"/>
    </row>
    <row r="2617">
      <c r="A2617" s="23"/>
      <c r="B2617" s="2"/>
      <c r="C2617" s="2"/>
      <c r="D2617" s="2"/>
      <c r="E2617" s="2"/>
      <c r="F2617" s="2"/>
      <c r="G2617" s="2"/>
      <c r="H2617" s="2"/>
      <c r="I2617" s="2"/>
      <c r="J2617" s="2"/>
      <c r="K2617" s="2"/>
      <c r="L2617" s="24"/>
      <c r="M2617" s="24"/>
      <c r="N2617" s="24"/>
      <c r="O2617" s="24"/>
      <c r="P2617" s="24"/>
      <c r="Q2617" s="2"/>
      <c r="R2617" s="2"/>
      <c r="S2617" s="2"/>
      <c r="T2617" s="2"/>
      <c r="U2617" s="24"/>
      <c r="V2617" s="2"/>
      <c r="W2617" s="2"/>
      <c r="X2617" s="2"/>
      <c r="Y2617" s="2"/>
      <c r="Z2617" s="2"/>
    </row>
    <row r="2618">
      <c r="A2618" s="23"/>
      <c r="B2618" s="2"/>
      <c r="C2618" s="2"/>
      <c r="D2618" s="2"/>
      <c r="E2618" s="2"/>
      <c r="F2618" s="2"/>
      <c r="G2618" s="2"/>
      <c r="H2618" s="2"/>
      <c r="I2618" s="2"/>
      <c r="J2618" s="2"/>
      <c r="K2618" s="2"/>
      <c r="L2618" s="24"/>
      <c r="M2618" s="24"/>
      <c r="N2618" s="24"/>
      <c r="O2618" s="24"/>
      <c r="P2618" s="24"/>
      <c r="Q2618" s="2"/>
      <c r="R2618" s="2"/>
      <c r="S2618" s="2"/>
      <c r="T2618" s="2"/>
      <c r="U2618" s="24"/>
      <c r="V2618" s="2"/>
      <c r="W2618" s="2"/>
      <c r="X2618" s="2"/>
      <c r="Y2618" s="2"/>
      <c r="Z2618" s="2"/>
    </row>
    <row r="2619">
      <c r="A2619" s="23"/>
      <c r="B2619" s="2"/>
      <c r="C2619" s="2"/>
      <c r="D2619" s="2"/>
      <c r="E2619" s="2"/>
      <c r="F2619" s="2"/>
      <c r="G2619" s="2"/>
      <c r="H2619" s="2"/>
      <c r="I2619" s="2"/>
      <c r="J2619" s="2"/>
      <c r="K2619" s="2"/>
      <c r="L2619" s="24"/>
      <c r="M2619" s="24"/>
      <c r="N2619" s="24"/>
      <c r="O2619" s="24"/>
      <c r="P2619" s="24"/>
      <c r="Q2619" s="2"/>
      <c r="R2619" s="2"/>
      <c r="S2619" s="2"/>
      <c r="T2619" s="2"/>
      <c r="U2619" s="24"/>
      <c r="V2619" s="2"/>
      <c r="W2619" s="2"/>
      <c r="X2619" s="2"/>
      <c r="Y2619" s="2"/>
      <c r="Z2619" s="2"/>
    </row>
    <row r="2620">
      <c r="A2620" s="23"/>
      <c r="B2620" s="2"/>
      <c r="C2620" s="2"/>
      <c r="D2620" s="2"/>
      <c r="E2620" s="2"/>
      <c r="F2620" s="2"/>
      <c r="G2620" s="2"/>
      <c r="H2620" s="2"/>
      <c r="I2620" s="2"/>
      <c r="J2620" s="2"/>
      <c r="K2620" s="2"/>
      <c r="L2620" s="24"/>
      <c r="M2620" s="24"/>
      <c r="N2620" s="24"/>
      <c r="O2620" s="24"/>
      <c r="P2620" s="24"/>
      <c r="Q2620" s="2"/>
      <c r="R2620" s="2"/>
      <c r="S2620" s="2"/>
      <c r="T2620" s="2"/>
      <c r="U2620" s="24"/>
      <c r="V2620" s="2"/>
      <c r="W2620" s="2"/>
      <c r="X2620" s="2"/>
      <c r="Y2620" s="2"/>
      <c r="Z2620" s="2"/>
    </row>
    <row r="2621">
      <c r="A2621" s="23"/>
      <c r="B2621" s="2"/>
      <c r="C2621" s="2"/>
      <c r="D2621" s="2"/>
      <c r="E2621" s="2"/>
      <c r="F2621" s="2"/>
      <c r="G2621" s="2"/>
      <c r="H2621" s="2"/>
      <c r="I2621" s="2"/>
      <c r="J2621" s="2"/>
      <c r="K2621" s="2"/>
      <c r="L2621" s="24"/>
      <c r="M2621" s="24"/>
      <c r="N2621" s="24"/>
      <c r="O2621" s="24"/>
      <c r="P2621" s="24"/>
      <c r="Q2621" s="2"/>
      <c r="R2621" s="2"/>
      <c r="S2621" s="2"/>
      <c r="T2621" s="2"/>
      <c r="U2621" s="24"/>
      <c r="V2621" s="2"/>
      <c r="W2621" s="2"/>
      <c r="X2621" s="2"/>
      <c r="Y2621" s="2"/>
      <c r="Z2621" s="2"/>
    </row>
    <row r="2622">
      <c r="A2622" s="23"/>
      <c r="B2622" s="2"/>
      <c r="C2622" s="2"/>
      <c r="D2622" s="2"/>
      <c r="E2622" s="2"/>
      <c r="F2622" s="2"/>
      <c r="G2622" s="2"/>
      <c r="H2622" s="2"/>
      <c r="I2622" s="2"/>
      <c r="J2622" s="2"/>
      <c r="K2622" s="2"/>
      <c r="L2622" s="24"/>
      <c r="M2622" s="24"/>
      <c r="N2622" s="24"/>
      <c r="O2622" s="24"/>
      <c r="P2622" s="24"/>
      <c r="Q2622" s="2"/>
      <c r="R2622" s="2"/>
      <c r="S2622" s="2"/>
      <c r="T2622" s="2"/>
      <c r="U2622" s="24"/>
      <c r="V2622" s="2"/>
      <c r="W2622" s="2"/>
      <c r="X2622" s="2"/>
      <c r="Y2622" s="2"/>
      <c r="Z2622" s="2"/>
    </row>
    <row r="2623">
      <c r="A2623" s="23"/>
      <c r="B2623" s="2"/>
      <c r="C2623" s="2"/>
      <c r="D2623" s="2"/>
      <c r="E2623" s="2"/>
      <c r="F2623" s="2"/>
      <c r="G2623" s="2"/>
      <c r="H2623" s="2"/>
      <c r="I2623" s="2"/>
      <c r="J2623" s="2"/>
      <c r="K2623" s="2"/>
      <c r="L2623" s="24"/>
      <c r="M2623" s="24"/>
      <c r="N2623" s="24"/>
      <c r="O2623" s="24"/>
      <c r="P2623" s="24"/>
      <c r="Q2623" s="2"/>
      <c r="R2623" s="2"/>
      <c r="S2623" s="2"/>
      <c r="T2623" s="2"/>
      <c r="U2623" s="24"/>
      <c r="V2623" s="2"/>
      <c r="W2623" s="2"/>
      <c r="X2623" s="2"/>
      <c r="Y2623" s="2"/>
      <c r="Z2623" s="2"/>
    </row>
    <row r="2624">
      <c r="A2624" s="23"/>
      <c r="B2624" s="2"/>
      <c r="C2624" s="2"/>
      <c r="D2624" s="2"/>
      <c r="E2624" s="2"/>
      <c r="F2624" s="2"/>
      <c r="G2624" s="2"/>
      <c r="H2624" s="2"/>
      <c r="I2624" s="2"/>
      <c r="J2624" s="2"/>
      <c r="K2624" s="2"/>
      <c r="L2624" s="24"/>
      <c r="M2624" s="24"/>
      <c r="N2624" s="24"/>
      <c r="O2624" s="24"/>
      <c r="P2624" s="24"/>
      <c r="Q2624" s="2"/>
      <c r="R2624" s="2"/>
      <c r="S2624" s="2"/>
      <c r="T2624" s="2"/>
      <c r="U2624" s="24"/>
      <c r="V2624" s="2"/>
      <c r="W2624" s="2"/>
      <c r="X2624" s="2"/>
      <c r="Y2624" s="2"/>
      <c r="Z2624" s="2"/>
    </row>
    <row r="2625">
      <c r="A2625" s="23"/>
      <c r="B2625" s="2"/>
      <c r="C2625" s="2"/>
      <c r="D2625" s="2"/>
      <c r="E2625" s="2"/>
      <c r="F2625" s="2"/>
      <c r="G2625" s="2"/>
      <c r="H2625" s="2"/>
      <c r="I2625" s="2"/>
      <c r="J2625" s="2"/>
      <c r="K2625" s="2"/>
      <c r="L2625" s="24"/>
      <c r="M2625" s="24"/>
      <c r="N2625" s="24"/>
      <c r="O2625" s="24"/>
      <c r="P2625" s="24"/>
      <c r="Q2625" s="2"/>
      <c r="R2625" s="2"/>
      <c r="S2625" s="2"/>
      <c r="T2625" s="2"/>
      <c r="U2625" s="24"/>
      <c r="V2625" s="2"/>
      <c r="W2625" s="2"/>
      <c r="X2625" s="2"/>
      <c r="Y2625" s="2"/>
      <c r="Z2625" s="2"/>
    </row>
    <row r="2626">
      <c r="A2626" s="23"/>
      <c r="B2626" s="2"/>
      <c r="C2626" s="2"/>
      <c r="D2626" s="2"/>
      <c r="E2626" s="2"/>
      <c r="F2626" s="2"/>
      <c r="G2626" s="2"/>
      <c r="H2626" s="2"/>
      <c r="I2626" s="2"/>
      <c r="J2626" s="2"/>
      <c r="K2626" s="2"/>
      <c r="L2626" s="24"/>
      <c r="M2626" s="24"/>
      <c r="N2626" s="24"/>
      <c r="O2626" s="24"/>
      <c r="P2626" s="24"/>
      <c r="Q2626" s="2"/>
      <c r="R2626" s="2"/>
      <c r="S2626" s="2"/>
      <c r="T2626" s="2"/>
      <c r="U2626" s="24"/>
      <c r="V2626" s="2"/>
      <c r="W2626" s="2"/>
      <c r="X2626" s="2"/>
      <c r="Y2626" s="2"/>
      <c r="Z2626" s="2"/>
    </row>
    <row r="2627">
      <c r="A2627" s="23"/>
      <c r="B2627" s="2"/>
      <c r="C2627" s="2"/>
      <c r="D2627" s="2"/>
      <c r="E2627" s="2"/>
      <c r="F2627" s="2"/>
      <c r="G2627" s="2"/>
      <c r="H2627" s="2"/>
      <c r="I2627" s="2"/>
      <c r="J2627" s="2"/>
      <c r="K2627" s="2"/>
      <c r="L2627" s="24"/>
      <c r="M2627" s="24"/>
      <c r="N2627" s="24"/>
      <c r="O2627" s="24"/>
      <c r="P2627" s="24"/>
      <c r="Q2627" s="2"/>
      <c r="R2627" s="2"/>
      <c r="S2627" s="2"/>
      <c r="T2627" s="2"/>
      <c r="U2627" s="24"/>
      <c r="V2627" s="2"/>
      <c r="W2627" s="2"/>
      <c r="X2627" s="2"/>
      <c r="Y2627" s="2"/>
      <c r="Z2627" s="2"/>
    </row>
    <row r="2628">
      <c r="A2628" s="23"/>
      <c r="B2628" s="2"/>
      <c r="C2628" s="2"/>
      <c r="D2628" s="2"/>
      <c r="E2628" s="2"/>
      <c r="F2628" s="2"/>
      <c r="G2628" s="2"/>
      <c r="H2628" s="2"/>
      <c r="I2628" s="2"/>
      <c r="J2628" s="2"/>
      <c r="K2628" s="2"/>
      <c r="L2628" s="24"/>
      <c r="M2628" s="24"/>
      <c r="N2628" s="24"/>
      <c r="O2628" s="24"/>
      <c r="P2628" s="24"/>
      <c r="Q2628" s="2"/>
      <c r="R2628" s="2"/>
      <c r="S2628" s="2"/>
      <c r="T2628" s="2"/>
      <c r="U2628" s="24"/>
      <c r="V2628" s="2"/>
      <c r="W2628" s="2"/>
      <c r="X2628" s="2"/>
      <c r="Y2628" s="2"/>
      <c r="Z2628" s="2"/>
    </row>
    <row r="2629">
      <c r="A2629" s="23"/>
      <c r="B2629" s="2"/>
      <c r="C2629" s="2"/>
      <c r="D2629" s="2"/>
      <c r="E2629" s="2"/>
      <c r="F2629" s="2"/>
      <c r="G2629" s="2"/>
      <c r="H2629" s="2"/>
      <c r="I2629" s="2"/>
      <c r="J2629" s="2"/>
      <c r="K2629" s="2"/>
      <c r="L2629" s="24"/>
      <c r="M2629" s="24"/>
      <c r="N2629" s="24"/>
      <c r="O2629" s="24"/>
      <c r="P2629" s="24"/>
      <c r="Q2629" s="2"/>
      <c r="R2629" s="2"/>
      <c r="S2629" s="2"/>
      <c r="T2629" s="2"/>
      <c r="U2629" s="24"/>
      <c r="V2629" s="2"/>
      <c r="W2629" s="2"/>
      <c r="X2629" s="2"/>
      <c r="Y2629" s="2"/>
      <c r="Z2629" s="2"/>
    </row>
    <row r="2630">
      <c r="A2630" s="23"/>
      <c r="B2630" s="2"/>
      <c r="C2630" s="2"/>
      <c r="D2630" s="2"/>
      <c r="E2630" s="2"/>
      <c r="F2630" s="2"/>
      <c r="G2630" s="2"/>
      <c r="H2630" s="2"/>
      <c r="I2630" s="2"/>
      <c r="J2630" s="2"/>
      <c r="K2630" s="2"/>
      <c r="L2630" s="24"/>
      <c r="M2630" s="24"/>
      <c r="N2630" s="24"/>
      <c r="O2630" s="24"/>
      <c r="P2630" s="24"/>
      <c r="Q2630" s="2"/>
      <c r="R2630" s="2"/>
      <c r="S2630" s="2"/>
      <c r="T2630" s="2"/>
      <c r="U2630" s="24"/>
      <c r="V2630" s="2"/>
      <c r="W2630" s="2"/>
      <c r="X2630" s="2"/>
      <c r="Y2630" s="2"/>
      <c r="Z2630" s="2"/>
    </row>
    <row r="2631">
      <c r="A2631" s="23"/>
      <c r="B2631" s="2"/>
      <c r="C2631" s="2"/>
      <c r="D2631" s="2"/>
      <c r="E2631" s="2"/>
      <c r="F2631" s="2"/>
      <c r="G2631" s="2"/>
      <c r="H2631" s="2"/>
      <c r="I2631" s="2"/>
      <c r="J2631" s="2"/>
      <c r="K2631" s="2"/>
      <c r="L2631" s="24"/>
      <c r="M2631" s="24"/>
      <c r="N2631" s="24"/>
      <c r="O2631" s="24"/>
      <c r="P2631" s="24"/>
      <c r="Q2631" s="2"/>
      <c r="R2631" s="2"/>
      <c r="S2631" s="2"/>
      <c r="T2631" s="2"/>
      <c r="U2631" s="24"/>
      <c r="V2631" s="2"/>
      <c r="W2631" s="2"/>
      <c r="X2631" s="2"/>
      <c r="Y2631" s="2"/>
      <c r="Z2631" s="2"/>
    </row>
    <row r="2632">
      <c r="A2632" s="23"/>
      <c r="B2632" s="2"/>
      <c r="C2632" s="2"/>
      <c r="D2632" s="2"/>
      <c r="E2632" s="2"/>
      <c r="F2632" s="2"/>
      <c r="G2632" s="2"/>
      <c r="H2632" s="2"/>
      <c r="I2632" s="2"/>
      <c r="J2632" s="2"/>
      <c r="K2632" s="2"/>
      <c r="L2632" s="24"/>
      <c r="M2632" s="24"/>
      <c r="N2632" s="24"/>
      <c r="O2632" s="24"/>
      <c r="P2632" s="24"/>
      <c r="Q2632" s="2"/>
      <c r="R2632" s="2"/>
      <c r="S2632" s="2"/>
      <c r="T2632" s="2"/>
      <c r="U2632" s="24"/>
      <c r="V2632" s="2"/>
      <c r="W2632" s="2"/>
      <c r="X2632" s="2"/>
      <c r="Y2632" s="2"/>
      <c r="Z2632" s="2"/>
    </row>
    <row r="2633">
      <c r="A2633" s="23"/>
      <c r="B2633" s="2"/>
      <c r="C2633" s="2"/>
      <c r="D2633" s="2"/>
      <c r="E2633" s="2"/>
      <c r="F2633" s="2"/>
      <c r="G2633" s="2"/>
      <c r="H2633" s="2"/>
      <c r="I2633" s="2"/>
      <c r="J2633" s="2"/>
      <c r="K2633" s="2"/>
      <c r="L2633" s="24"/>
      <c r="M2633" s="24"/>
      <c r="N2633" s="24"/>
      <c r="O2633" s="24"/>
      <c r="P2633" s="24"/>
      <c r="Q2633" s="2"/>
      <c r="R2633" s="2"/>
      <c r="S2633" s="2"/>
      <c r="T2633" s="2"/>
      <c r="U2633" s="24"/>
      <c r="V2633" s="2"/>
      <c r="W2633" s="2"/>
      <c r="X2633" s="2"/>
      <c r="Y2633" s="2"/>
      <c r="Z2633" s="2"/>
    </row>
    <row r="2634">
      <c r="A2634" s="23"/>
      <c r="B2634" s="2"/>
      <c r="C2634" s="2"/>
      <c r="D2634" s="2"/>
      <c r="E2634" s="2"/>
      <c r="F2634" s="2"/>
      <c r="G2634" s="2"/>
      <c r="H2634" s="2"/>
      <c r="I2634" s="2"/>
      <c r="J2634" s="2"/>
      <c r="K2634" s="2"/>
      <c r="L2634" s="24"/>
      <c r="M2634" s="24"/>
      <c r="N2634" s="24"/>
      <c r="O2634" s="24"/>
      <c r="P2634" s="24"/>
      <c r="Q2634" s="2"/>
      <c r="R2634" s="2"/>
      <c r="S2634" s="2"/>
      <c r="T2634" s="2"/>
      <c r="U2634" s="24"/>
      <c r="V2634" s="2"/>
      <c r="W2634" s="2"/>
      <c r="X2634" s="2"/>
      <c r="Y2634" s="2"/>
      <c r="Z2634" s="2"/>
    </row>
    <row r="2635">
      <c r="A2635" s="23"/>
      <c r="B2635" s="2"/>
      <c r="C2635" s="2"/>
      <c r="D2635" s="2"/>
      <c r="E2635" s="2"/>
      <c r="F2635" s="2"/>
      <c r="G2635" s="2"/>
      <c r="H2635" s="2"/>
      <c r="I2635" s="2"/>
      <c r="J2635" s="2"/>
      <c r="K2635" s="2"/>
      <c r="L2635" s="24"/>
      <c r="M2635" s="24"/>
      <c r="N2635" s="24"/>
      <c r="O2635" s="24"/>
      <c r="P2635" s="24"/>
      <c r="Q2635" s="2"/>
      <c r="R2635" s="2"/>
      <c r="S2635" s="2"/>
      <c r="T2635" s="2"/>
      <c r="U2635" s="24"/>
      <c r="V2635" s="2"/>
      <c r="W2635" s="2"/>
      <c r="X2635" s="2"/>
      <c r="Y2635" s="2"/>
      <c r="Z2635" s="2"/>
    </row>
    <row r="2636">
      <c r="A2636" s="23"/>
      <c r="B2636" s="2"/>
      <c r="C2636" s="2"/>
      <c r="D2636" s="2"/>
      <c r="E2636" s="2"/>
      <c r="F2636" s="2"/>
      <c r="G2636" s="2"/>
      <c r="H2636" s="2"/>
      <c r="I2636" s="2"/>
      <c r="J2636" s="2"/>
      <c r="K2636" s="2"/>
      <c r="L2636" s="24"/>
      <c r="M2636" s="24"/>
      <c r="N2636" s="24"/>
      <c r="O2636" s="24"/>
      <c r="P2636" s="24"/>
      <c r="Q2636" s="2"/>
      <c r="R2636" s="2"/>
      <c r="S2636" s="2"/>
      <c r="T2636" s="2"/>
      <c r="U2636" s="24"/>
      <c r="V2636" s="2"/>
      <c r="W2636" s="2"/>
      <c r="X2636" s="2"/>
      <c r="Y2636" s="2"/>
      <c r="Z2636" s="2"/>
    </row>
    <row r="2637">
      <c r="A2637" s="23"/>
      <c r="B2637" s="2"/>
      <c r="C2637" s="2"/>
      <c r="D2637" s="2"/>
      <c r="E2637" s="2"/>
      <c r="F2637" s="2"/>
      <c r="G2637" s="2"/>
      <c r="H2637" s="2"/>
      <c r="I2637" s="2"/>
      <c r="J2637" s="2"/>
      <c r="K2637" s="2"/>
      <c r="L2637" s="24"/>
      <c r="M2637" s="24"/>
      <c r="N2637" s="24"/>
      <c r="O2637" s="24"/>
      <c r="P2637" s="24"/>
      <c r="Q2637" s="2"/>
      <c r="R2637" s="2"/>
      <c r="S2637" s="2"/>
      <c r="T2637" s="2"/>
      <c r="U2637" s="24"/>
      <c r="V2637" s="2"/>
      <c r="W2637" s="2"/>
      <c r="X2637" s="2"/>
      <c r="Y2637" s="2"/>
      <c r="Z2637" s="2"/>
    </row>
    <row r="2638">
      <c r="A2638" s="23"/>
      <c r="B2638" s="2"/>
      <c r="C2638" s="2"/>
      <c r="D2638" s="2"/>
      <c r="E2638" s="2"/>
      <c r="F2638" s="2"/>
      <c r="G2638" s="2"/>
      <c r="H2638" s="2"/>
      <c r="I2638" s="2"/>
      <c r="J2638" s="2"/>
      <c r="K2638" s="2"/>
      <c r="L2638" s="24"/>
      <c r="M2638" s="24"/>
      <c r="N2638" s="24"/>
      <c r="O2638" s="24"/>
      <c r="P2638" s="24"/>
      <c r="Q2638" s="2"/>
      <c r="R2638" s="2"/>
      <c r="S2638" s="2"/>
      <c r="T2638" s="2"/>
      <c r="U2638" s="24"/>
      <c r="V2638" s="2"/>
      <c r="W2638" s="2"/>
      <c r="X2638" s="2"/>
      <c r="Y2638" s="2"/>
      <c r="Z2638" s="2"/>
    </row>
    <row r="2639">
      <c r="A2639" s="23"/>
      <c r="B2639" s="2"/>
      <c r="C2639" s="2"/>
      <c r="D2639" s="2"/>
      <c r="E2639" s="2"/>
      <c r="F2639" s="2"/>
      <c r="G2639" s="2"/>
      <c r="H2639" s="2"/>
      <c r="I2639" s="2"/>
      <c r="J2639" s="2"/>
      <c r="K2639" s="2"/>
      <c r="L2639" s="24"/>
      <c r="M2639" s="24"/>
      <c r="N2639" s="24"/>
      <c r="O2639" s="24"/>
      <c r="P2639" s="24"/>
      <c r="Q2639" s="2"/>
      <c r="R2639" s="2"/>
      <c r="S2639" s="2"/>
      <c r="T2639" s="2"/>
      <c r="U2639" s="24"/>
      <c r="V2639" s="2"/>
      <c r="W2639" s="2"/>
      <c r="X2639" s="2"/>
      <c r="Y2639" s="2"/>
      <c r="Z2639" s="2"/>
    </row>
    <row r="2640">
      <c r="A2640" s="23"/>
      <c r="B2640" s="2"/>
      <c r="C2640" s="2"/>
      <c r="D2640" s="2"/>
      <c r="E2640" s="2"/>
      <c r="F2640" s="2"/>
      <c r="G2640" s="2"/>
      <c r="H2640" s="2"/>
      <c r="I2640" s="2"/>
      <c r="J2640" s="2"/>
      <c r="K2640" s="2"/>
      <c r="L2640" s="24"/>
      <c r="M2640" s="24"/>
      <c r="N2640" s="24"/>
      <c r="O2640" s="24"/>
      <c r="P2640" s="24"/>
      <c r="Q2640" s="2"/>
      <c r="R2640" s="2"/>
      <c r="S2640" s="2"/>
      <c r="T2640" s="2"/>
      <c r="U2640" s="24"/>
      <c r="V2640" s="2"/>
      <c r="W2640" s="2"/>
      <c r="X2640" s="2"/>
      <c r="Y2640" s="2"/>
      <c r="Z2640" s="2"/>
    </row>
    <row r="2641">
      <c r="A2641" s="23"/>
      <c r="B2641" s="2"/>
      <c r="C2641" s="2"/>
      <c r="D2641" s="2"/>
      <c r="E2641" s="2"/>
      <c r="F2641" s="2"/>
      <c r="G2641" s="2"/>
      <c r="H2641" s="2"/>
      <c r="I2641" s="2"/>
      <c r="J2641" s="2"/>
      <c r="K2641" s="2"/>
      <c r="L2641" s="24"/>
      <c r="M2641" s="24"/>
      <c r="N2641" s="24"/>
      <c r="O2641" s="24"/>
      <c r="P2641" s="24"/>
      <c r="Q2641" s="2"/>
      <c r="R2641" s="2"/>
      <c r="S2641" s="2"/>
      <c r="T2641" s="2"/>
      <c r="U2641" s="24"/>
      <c r="V2641" s="2"/>
      <c r="W2641" s="2"/>
      <c r="X2641" s="2"/>
      <c r="Y2641" s="2"/>
      <c r="Z2641" s="2"/>
    </row>
    <row r="2642">
      <c r="A2642" s="23"/>
      <c r="B2642" s="2"/>
      <c r="C2642" s="2"/>
      <c r="D2642" s="2"/>
      <c r="E2642" s="2"/>
      <c r="F2642" s="2"/>
      <c r="G2642" s="2"/>
      <c r="H2642" s="2"/>
      <c r="I2642" s="2"/>
      <c r="J2642" s="2"/>
      <c r="K2642" s="2"/>
      <c r="L2642" s="24"/>
      <c r="M2642" s="24"/>
      <c r="N2642" s="24"/>
      <c r="O2642" s="24"/>
      <c r="P2642" s="24"/>
      <c r="Q2642" s="2"/>
      <c r="R2642" s="2"/>
      <c r="S2642" s="2"/>
      <c r="T2642" s="2"/>
      <c r="U2642" s="24"/>
      <c r="V2642" s="2"/>
      <c r="W2642" s="2"/>
      <c r="X2642" s="2"/>
      <c r="Y2642" s="2"/>
      <c r="Z2642" s="2"/>
    </row>
    <row r="2643">
      <c r="A2643" s="23"/>
      <c r="B2643" s="2"/>
      <c r="C2643" s="2"/>
      <c r="D2643" s="2"/>
      <c r="E2643" s="2"/>
      <c r="F2643" s="2"/>
      <c r="G2643" s="2"/>
      <c r="H2643" s="2"/>
      <c r="I2643" s="2"/>
      <c r="J2643" s="2"/>
      <c r="K2643" s="2"/>
      <c r="L2643" s="24"/>
      <c r="M2643" s="24"/>
      <c r="N2643" s="24"/>
      <c r="O2643" s="24"/>
      <c r="P2643" s="24"/>
      <c r="Q2643" s="2"/>
      <c r="R2643" s="2"/>
      <c r="S2643" s="2"/>
      <c r="T2643" s="2"/>
      <c r="U2643" s="24"/>
      <c r="V2643" s="2"/>
      <c r="W2643" s="2"/>
      <c r="X2643" s="2"/>
      <c r="Y2643" s="2"/>
      <c r="Z2643" s="2"/>
    </row>
    <row r="2644">
      <c r="A2644" s="23"/>
      <c r="B2644" s="2"/>
      <c r="C2644" s="2"/>
      <c r="D2644" s="2"/>
      <c r="E2644" s="2"/>
      <c r="F2644" s="2"/>
      <c r="G2644" s="2"/>
      <c r="H2644" s="2"/>
      <c r="I2644" s="2"/>
      <c r="J2644" s="2"/>
      <c r="K2644" s="2"/>
      <c r="L2644" s="24"/>
      <c r="M2644" s="24"/>
      <c r="N2644" s="24"/>
      <c r="O2644" s="24"/>
      <c r="P2644" s="24"/>
      <c r="Q2644" s="2"/>
      <c r="R2644" s="2"/>
      <c r="S2644" s="2"/>
      <c r="T2644" s="2"/>
      <c r="U2644" s="24"/>
      <c r="V2644" s="2"/>
      <c r="W2644" s="2"/>
      <c r="X2644" s="2"/>
      <c r="Y2644" s="2"/>
      <c r="Z2644" s="2"/>
    </row>
    <row r="2645">
      <c r="A2645" s="23"/>
      <c r="B2645" s="2"/>
      <c r="C2645" s="2"/>
      <c r="D2645" s="2"/>
      <c r="E2645" s="2"/>
      <c r="F2645" s="2"/>
      <c r="G2645" s="2"/>
      <c r="H2645" s="2"/>
      <c r="I2645" s="2"/>
      <c r="J2645" s="2"/>
      <c r="K2645" s="2"/>
      <c r="L2645" s="24"/>
      <c r="M2645" s="24"/>
      <c r="N2645" s="24"/>
      <c r="O2645" s="24"/>
      <c r="P2645" s="24"/>
      <c r="Q2645" s="2"/>
      <c r="R2645" s="2"/>
      <c r="S2645" s="2"/>
      <c r="T2645" s="2"/>
      <c r="U2645" s="24"/>
      <c r="V2645" s="2"/>
      <c r="W2645" s="2"/>
      <c r="X2645" s="2"/>
      <c r="Y2645" s="2"/>
      <c r="Z2645" s="2"/>
    </row>
    <row r="2646">
      <c r="A2646" s="23"/>
      <c r="B2646" s="2"/>
      <c r="C2646" s="2"/>
      <c r="D2646" s="2"/>
      <c r="E2646" s="2"/>
      <c r="F2646" s="2"/>
      <c r="G2646" s="2"/>
      <c r="H2646" s="2"/>
      <c r="I2646" s="2"/>
      <c r="J2646" s="2"/>
      <c r="K2646" s="2"/>
      <c r="L2646" s="24"/>
      <c r="M2646" s="24"/>
      <c r="N2646" s="24"/>
      <c r="O2646" s="24"/>
      <c r="P2646" s="24"/>
      <c r="Q2646" s="2"/>
      <c r="R2646" s="2"/>
      <c r="S2646" s="2"/>
      <c r="T2646" s="2"/>
      <c r="U2646" s="24"/>
      <c r="V2646" s="2"/>
      <c r="W2646" s="2"/>
      <c r="X2646" s="2"/>
      <c r="Y2646" s="2"/>
      <c r="Z2646" s="2"/>
    </row>
    <row r="2647">
      <c r="A2647" s="23"/>
      <c r="B2647" s="2"/>
      <c r="C2647" s="2"/>
      <c r="D2647" s="2"/>
      <c r="E2647" s="2"/>
      <c r="F2647" s="2"/>
      <c r="G2647" s="2"/>
      <c r="H2647" s="2"/>
      <c r="I2647" s="2"/>
      <c r="J2647" s="2"/>
      <c r="K2647" s="2"/>
      <c r="L2647" s="24"/>
      <c r="M2647" s="24"/>
      <c r="N2647" s="24"/>
      <c r="O2647" s="24"/>
      <c r="P2647" s="24"/>
      <c r="Q2647" s="2"/>
      <c r="R2647" s="2"/>
      <c r="S2647" s="2"/>
      <c r="T2647" s="2"/>
      <c r="U2647" s="24"/>
      <c r="V2647" s="2"/>
      <c r="W2647" s="2"/>
      <c r="X2647" s="2"/>
      <c r="Y2647" s="2"/>
      <c r="Z2647" s="2"/>
    </row>
    <row r="2648">
      <c r="A2648" s="23"/>
      <c r="B2648" s="2"/>
      <c r="C2648" s="2"/>
      <c r="D2648" s="2"/>
      <c r="E2648" s="2"/>
      <c r="F2648" s="2"/>
      <c r="G2648" s="2"/>
      <c r="H2648" s="2"/>
      <c r="I2648" s="2"/>
      <c r="J2648" s="2"/>
      <c r="K2648" s="2"/>
      <c r="L2648" s="24"/>
      <c r="M2648" s="24"/>
      <c r="N2648" s="24"/>
      <c r="O2648" s="24"/>
      <c r="P2648" s="24"/>
      <c r="Q2648" s="2"/>
      <c r="R2648" s="2"/>
      <c r="S2648" s="2"/>
      <c r="T2648" s="2"/>
      <c r="U2648" s="24"/>
      <c r="V2648" s="2"/>
      <c r="W2648" s="2"/>
      <c r="X2648" s="2"/>
      <c r="Y2648" s="2"/>
      <c r="Z2648" s="2"/>
    </row>
    <row r="2649">
      <c r="A2649" s="23"/>
      <c r="B2649" s="2"/>
      <c r="C2649" s="2"/>
      <c r="D2649" s="2"/>
      <c r="E2649" s="2"/>
      <c r="F2649" s="2"/>
      <c r="G2649" s="2"/>
      <c r="H2649" s="2"/>
      <c r="I2649" s="2"/>
      <c r="J2649" s="2"/>
      <c r="K2649" s="2"/>
      <c r="L2649" s="24"/>
      <c r="M2649" s="24"/>
      <c r="N2649" s="24"/>
      <c r="O2649" s="24"/>
      <c r="P2649" s="24"/>
      <c r="Q2649" s="2"/>
      <c r="R2649" s="2"/>
      <c r="S2649" s="2"/>
      <c r="T2649" s="2"/>
      <c r="U2649" s="24"/>
      <c r="V2649" s="2"/>
      <c r="W2649" s="2"/>
      <c r="X2649" s="2"/>
      <c r="Y2649" s="2"/>
      <c r="Z2649" s="2"/>
    </row>
    <row r="2650">
      <c r="A2650" s="23"/>
      <c r="B2650" s="2"/>
      <c r="C2650" s="2"/>
      <c r="D2650" s="2"/>
      <c r="E2650" s="2"/>
      <c r="F2650" s="2"/>
      <c r="G2650" s="2"/>
      <c r="H2650" s="2"/>
      <c r="I2650" s="2"/>
      <c r="J2650" s="2"/>
      <c r="K2650" s="2"/>
      <c r="L2650" s="24"/>
      <c r="M2650" s="24"/>
      <c r="N2650" s="24"/>
      <c r="O2650" s="24"/>
      <c r="P2650" s="24"/>
      <c r="Q2650" s="2"/>
      <c r="R2650" s="2"/>
      <c r="S2650" s="2"/>
      <c r="T2650" s="2"/>
      <c r="U2650" s="24"/>
      <c r="V2650" s="2"/>
      <c r="W2650" s="2"/>
      <c r="X2650" s="2"/>
      <c r="Y2650" s="2"/>
      <c r="Z2650" s="2"/>
    </row>
    <row r="2651">
      <c r="A2651" s="23"/>
      <c r="B2651" s="2"/>
      <c r="C2651" s="2"/>
      <c r="D2651" s="2"/>
      <c r="E2651" s="2"/>
      <c r="F2651" s="2"/>
      <c r="G2651" s="2"/>
      <c r="H2651" s="2"/>
      <c r="I2651" s="2"/>
      <c r="J2651" s="2"/>
      <c r="K2651" s="2"/>
      <c r="L2651" s="24"/>
      <c r="M2651" s="24"/>
      <c r="N2651" s="24"/>
      <c r="O2651" s="24"/>
      <c r="P2651" s="24"/>
      <c r="Q2651" s="2"/>
      <c r="R2651" s="2"/>
      <c r="S2651" s="2"/>
      <c r="T2651" s="2"/>
      <c r="U2651" s="24"/>
      <c r="V2651" s="2"/>
      <c r="W2651" s="2"/>
      <c r="X2651" s="2"/>
      <c r="Y2651" s="2"/>
      <c r="Z2651" s="2"/>
    </row>
    <row r="2652">
      <c r="A2652" s="23"/>
      <c r="B2652" s="2"/>
      <c r="C2652" s="2"/>
      <c r="D2652" s="2"/>
      <c r="E2652" s="2"/>
      <c r="F2652" s="2"/>
      <c r="G2652" s="2"/>
      <c r="H2652" s="2"/>
      <c r="I2652" s="2"/>
      <c r="J2652" s="2"/>
      <c r="K2652" s="2"/>
      <c r="L2652" s="24"/>
      <c r="M2652" s="24"/>
      <c r="N2652" s="24"/>
      <c r="O2652" s="24"/>
      <c r="P2652" s="24"/>
      <c r="Q2652" s="2"/>
      <c r="R2652" s="2"/>
      <c r="S2652" s="2"/>
      <c r="T2652" s="2"/>
      <c r="U2652" s="24"/>
      <c r="V2652" s="2"/>
      <c r="W2652" s="2"/>
      <c r="X2652" s="2"/>
      <c r="Y2652" s="2"/>
      <c r="Z2652" s="2"/>
    </row>
    <row r="2653">
      <c r="A2653" s="23"/>
      <c r="B2653" s="2"/>
      <c r="C2653" s="2"/>
      <c r="D2653" s="2"/>
      <c r="E2653" s="2"/>
      <c r="F2653" s="2"/>
      <c r="G2653" s="2"/>
      <c r="H2653" s="2"/>
      <c r="I2653" s="2"/>
      <c r="J2653" s="2"/>
      <c r="K2653" s="2"/>
      <c r="L2653" s="24"/>
      <c r="M2653" s="24"/>
      <c r="N2653" s="24"/>
      <c r="O2653" s="24"/>
      <c r="P2653" s="24"/>
      <c r="Q2653" s="2"/>
      <c r="R2653" s="2"/>
      <c r="S2653" s="2"/>
      <c r="T2653" s="2"/>
      <c r="U2653" s="24"/>
      <c r="V2653" s="2"/>
      <c r="W2653" s="2"/>
      <c r="X2653" s="2"/>
      <c r="Y2653" s="2"/>
      <c r="Z2653" s="2"/>
    </row>
    <row r="2654">
      <c r="A2654" s="23"/>
      <c r="B2654" s="2"/>
      <c r="C2654" s="2"/>
      <c r="D2654" s="2"/>
      <c r="E2654" s="2"/>
      <c r="F2654" s="2"/>
      <c r="G2654" s="2"/>
      <c r="H2654" s="2"/>
      <c r="I2654" s="2"/>
      <c r="J2654" s="2"/>
      <c r="K2654" s="2"/>
      <c r="L2654" s="24"/>
      <c r="M2654" s="24"/>
      <c r="N2654" s="24"/>
      <c r="O2654" s="24"/>
      <c r="P2654" s="24"/>
      <c r="Q2654" s="2"/>
      <c r="R2654" s="2"/>
      <c r="S2654" s="2"/>
      <c r="T2654" s="2"/>
      <c r="U2654" s="24"/>
      <c r="V2654" s="2"/>
      <c r="W2654" s="2"/>
      <c r="X2654" s="2"/>
      <c r="Y2654" s="2"/>
      <c r="Z2654" s="2"/>
    </row>
    <row r="2655">
      <c r="A2655" s="23"/>
      <c r="B2655" s="2"/>
      <c r="C2655" s="2"/>
      <c r="D2655" s="2"/>
      <c r="E2655" s="2"/>
      <c r="F2655" s="2"/>
      <c r="G2655" s="2"/>
      <c r="H2655" s="2"/>
      <c r="I2655" s="2"/>
      <c r="J2655" s="2"/>
      <c r="K2655" s="2"/>
      <c r="L2655" s="24"/>
      <c r="M2655" s="24"/>
      <c r="N2655" s="24"/>
      <c r="O2655" s="24"/>
      <c r="P2655" s="24"/>
      <c r="Q2655" s="2"/>
      <c r="R2655" s="2"/>
      <c r="S2655" s="2"/>
      <c r="T2655" s="2"/>
      <c r="U2655" s="24"/>
      <c r="V2655" s="2"/>
      <c r="W2655" s="2"/>
      <c r="X2655" s="2"/>
      <c r="Y2655" s="2"/>
      <c r="Z2655" s="2"/>
    </row>
    <row r="2656">
      <c r="A2656" s="23"/>
      <c r="B2656" s="2"/>
      <c r="C2656" s="2"/>
      <c r="D2656" s="2"/>
      <c r="E2656" s="2"/>
      <c r="F2656" s="2"/>
      <c r="G2656" s="2"/>
      <c r="H2656" s="2"/>
      <c r="I2656" s="2"/>
      <c r="J2656" s="2"/>
      <c r="K2656" s="2"/>
      <c r="L2656" s="24"/>
      <c r="M2656" s="24"/>
      <c r="N2656" s="24"/>
      <c r="O2656" s="24"/>
      <c r="P2656" s="24"/>
      <c r="Q2656" s="2"/>
      <c r="R2656" s="2"/>
      <c r="S2656" s="2"/>
      <c r="T2656" s="2"/>
      <c r="U2656" s="24"/>
      <c r="V2656" s="2"/>
      <c r="W2656" s="2"/>
      <c r="X2656" s="2"/>
      <c r="Y2656" s="2"/>
      <c r="Z2656" s="2"/>
    </row>
    <row r="2657">
      <c r="A2657" s="23"/>
      <c r="B2657" s="2"/>
      <c r="C2657" s="2"/>
      <c r="D2657" s="2"/>
      <c r="E2657" s="2"/>
      <c r="F2657" s="2"/>
      <c r="G2657" s="2"/>
      <c r="H2657" s="2"/>
      <c r="I2657" s="2"/>
      <c r="J2657" s="2"/>
      <c r="K2657" s="2"/>
      <c r="L2657" s="24"/>
      <c r="M2657" s="24"/>
      <c r="N2657" s="24"/>
      <c r="O2657" s="24"/>
      <c r="P2657" s="24"/>
      <c r="Q2657" s="2"/>
      <c r="R2657" s="2"/>
      <c r="S2657" s="2"/>
      <c r="T2657" s="2"/>
      <c r="U2657" s="24"/>
      <c r="V2657" s="2"/>
      <c r="W2657" s="2"/>
      <c r="X2657" s="2"/>
      <c r="Y2657" s="2"/>
      <c r="Z2657" s="2"/>
    </row>
    <row r="2658">
      <c r="A2658" s="23"/>
      <c r="B2658" s="2"/>
      <c r="C2658" s="2"/>
      <c r="D2658" s="2"/>
      <c r="E2658" s="2"/>
      <c r="F2658" s="2"/>
      <c r="G2658" s="2"/>
      <c r="H2658" s="2"/>
      <c r="I2658" s="2"/>
      <c r="J2658" s="2"/>
      <c r="K2658" s="2"/>
      <c r="L2658" s="24"/>
      <c r="M2658" s="24"/>
      <c r="N2658" s="24"/>
      <c r="O2658" s="24"/>
      <c r="P2658" s="24"/>
      <c r="Q2658" s="2"/>
      <c r="R2658" s="2"/>
      <c r="S2658" s="2"/>
      <c r="T2658" s="2"/>
      <c r="U2658" s="24"/>
      <c r="V2658" s="2"/>
      <c r="W2658" s="2"/>
      <c r="X2658" s="2"/>
      <c r="Y2658" s="2"/>
      <c r="Z2658" s="2"/>
    </row>
    <row r="2659">
      <c r="A2659" s="23"/>
      <c r="B2659" s="2"/>
      <c r="C2659" s="2"/>
      <c r="D2659" s="2"/>
      <c r="E2659" s="2"/>
      <c r="F2659" s="2"/>
      <c r="G2659" s="2"/>
      <c r="H2659" s="2"/>
      <c r="I2659" s="2"/>
      <c r="J2659" s="2"/>
      <c r="K2659" s="2"/>
      <c r="L2659" s="24"/>
      <c r="M2659" s="24"/>
      <c r="N2659" s="24"/>
      <c r="O2659" s="24"/>
      <c r="P2659" s="24"/>
      <c r="Q2659" s="2"/>
      <c r="R2659" s="2"/>
      <c r="S2659" s="2"/>
      <c r="T2659" s="2"/>
      <c r="U2659" s="24"/>
      <c r="V2659" s="2"/>
      <c r="W2659" s="2"/>
      <c r="X2659" s="2"/>
      <c r="Y2659" s="2"/>
      <c r="Z2659" s="2"/>
    </row>
    <row r="2660">
      <c r="A2660" s="23"/>
      <c r="B2660" s="2"/>
      <c r="C2660" s="2"/>
      <c r="D2660" s="2"/>
      <c r="E2660" s="2"/>
      <c r="F2660" s="2"/>
      <c r="G2660" s="2"/>
      <c r="H2660" s="2"/>
      <c r="I2660" s="2"/>
      <c r="J2660" s="2"/>
      <c r="K2660" s="2"/>
      <c r="L2660" s="24"/>
      <c r="M2660" s="24"/>
      <c r="N2660" s="24"/>
      <c r="O2660" s="24"/>
      <c r="P2660" s="24"/>
      <c r="Q2660" s="2"/>
      <c r="R2660" s="2"/>
      <c r="S2660" s="2"/>
      <c r="T2660" s="2"/>
      <c r="U2660" s="24"/>
      <c r="V2660" s="2"/>
      <c r="W2660" s="2"/>
      <c r="X2660" s="2"/>
      <c r="Y2660" s="2"/>
      <c r="Z2660" s="2"/>
    </row>
    <row r="2661">
      <c r="A2661" s="23"/>
      <c r="B2661" s="2"/>
      <c r="C2661" s="2"/>
      <c r="D2661" s="2"/>
      <c r="E2661" s="2"/>
      <c r="F2661" s="2"/>
      <c r="G2661" s="2"/>
      <c r="H2661" s="2"/>
      <c r="I2661" s="2"/>
      <c r="J2661" s="2"/>
      <c r="K2661" s="2"/>
      <c r="L2661" s="24"/>
      <c r="M2661" s="24"/>
      <c r="N2661" s="24"/>
      <c r="O2661" s="24"/>
      <c r="P2661" s="24"/>
      <c r="Q2661" s="2"/>
      <c r="R2661" s="2"/>
      <c r="S2661" s="2"/>
      <c r="T2661" s="2"/>
      <c r="U2661" s="24"/>
      <c r="V2661" s="2"/>
      <c r="W2661" s="2"/>
      <c r="X2661" s="2"/>
      <c r="Y2661" s="2"/>
      <c r="Z2661" s="2"/>
    </row>
    <row r="2662">
      <c r="A2662" s="23"/>
      <c r="B2662" s="2"/>
      <c r="C2662" s="2"/>
      <c r="D2662" s="2"/>
      <c r="E2662" s="2"/>
      <c r="F2662" s="2"/>
      <c r="G2662" s="2"/>
      <c r="H2662" s="2"/>
      <c r="I2662" s="2"/>
      <c r="J2662" s="2"/>
      <c r="K2662" s="2"/>
      <c r="L2662" s="24"/>
      <c r="M2662" s="24"/>
      <c r="N2662" s="24"/>
      <c r="O2662" s="24"/>
      <c r="P2662" s="24"/>
      <c r="Q2662" s="2"/>
      <c r="R2662" s="2"/>
      <c r="S2662" s="2"/>
      <c r="T2662" s="2"/>
      <c r="U2662" s="24"/>
      <c r="V2662" s="2"/>
      <c r="W2662" s="2"/>
      <c r="X2662" s="2"/>
      <c r="Y2662" s="2"/>
      <c r="Z2662" s="2"/>
    </row>
    <row r="2663">
      <c r="A2663" s="23"/>
      <c r="B2663" s="2"/>
      <c r="C2663" s="2"/>
      <c r="D2663" s="2"/>
      <c r="E2663" s="2"/>
      <c r="F2663" s="2"/>
      <c r="G2663" s="2"/>
      <c r="H2663" s="2"/>
      <c r="I2663" s="2"/>
      <c r="J2663" s="2"/>
      <c r="K2663" s="2"/>
      <c r="L2663" s="24"/>
      <c r="M2663" s="24"/>
      <c r="N2663" s="24"/>
      <c r="O2663" s="24"/>
      <c r="P2663" s="24"/>
      <c r="Q2663" s="2"/>
      <c r="R2663" s="2"/>
      <c r="S2663" s="2"/>
      <c r="T2663" s="2"/>
      <c r="U2663" s="24"/>
      <c r="V2663" s="2"/>
      <c r="W2663" s="2"/>
      <c r="X2663" s="2"/>
      <c r="Y2663" s="2"/>
      <c r="Z2663" s="2"/>
    </row>
    <row r="2664">
      <c r="A2664" s="23"/>
      <c r="B2664" s="2"/>
      <c r="C2664" s="2"/>
      <c r="D2664" s="2"/>
      <c r="E2664" s="2"/>
      <c r="F2664" s="2"/>
      <c r="G2664" s="2"/>
      <c r="H2664" s="2"/>
      <c r="I2664" s="2"/>
      <c r="J2664" s="2"/>
      <c r="K2664" s="2"/>
      <c r="L2664" s="24"/>
      <c r="M2664" s="24"/>
      <c r="N2664" s="24"/>
      <c r="O2664" s="24"/>
      <c r="P2664" s="24"/>
      <c r="Q2664" s="2"/>
      <c r="R2664" s="2"/>
      <c r="S2664" s="2"/>
      <c r="T2664" s="2"/>
      <c r="U2664" s="24"/>
      <c r="V2664" s="2"/>
      <c r="W2664" s="2"/>
      <c r="X2664" s="2"/>
      <c r="Y2664" s="2"/>
      <c r="Z2664" s="2"/>
    </row>
    <row r="2665">
      <c r="A2665" s="23"/>
      <c r="B2665" s="2"/>
      <c r="C2665" s="2"/>
      <c r="D2665" s="2"/>
      <c r="E2665" s="2"/>
      <c r="F2665" s="2"/>
      <c r="G2665" s="2"/>
      <c r="H2665" s="2"/>
      <c r="I2665" s="2"/>
      <c r="J2665" s="2"/>
      <c r="K2665" s="2"/>
      <c r="L2665" s="24"/>
      <c r="M2665" s="24"/>
      <c r="N2665" s="24"/>
      <c r="O2665" s="24"/>
      <c r="P2665" s="24"/>
      <c r="Q2665" s="2"/>
      <c r="R2665" s="2"/>
      <c r="S2665" s="2"/>
      <c r="T2665" s="2"/>
      <c r="U2665" s="24"/>
      <c r="V2665" s="2"/>
      <c r="W2665" s="2"/>
      <c r="X2665" s="2"/>
      <c r="Y2665" s="2"/>
      <c r="Z2665" s="2"/>
    </row>
    <row r="2666">
      <c r="A2666" s="23"/>
      <c r="B2666" s="2"/>
      <c r="C2666" s="2"/>
      <c r="D2666" s="2"/>
      <c r="E2666" s="2"/>
      <c r="F2666" s="2"/>
      <c r="G2666" s="2"/>
      <c r="H2666" s="2"/>
      <c r="I2666" s="2"/>
      <c r="J2666" s="2"/>
      <c r="K2666" s="2"/>
      <c r="L2666" s="24"/>
      <c r="M2666" s="24"/>
      <c r="N2666" s="24"/>
      <c r="O2666" s="24"/>
      <c r="P2666" s="24"/>
      <c r="Q2666" s="2"/>
      <c r="R2666" s="2"/>
      <c r="S2666" s="2"/>
      <c r="T2666" s="2"/>
      <c r="U2666" s="24"/>
      <c r="V2666" s="2"/>
      <c r="W2666" s="2"/>
      <c r="X2666" s="2"/>
      <c r="Y2666" s="2"/>
      <c r="Z2666" s="2"/>
    </row>
    <row r="2667">
      <c r="A2667" s="23"/>
      <c r="B2667" s="2"/>
      <c r="C2667" s="2"/>
      <c r="D2667" s="2"/>
      <c r="E2667" s="2"/>
      <c r="F2667" s="2"/>
      <c r="G2667" s="2"/>
      <c r="H2667" s="2"/>
      <c r="I2667" s="2"/>
      <c r="J2667" s="2"/>
      <c r="K2667" s="2"/>
      <c r="L2667" s="24"/>
      <c r="M2667" s="24"/>
      <c r="N2667" s="24"/>
      <c r="O2667" s="24"/>
      <c r="P2667" s="24"/>
      <c r="Q2667" s="2"/>
      <c r="R2667" s="2"/>
      <c r="S2667" s="2"/>
      <c r="T2667" s="2"/>
      <c r="U2667" s="24"/>
      <c r="V2667" s="2"/>
      <c r="W2667" s="2"/>
      <c r="X2667" s="2"/>
      <c r="Y2667" s="2"/>
      <c r="Z2667" s="2"/>
    </row>
    <row r="2668">
      <c r="A2668" s="23"/>
      <c r="B2668" s="2"/>
      <c r="C2668" s="2"/>
      <c r="D2668" s="2"/>
      <c r="E2668" s="2"/>
      <c r="F2668" s="2"/>
      <c r="G2668" s="2"/>
      <c r="H2668" s="2"/>
      <c r="I2668" s="2"/>
      <c r="J2668" s="2"/>
      <c r="K2668" s="2"/>
      <c r="L2668" s="24"/>
      <c r="M2668" s="24"/>
      <c r="N2668" s="24"/>
      <c r="O2668" s="24"/>
      <c r="P2668" s="24"/>
      <c r="Q2668" s="2"/>
      <c r="R2668" s="2"/>
      <c r="S2668" s="2"/>
      <c r="T2668" s="2"/>
      <c r="U2668" s="24"/>
      <c r="V2668" s="2"/>
      <c r="W2668" s="2"/>
      <c r="X2668" s="2"/>
      <c r="Y2668" s="2"/>
      <c r="Z2668" s="2"/>
    </row>
    <row r="2669">
      <c r="A2669" s="23"/>
      <c r="B2669" s="2"/>
      <c r="C2669" s="2"/>
      <c r="D2669" s="2"/>
      <c r="E2669" s="2"/>
      <c r="F2669" s="2"/>
      <c r="G2669" s="2"/>
      <c r="H2669" s="2"/>
      <c r="I2669" s="2"/>
      <c r="J2669" s="2"/>
      <c r="K2669" s="2"/>
      <c r="L2669" s="24"/>
      <c r="M2669" s="24"/>
      <c r="N2669" s="24"/>
      <c r="O2669" s="24"/>
      <c r="P2669" s="24"/>
      <c r="Q2669" s="2"/>
      <c r="R2669" s="2"/>
      <c r="S2669" s="2"/>
      <c r="T2669" s="2"/>
      <c r="U2669" s="24"/>
      <c r="V2669" s="2"/>
      <c r="W2669" s="2"/>
      <c r="X2669" s="2"/>
      <c r="Y2669" s="2"/>
      <c r="Z2669" s="2"/>
    </row>
    <row r="2670">
      <c r="A2670" s="23"/>
      <c r="B2670" s="2"/>
      <c r="C2670" s="2"/>
      <c r="D2670" s="2"/>
      <c r="E2670" s="2"/>
      <c r="F2670" s="2"/>
      <c r="G2670" s="2"/>
      <c r="H2670" s="2"/>
      <c r="I2670" s="2"/>
      <c r="J2670" s="2"/>
      <c r="K2670" s="2"/>
      <c r="L2670" s="24"/>
      <c r="M2670" s="24"/>
      <c r="N2670" s="24"/>
      <c r="O2670" s="24"/>
      <c r="P2670" s="24"/>
      <c r="Q2670" s="2"/>
      <c r="R2670" s="2"/>
      <c r="S2670" s="2"/>
      <c r="T2670" s="2"/>
      <c r="U2670" s="24"/>
      <c r="V2670" s="2"/>
      <c r="W2670" s="2"/>
      <c r="X2670" s="2"/>
      <c r="Y2670" s="2"/>
      <c r="Z2670" s="2"/>
    </row>
    <row r="2671">
      <c r="A2671" s="23"/>
      <c r="B2671" s="2"/>
      <c r="C2671" s="2"/>
      <c r="D2671" s="2"/>
      <c r="E2671" s="2"/>
      <c r="F2671" s="2"/>
      <c r="G2671" s="2"/>
      <c r="H2671" s="2"/>
      <c r="I2671" s="2"/>
      <c r="J2671" s="2"/>
      <c r="K2671" s="2"/>
      <c r="L2671" s="24"/>
      <c r="M2671" s="24"/>
      <c r="N2671" s="24"/>
      <c r="O2671" s="24"/>
      <c r="P2671" s="24"/>
      <c r="Q2671" s="2"/>
      <c r="R2671" s="2"/>
      <c r="S2671" s="2"/>
      <c r="T2671" s="2"/>
      <c r="U2671" s="24"/>
      <c r="V2671" s="2"/>
      <c r="W2671" s="2"/>
      <c r="X2671" s="2"/>
      <c r="Y2671" s="2"/>
      <c r="Z2671" s="2"/>
    </row>
    <row r="2672">
      <c r="A2672" s="23"/>
      <c r="B2672" s="2"/>
      <c r="C2672" s="2"/>
      <c r="D2672" s="2"/>
      <c r="E2672" s="2"/>
      <c r="F2672" s="2"/>
      <c r="G2672" s="2"/>
      <c r="H2672" s="2"/>
      <c r="I2672" s="2"/>
      <c r="J2672" s="2"/>
      <c r="K2672" s="2"/>
      <c r="L2672" s="24"/>
      <c r="M2672" s="24"/>
      <c r="N2672" s="24"/>
      <c r="O2672" s="24"/>
      <c r="P2672" s="24"/>
      <c r="Q2672" s="2"/>
      <c r="R2672" s="2"/>
      <c r="S2672" s="2"/>
      <c r="T2672" s="2"/>
      <c r="U2672" s="24"/>
      <c r="V2672" s="2"/>
      <c r="W2672" s="2"/>
      <c r="X2672" s="2"/>
      <c r="Y2672" s="2"/>
      <c r="Z2672" s="2"/>
    </row>
    <row r="2673">
      <c r="A2673" s="23"/>
      <c r="B2673" s="2"/>
      <c r="C2673" s="2"/>
      <c r="D2673" s="2"/>
      <c r="E2673" s="2"/>
      <c r="F2673" s="2"/>
      <c r="G2673" s="2"/>
      <c r="H2673" s="2"/>
      <c r="I2673" s="2"/>
      <c r="J2673" s="2"/>
      <c r="K2673" s="2"/>
      <c r="L2673" s="24"/>
      <c r="M2673" s="24"/>
      <c r="N2673" s="24"/>
      <c r="O2673" s="24"/>
      <c r="P2673" s="24"/>
      <c r="Q2673" s="2"/>
      <c r="R2673" s="2"/>
      <c r="S2673" s="2"/>
      <c r="T2673" s="2"/>
      <c r="U2673" s="24"/>
      <c r="V2673" s="2"/>
      <c r="W2673" s="2"/>
      <c r="X2673" s="2"/>
      <c r="Y2673" s="2"/>
      <c r="Z2673" s="2"/>
    </row>
    <row r="2674">
      <c r="A2674" s="23"/>
      <c r="B2674" s="2"/>
      <c r="C2674" s="2"/>
      <c r="D2674" s="2"/>
      <c r="E2674" s="2"/>
      <c r="F2674" s="2"/>
      <c r="G2674" s="2"/>
      <c r="H2674" s="2"/>
      <c r="I2674" s="2"/>
      <c r="J2674" s="2"/>
      <c r="K2674" s="2"/>
      <c r="L2674" s="24"/>
      <c r="M2674" s="24"/>
      <c r="N2674" s="24"/>
      <c r="O2674" s="24"/>
      <c r="P2674" s="24"/>
      <c r="Q2674" s="2"/>
      <c r="R2674" s="2"/>
      <c r="S2674" s="2"/>
      <c r="T2674" s="2"/>
      <c r="U2674" s="24"/>
      <c r="V2674" s="2"/>
      <c r="W2674" s="2"/>
      <c r="X2674" s="2"/>
      <c r="Y2674" s="2"/>
      <c r="Z2674" s="2"/>
    </row>
    <row r="2675">
      <c r="A2675" s="23"/>
      <c r="B2675" s="2"/>
      <c r="C2675" s="2"/>
      <c r="D2675" s="2"/>
      <c r="E2675" s="2"/>
      <c r="F2675" s="2"/>
      <c r="G2675" s="2"/>
      <c r="H2675" s="2"/>
      <c r="I2675" s="2"/>
      <c r="J2675" s="2"/>
      <c r="K2675" s="2"/>
      <c r="L2675" s="24"/>
      <c r="M2675" s="24"/>
      <c r="N2675" s="24"/>
      <c r="O2675" s="24"/>
      <c r="P2675" s="24"/>
      <c r="Q2675" s="2"/>
      <c r="R2675" s="2"/>
      <c r="S2675" s="2"/>
      <c r="T2675" s="2"/>
      <c r="U2675" s="24"/>
      <c r="V2675" s="2"/>
      <c r="W2675" s="2"/>
      <c r="X2675" s="2"/>
      <c r="Y2675" s="2"/>
      <c r="Z2675" s="2"/>
    </row>
    <row r="2676">
      <c r="A2676" s="23"/>
      <c r="B2676" s="2"/>
      <c r="C2676" s="2"/>
      <c r="D2676" s="2"/>
      <c r="E2676" s="2"/>
      <c r="F2676" s="2"/>
      <c r="G2676" s="2"/>
      <c r="H2676" s="2"/>
      <c r="I2676" s="2"/>
      <c r="J2676" s="2"/>
      <c r="K2676" s="2"/>
      <c r="L2676" s="24"/>
      <c r="M2676" s="24"/>
      <c r="N2676" s="24"/>
      <c r="O2676" s="24"/>
      <c r="P2676" s="24"/>
      <c r="Q2676" s="2"/>
      <c r="R2676" s="2"/>
      <c r="S2676" s="2"/>
      <c r="T2676" s="2"/>
      <c r="U2676" s="24"/>
      <c r="V2676" s="2"/>
      <c r="W2676" s="2"/>
      <c r="X2676" s="2"/>
      <c r="Y2676" s="2"/>
      <c r="Z2676" s="2"/>
    </row>
    <row r="2677">
      <c r="A2677" s="23"/>
      <c r="B2677" s="2"/>
      <c r="C2677" s="2"/>
      <c r="D2677" s="2"/>
      <c r="E2677" s="2"/>
      <c r="F2677" s="2"/>
      <c r="G2677" s="2"/>
      <c r="H2677" s="2"/>
      <c r="I2677" s="2"/>
      <c r="J2677" s="2"/>
      <c r="K2677" s="2"/>
      <c r="L2677" s="24"/>
      <c r="M2677" s="24"/>
      <c r="N2677" s="24"/>
      <c r="O2677" s="24"/>
      <c r="P2677" s="24"/>
      <c r="Q2677" s="2"/>
      <c r="R2677" s="2"/>
      <c r="S2677" s="2"/>
      <c r="T2677" s="2"/>
      <c r="U2677" s="24"/>
      <c r="V2677" s="2"/>
      <c r="W2677" s="2"/>
      <c r="X2677" s="2"/>
      <c r="Y2677" s="2"/>
      <c r="Z2677" s="2"/>
    </row>
    <row r="2678">
      <c r="A2678" s="23"/>
      <c r="B2678" s="2"/>
      <c r="C2678" s="2"/>
      <c r="D2678" s="2"/>
      <c r="E2678" s="2"/>
      <c r="F2678" s="2"/>
      <c r="G2678" s="2"/>
      <c r="H2678" s="2"/>
      <c r="I2678" s="2"/>
      <c r="J2678" s="2"/>
      <c r="K2678" s="2"/>
      <c r="L2678" s="24"/>
      <c r="M2678" s="24"/>
      <c r="N2678" s="24"/>
      <c r="O2678" s="24"/>
      <c r="P2678" s="24"/>
      <c r="Q2678" s="2"/>
      <c r="R2678" s="2"/>
      <c r="S2678" s="2"/>
      <c r="T2678" s="2"/>
      <c r="U2678" s="24"/>
      <c r="V2678" s="2"/>
      <c r="W2678" s="2"/>
      <c r="X2678" s="2"/>
      <c r="Y2678" s="2"/>
      <c r="Z2678" s="2"/>
    </row>
    <row r="2679">
      <c r="A2679" s="23"/>
      <c r="B2679" s="2"/>
      <c r="C2679" s="2"/>
      <c r="D2679" s="2"/>
      <c r="E2679" s="2"/>
      <c r="F2679" s="2"/>
      <c r="G2679" s="2"/>
      <c r="H2679" s="2"/>
      <c r="I2679" s="2"/>
      <c r="J2679" s="2"/>
      <c r="K2679" s="2"/>
      <c r="L2679" s="24"/>
      <c r="M2679" s="24"/>
      <c r="N2679" s="24"/>
      <c r="O2679" s="24"/>
      <c r="P2679" s="24"/>
      <c r="Q2679" s="2"/>
      <c r="R2679" s="2"/>
      <c r="S2679" s="2"/>
      <c r="T2679" s="2"/>
      <c r="U2679" s="24"/>
      <c r="V2679" s="2"/>
      <c r="W2679" s="2"/>
      <c r="X2679" s="2"/>
      <c r="Y2679" s="2"/>
      <c r="Z2679" s="2"/>
    </row>
    <row r="2680">
      <c r="A2680" s="23"/>
      <c r="B2680" s="2"/>
      <c r="C2680" s="2"/>
      <c r="D2680" s="2"/>
      <c r="E2680" s="2"/>
      <c r="F2680" s="2"/>
      <c r="G2680" s="2"/>
      <c r="H2680" s="2"/>
      <c r="I2680" s="2"/>
      <c r="J2680" s="2"/>
      <c r="K2680" s="2"/>
      <c r="L2680" s="24"/>
      <c r="M2680" s="24"/>
      <c r="N2680" s="24"/>
      <c r="O2680" s="24"/>
      <c r="P2680" s="24"/>
      <c r="Q2680" s="2"/>
      <c r="R2680" s="2"/>
      <c r="S2680" s="2"/>
      <c r="T2680" s="2"/>
      <c r="U2680" s="24"/>
      <c r="V2680" s="2"/>
      <c r="W2680" s="2"/>
      <c r="X2680" s="2"/>
      <c r="Y2680" s="2"/>
      <c r="Z2680" s="2"/>
    </row>
    <row r="2681">
      <c r="A2681" s="23"/>
      <c r="B2681" s="2"/>
      <c r="C2681" s="2"/>
      <c r="D2681" s="2"/>
      <c r="E2681" s="2"/>
      <c r="F2681" s="2"/>
      <c r="G2681" s="2"/>
      <c r="H2681" s="2"/>
      <c r="I2681" s="2"/>
      <c r="J2681" s="2"/>
      <c r="K2681" s="2"/>
      <c r="L2681" s="24"/>
      <c r="M2681" s="24"/>
      <c r="N2681" s="24"/>
      <c r="O2681" s="24"/>
      <c r="P2681" s="24"/>
      <c r="Q2681" s="2"/>
      <c r="R2681" s="2"/>
      <c r="S2681" s="2"/>
      <c r="T2681" s="2"/>
      <c r="U2681" s="24"/>
      <c r="V2681" s="2"/>
      <c r="W2681" s="2"/>
      <c r="X2681" s="2"/>
      <c r="Y2681" s="2"/>
      <c r="Z2681" s="2"/>
    </row>
    <row r="2682">
      <c r="A2682" s="23"/>
      <c r="B2682" s="2"/>
      <c r="C2682" s="2"/>
      <c r="D2682" s="2"/>
      <c r="E2682" s="2"/>
      <c r="F2682" s="2"/>
      <c r="G2682" s="2"/>
      <c r="H2682" s="2"/>
      <c r="I2682" s="2"/>
      <c r="J2682" s="2"/>
      <c r="K2682" s="2"/>
      <c r="L2682" s="24"/>
      <c r="M2682" s="24"/>
      <c r="N2682" s="24"/>
      <c r="O2682" s="24"/>
      <c r="P2682" s="24"/>
      <c r="Q2682" s="2"/>
      <c r="R2682" s="2"/>
      <c r="S2682" s="2"/>
      <c r="T2682" s="2"/>
      <c r="U2682" s="24"/>
      <c r="V2682" s="2"/>
      <c r="W2682" s="2"/>
      <c r="X2682" s="2"/>
      <c r="Y2682" s="2"/>
      <c r="Z2682" s="2"/>
    </row>
    <row r="2683">
      <c r="A2683" s="23"/>
      <c r="B2683" s="2"/>
      <c r="C2683" s="2"/>
      <c r="D2683" s="2"/>
      <c r="E2683" s="2"/>
      <c r="F2683" s="2"/>
      <c r="G2683" s="2"/>
      <c r="H2683" s="2"/>
      <c r="I2683" s="2"/>
      <c r="J2683" s="2"/>
      <c r="K2683" s="2"/>
      <c r="L2683" s="24"/>
      <c r="M2683" s="24"/>
      <c r="N2683" s="24"/>
      <c r="O2683" s="24"/>
      <c r="P2683" s="24"/>
      <c r="Q2683" s="2"/>
      <c r="R2683" s="2"/>
      <c r="S2683" s="2"/>
      <c r="T2683" s="2"/>
      <c r="U2683" s="24"/>
      <c r="V2683" s="2"/>
      <c r="W2683" s="2"/>
      <c r="X2683" s="2"/>
      <c r="Y2683" s="2"/>
      <c r="Z2683" s="2"/>
    </row>
    <row r="2684">
      <c r="A2684" s="23"/>
      <c r="B2684" s="2"/>
      <c r="C2684" s="2"/>
      <c r="D2684" s="2"/>
      <c r="E2684" s="2"/>
      <c r="F2684" s="2"/>
      <c r="G2684" s="2"/>
      <c r="H2684" s="2"/>
      <c r="I2684" s="2"/>
      <c r="J2684" s="2"/>
      <c r="K2684" s="2"/>
      <c r="L2684" s="24"/>
      <c r="M2684" s="24"/>
      <c r="N2684" s="24"/>
      <c r="O2684" s="24"/>
      <c r="P2684" s="24"/>
      <c r="Q2684" s="2"/>
      <c r="R2684" s="2"/>
      <c r="S2684" s="2"/>
      <c r="T2684" s="2"/>
      <c r="U2684" s="24"/>
      <c r="V2684" s="2"/>
      <c r="W2684" s="2"/>
      <c r="X2684" s="2"/>
      <c r="Y2684" s="2"/>
      <c r="Z2684" s="2"/>
    </row>
    <row r="2685">
      <c r="A2685" s="23"/>
      <c r="B2685" s="2"/>
      <c r="C2685" s="2"/>
      <c r="D2685" s="2"/>
      <c r="E2685" s="2"/>
      <c r="F2685" s="2"/>
      <c r="G2685" s="2"/>
      <c r="H2685" s="2"/>
      <c r="I2685" s="2"/>
      <c r="J2685" s="2"/>
      <c r="K2685" s="2"/>
      <c r="L2685" s="24"/>
      <c r="M2685" s="24"/>
      <c r="N2685" s="24"/>
      <c r="O2685" s="24"/>
      <c r="P2685" s="24"/>
      <c r="Q2685" s="2"/>
      <c r="R2685" s="2"/>
      <c r="S2685" s="2"/>
      <c r="T2685" s="2"/>
      <c r="U2685" s="24"/>
      <c r="V2685" s="2"/>
      <c r="W2685" s="2"/>
      <c r="X2685" s="2"/>
      <c r="Y2685" s="2"/>
      <c r="Z2685" s="2"/>
    </row>
    <row r="2686">
      <c r="A2686" s="23"/>
      <c r="B2686" s="2"/>
      <c r="C2686" s="2"/>
      <c r="D2686" s="2"/>
      <c r="E2686" s="2"/>
      <c r="F2686" s="2"/>
      <c r="G2686" s="2"/>
      <c r="H2686" s="2"/>
      <c r="I2686" s="2"/>
      <c r="J2686" s="2"/>
      <c r="K2686" s="2"/>
      <c r="L2686" s="24"/>
      <c r="M2686" s="24"/>
      <c r="N2686" s="24"/>
      <c r="O2686" s="24"/>
      <c r="P2686" s="24"/>
      <c r="Q2686" s="2"/>
      <c r="R2686" s="2"/>
      <c r="S2686" s="2"/>
      <c r="T2686" s="2"/>
      <c r="U2686" s="24"/>
      <c r="V2686" s="2"/>
      <c r="W2686" s="2"/>
      <c r="X2686" s="2"/>
      <c r="Y2686" s="2"/>
      <c r="Z2686" s="2"/>
    </row>
    <row r="2687">
      <c r="A2687" s="23"/>
      <c r="B2687" s="2"/>
      <c r="C2687" s="2"/>
      <c r="D2687" s="2"/>
      <c r="E2687" s="2"/>
      <c r="F2687" s="2"/>
      <c r="G2687" s="2"/>
      <c r="H2687" s="2"/>
      <c r="I2687" s="2"/>
      <c r="J2687" s="2"/>
      <c r="K2687" s="2"/>
      <c r="L2687" s="24"/>
      <c r="M2687" s="24"/>
      <c r="N2687" s="24"/>
      <c r="O2687" s="24"/>
      <c r="P2687" s="24"/>
      <c r="Q2687" s="2"/>
      <c r="R2687" s="2"/>
      <c r="S2687" s="2"/>
      <c r="T2687" s="2"/>
      <c r="U2687" s="24"/>
      <c r="V2687" s="2"/>
      <c r="W2687" s="2"/>
      <c r="X2687" s="2"/>
      <c r="Y2687" s="2"/>
      <c r="Z2687" s="2"/>
    </row>
    <row r="2688">
      <c r="A2688" s="23"/>
      <c r="B2688" s="2"/>
      <c r="C2688" s="2"/>
      <c r="D2688" s="2"/>
      <c r="E2688" s="2"/>
      <c r="F2688" s="2"/>
      <c r="G2688" s="2"/>
      <c r="H2688" s="2"/>
      <c r="I2688" s="2"/>
      <c r="J2688" s="2"/>
      <c r="K2688" s="2"/>
      <c r="L2688" s="24"/>
      <c r="M2688" s="24"/>
      <c r="N2688" s="24"/>
      <c r="O2688" s="24"/>
      <c r="P2688" s="24"/>
      <c r="Q2688" s="2"/>
      <c r="R2688" s="2"/>
      <c r="S2688" s="2"/>
      <c r="T2688" s="2"/>
      <c r="U2688" s="24"/>
      <c r="V2688" s="2"/>
      <c r="W2688" s="2"/>
      <c r="X2688" s="2"/>
      <c r="Y2688" s="2"/>
      <c r="Z2688" s="2"/>
    </row>
    <row r="2689">
      <c r="A2689" s="23"/>
      <c r="B2689" s="2"/>
      <c r="C2689" s="2"/>
      <c r="D2689" s="2"/>
      <c r="E2689" s="2"/>
      <c r="F2689" s="2"/>
      <c r="G2689" s="2"/>
      <c r="H2689" s="2"/>
      <c r="I2689" s="2"/>
      <c r="J2689" s="2"/>
      <c r="K2689" s="2"/>
      <c r="L2689" s="24"/>
      <c r="M2689" s="24"/>
      <c r="N2689" s="24"/>
      <c r="O2689" s="24"/>
      <c r="P2689" s="24"/>
      <c r="Q2689" s="2"/>
      <c r="R2689" s="2"/>
      <c r="S2689" s="2"/>
      <c r="T2689" s="2"/>
      <c r="U2689" s="24"/>
      <c r="V2689" s="2"/>
      <c r="W2689" s="2"/>
      <c r="X2689" s="2"/>
      <c r="Y2689" s="2"/>
      <c r="Z2689" s="2"/>
    </row>
    <row r="2690">
      <c r="A2690" s="23"/>
      <c r="B2690" s="2"/>
      <c r="C2690" s="2"/>
      <c r="D2690" s="2"/>
      <c r="E2690" s="2"/>
      <c r="F2690" s="2"/>
      <c r="G2690" s="2"/>
      <c r="H2690" s="2"/>
      <c r="I2690" s="2"/>
      <c r="J2690" s="2"/>
      <c r="K2690" s="2"/>
      <c r="L2690" s="24"/>
      <c r="M2690" s="24"/>
      <c r="N2690" s="24"/>
      <c r="O2690" s="24"/>
      <c r="P2690" s="24"/>
      <c r="Q2690" s="2"/>
      <c r="R2690" s="2"/>
      <c r="S2690" s="2"/>
      <c r="T2690" s="2"/>
      <c r="U2690" s="24"/>
      <c r="V2690" s="2"/>
      <c r="W2690" s="2"/>
      <c r="X2690" s="2"/>
      <c r="Y2690" s="2"/>
      <c r="Z2690" s="2"/>
    </row>
    <row r="2691">
      <c r="A2691" s="23"/>
      <c r="B2691" s="2"/>
      <c r="C2691" s="2"/>
      <c r="D2691" s="2"/>
      <c r="E2691" s="2"/>
      <c r="F2691" s="2"/>
      <c r="G2691" s="2"/>
      <c r="H2691" s="2"/>
      <c r="I2691" s="2"/>
      <c r="J2691" s="2"/>
      <c r="K2691" s="2"/>
      <c r="L2691" s="24"/>
      <c r="M2691" s="24"/>
      <c r="N2691" s="24"/>
      <c r="O2691" s="24"/>
      <c r="P2691" s="24"/>
      <c r="Q2691" s="2"/>
      <c r="R2691" s="2"/>
      <c r="S2691" s="2"/>
      <c r="T2691" s="2"/>
      <c r="U2691" s="24"/>
      <c r="V2691" s="2"/>
      <c r="W2691" s="2"/>
      <c r="X2691" s="2"/>
      <c r="Y2691" s="2"/>
      <c r="Z2691" s="2"/>
    </row>
    <row r="2692">
      <c r="A2692" s="23"/>
      <c r="B2692" s="2"/>
      <c r="C2692" s="2"/>
      <c r="D2692" s="2"/>
      <c r="E2692" s="2"/>
      <c r="F2692" s="2"/>
      <c r="G2692" s="2"/>
      <c r="H2692" s="2"/>
      <c r="I2692" s="2"/>
      <c r="J2692" s="2"/>
      <c r="K2692" s="2"/>
      <c r="L2692" s="24"/>
      <c r="M2692" s="24"/>
      <c r="N2692" s="24"/>
      <c r="O2692" s="24"/>
      <c r="P2692" s="24"/>
      <c r="Q2692" s="2"/>
      <c r="R2692" s="2"/>
      <c r="S2692" s="2"/>
      <c r="T2692" s="2"/>
      <c r="U2692" s="24"/>
      <c r="V2692" s="2"/>
      <c r="W2692" s="2"/>
      <c r="X2692" s="2"/>
      <c r="Y2692" s="2"/>
      <c r="Z2692" s="2"/>
    </row>
    <row r="2693">
      <c r="A2693" s="23"/>
      <c r="B2693" s="2"/>
      <c r="C2693" s="2"/>
      <c r="D2693" s="2"/>
      <c r="E2693" s="2"/>
      <c r="F2693" s="2"/>
      <c r="G2693" s="2"/>
      <c r="H2693" s="2"/>
      <c r="I2693" s="2"/>
      <c r="J2693" s="2"/>
      <c r="K2693" s="2"/>
      <c r="L2693" s="24"/>
      <c r="M2693" s="24"/>
      <c r="N2693" s="24"/>
      <c r="O2693" s="24"/>
      <c r="P2693" s="24"/>
      <c r="Q2693" s="2"/>
      <c r="R2693" s="2"/>
      <c r="S2693" s="2"/>
      <c r="T2693" s="2"/>
      <c r="U2693" s="24"/>
      <c r="V2693" s="2"/>
      <c r="W2693" s="2"/>
      <c r="X2693" s="2"/>
      <c r="Y2693" s="2"/>
      <c r="Z2693" s="2"/>
    </row>
    <row r="2694">
      <c r="A2694" s="23"/>
      <c r="B2694" s="2"/>
      <c r="C2694" s="2"/>
      <c r="D2694" s="2"/>
      <c r="E2694" s="2"/>
      <c r="F2694" s="2"/>
      <c r="G2694" s="2"/>
      <c r="H2694" s="2"/>
      <c r="I2694" s="2"/>
      <c r="J2694" s="2"/>
      <c r="K2694" s="2"/>
      <c r="L2694" s="24"/>
      <c r="M2694" s="24"/>
      <c r="N2694" s="24"/>
      <c r="O2694" s="24"/>
      <c r="P2694" s="24"/>
      <c r="Q2694" s="2"/>
      <c r="R2694" s="2"/>
      <c r="S2694" s="2"/>
      <c r="T2694" s="2"/>
      <c r="U2694" s="24"/>
      <c r="V2694" s="2"/>
      <c r="W2694" s="2"/>
      <c r="X2694" s="2"/>
      <c r="Y2694" s="2"/>
      <c r="Z2694" s="2"/>
    </row>
    <row r="2695">
      <c r="A2695" s="23"/>
      <c r="B2695" s="2"/>
      <c r="C2695" s="2"/>
      <c r="D2695" s="2"/>
      <c r="E2695" s="2"/>
      <c r="F2695" s="2"/>
      <c r="G2695" s="2"/>
      <c r="H2695" s="2"/>
      <c r="I2695" s="2"/>
      <c r="J2695" s="2"/>
      <c r="K2695" s="2"/>
      <c r="L2695" s="24"/>
      <c r="M2695" s="24"/>
      <c r="N2695" s="24"/>
      <c r="O2695" s="24"/>
      <c r="P2695" s="24"/>
      <c r="Q2695" s="2"/>
      <c r="R2695" s="2"/>
      <c r="S2695" s="2"/>
      <c r="T2695" s="2"/>
      <c r="U2695" s="24"/>
      <c r="V2695" s="2"/>
      <c r="W2695" s="2"/>
      <c r="X2695" s="2"/>
      <c r="Y2695" s="2"/>
      <c r="Z2695" s="2"/>
    </row>
    <row r="2696">
      <c r="A2696" s="23"/>
      <c r="B2696" s="2"/>
      <c r="C2696" s="2"/>
      <c r="D2696" s="2"/>
      <c r="E2696" s="2"/>
      <c r="F2696" s="2"/>
      <c r="G2696" s="2"/>
      <c r="H2696" s="2"/>
      <c r="I2696" s="2"/>
      <c r="J2696" s="2"/>
      <c r="K2696" s="2"/>
      <c r="L2696" s="24"/>
      <c r="M2696" s="24"/>
      <c r="N2696" s="24"/>
      <c r="O2696" s="24"/>
      <c r="P2696" s="24"/>
      <c r="Q2696" s="2"/>
      <c r="R2696" s="2"/>
      <c r="S2696" s="2"/>
      <c r="T2696" s="2"/>
      <c r="U2696" s="24"/>
      <c r="V2696" s="2"/>
      <c r="W2696" s="2"/>
      <c r="X2696" s="2"/>
      <c r="Y2696" s="2"/>
      <c r="Z2696" s="2"/>
    </row>
    <row r="2697">
      <c r="A2697" s="23"/>
      <c r="B2697" s="2"/>
      <c r="C2697" s="2"/>
      <c r="D2697" s="2"/>
      <c r="E2697" s="2"/>
      <c r="F2697" s="2"/>
      <c r="G2697" s="2"/>
      <c r="H2697" s="2"/>
      <c r="I2697" s="2"/>
      <c r="J2697" s="2"/>
      <c r="K2697" s="2"/>
      <c r="L2697" s="24"/>
      <c r="M2697" s="24"/>
      <c r="N2697" s="24"/>
      <c r="O2697" s="24"/>
      <c r="P2697" s="24"/>
      <c r="Q2697" s="2"/>
      <c r="R2697" s="2"/>
      <c r="S2697" s="2"/>
      <c r="T2697" s="2"/>
      <c r="U2697" s="24"/>
      <c r="V2697" s="2"/>
      <c r="W2697" s="2"/>
      <c r="X2697" s="2"/>
      <c r="Y2697" s="2"/>
      <c r="Z2697" s="2"/>
    </row>
    <row r="2698">
      <c r="A2698" s="23"/>
      <c r="B2698" s="2"/>
      <c r="C2698" s="2"/>
      <c r="D2698" s="2"/>
      <c r="E2698" s="2"/>
      <c r="F2698" s="2"/>
      <c r="G2698" s="2"/>
      <c r="H2698" s="2"/>
      <c r="I2698" s="2"/>
      <c r="J2698" s="2"/>
      <c r="K2698" s="2"/>
      <c r="L2698" s="24"/>
      <c r="M2698" s="24"/>
      <c r="N2698" s="24"/>
      <c r="O2698" s="24"/>
      <c r="P2698" s="24"/>
      <c r="Q2698" s="2"/>
      <c r="R2698" s="2"/>
      <c r="S2698" s="2"/>
      <c r="T2698" s="2"/>
      <c r="U2698" s="24"/>
      <c r="V2698" s="2"/>
      <c r="W2698" s="2"/>
      <c r="X2698" s="2"/>
      <c r="Y2698" s="2"/>
      <c r="Z2698" s="2"/>
    </row>
    <row r="2699">
      <c r="A2699" s="23"/>
      <c r="B2699" s="2"/>
      <c r="C2699" s="2"/>
      <c r="D2699" s="2"/>
      <c r="E2699" s="2"/>
      <c r="F2699" s="2"/>
      <c r="G2699" s="2"/>
      <c r="H2699" s="2"/>
      <c r="I2699" s="2"/>
      <c r="J2699" s="2"/>
      <c r="K2699" s="2"/>
      <c r="L2699" s="24"/>
      <c r="M2699" s="24"/>
      <c r="N2699" s="24"/>
      <c r="O2699" s="24"/>
      <c r="P2699" s="24"/>
      <c r="Q2699" s="2"/>
      <c r="R2699" s="2"/>
      <c r="S2699" s="2"/>
      <c r="T2699" s="2"/>
      <c r="U2699" s="24"/>
      <c r="V2699" s="2"/>
      <c r="W2699" s="2"/>
      <c r="X2699" s="2"/>
      <c r="Y2699" s="2"/>
      <c r="Z2699" s="2"/>
    </row>
    <row r="2700">
      <c r="A2700" s="23"/>
      <c r="B2700" s="2"/>
      <c r="C2700" s="2"/>
      <c r="D2700" s="2"/>
      <c r="E2700" s="2"/>
      <c r="F2700" s="2"/>
      <c r="G2700" s="2"/>
      <c r="H2700" s="2"/>
      <c r="I2700" s="2"/>
      <c r="J2700" s="2"/>
      <c r="K2700" s="2"/>
      <c r="L2700" s="24"/>
      <c r="M2700" s="24"/>
      <c r="N2700" s="24"/>
      <c r="O2700" s="24"/>
      <c r="P2700" s="24"/>
      <c r="Q2700" s="2"/>
      <c r="R2700" s="2"/>
      <c r="S2700" s="2"/>
      <c r="T2700" s="2"/>
      <c r="U2700" s="24"/>
      <c r="V2700" s="2"/>
      <c r="W2700" s="2"/>
      <c r="X2700" s="2"/>
      <c r="Y2700" s="2"/>
      <c r="Z2700" s="2"/>
    </row>
    <row r="2701">
      <c r="A2701" s="23"/>
      <c r="B2701" s="2"/>
      <c r="C2701" s="2"/>
      <c r="D2701" s="2"/>
      <c r="E2701" s="2"/>
      <c r="F2701" s="2"/>
      <c r="G2701" s="2"/>
      <c r="H2701" s="2"/>
      <c r="I2701" s="2"/>
      <c r="J2701" s="2"/>
      <c r="K2701" s="2"/>
      <c r="L2701" s="24"/>
      <c r="M2701" s="24"/>
      <c r="N2701" s="24"/>
      <c r="O2701" s="24"/>
      <c r="P2701" s="24"/>
      <c r="Q2701" s="2"/>
      <c r="R2701" s="2"/>
      <c r="S2701" s="2"/>
      <c r="T2701" s="2"/>
      <c r="U2701" s="24"/>
      <c r="V2701" s="2"/>
      <c r="W2701" s="2"/>
      <c r="X2701" s="2"/>
      <c r="Y2701" s="2"/>
      <c r="Z2701" s="2"/>
    </row>
    <row r="2702">
      <c r="A2702" s="23"/>
      <c r="B2702" s="2"/>
      <c r="C2702" s="2"/>
      <c r="D2702" s="2"/>
      <c r="E2702" s="2"/>
      <c r="F2702" s="2"/>
      <c r="G2702" s="2"/>
      <c r="H2702" s="2"/>
      <c r="I2702" s="2"/>
      <c r="J2702" s="2"/>
      <c r="K2702" s="2"/>
      <c r="L2702" s="24"/>
      <c r="M2702" s="24"/>
      <c r="N2702" s="24"/>
      <c r="O2702" s="24"/>
      <c r="P2702" s="24"/>
      <c r="Q2702" s="2"/>
      <c r="R2702" s="2"/>
      <c r="S2702" s="2"/>
      <c r="T2702" s="2"/>
      <c r="U2702" s="24"/>
      <c r="V2702" s="2"/>
      <c r="W2702" s="2"/>
      <c r="X2702" s="2"/>
      <c r="Y2702" s="2"/>
      <c r="Z2702" s="2"/>
    </row>
    <row r="2703">
      <c r="A2703" s="23"/>
      <c r="B2703" s="2"/>
      <c r="C2703" s="2"/>
      <c r="D2703" s="2"/>
      <c r="E2703" s="2"/>
      <c r="F2703" s="2"/>
      <c r="G2703" s="2"/>
      <c r="H2703" s="2"/>
      <c r="I2703" s="2"/>
      <c r="J2703" s="2"/>
      <c r="K2703" s="2"/>
      <c r="L2703" s="24"/>
      <c r="M2703" s="24"/>
      <c r="N2703" s="24"/>
      <c r="O2703" s="24"/>
      <c r="P2703" s="24"/>
      <c r="Q2703" s="2"/>
      <c r="R2703" s="2"/>
      <c r="S2703" s="2"/>
      <c r="T2703" s="2"/>
      <c r="U2703" s="24"/>
      <c r="V2703" s="2"/>
      <c r="W2703" s="2"/>
      <c r="X2703" s="2"/>
      <c r="Y2703" s="2"/>
      <c r="Z2703" s="2"/>
    </row>
    <row r="2704">
      <c r="A2704" s="23"/>
      <c r="B2704" s="2"/>
      <c r="C2704" s="2"/>
      <c r="D2704" s="2"/>
      <c r="E2704" s="2"/>
      <c r="F2704" s="2"/>
      <c r="G2704" s="2"/>
      <c r="H2704" s="2"/>
      <c r="I2704" s="2"/>
      <c r="J2704" s="2"/>
      <c r="K2704" s="2"/>
      <c r="L2704" s="24"/>
      <c r="M2704" s="24"/>
      <c r="N2704" s="24"/>
      <c r="O2704" s="24"/>
      <c r="P2704" s="24"/>
      <c r="Q2704" s="2"/>
      <c r="R2704" s="2"/>
      <c r="S2704" s="2"/>
      <c r="T2704" s="2"/>
      <c r="U2704" s="24"/>
      <c r="V2704" s="2"/>
      <c r="W2704" s="2"/>
      <c r="X2704" s="2"/>
      <c r="Y2704" s="2"/>
      <c r="Z2704" s="2"/>
    </row>
    <row r="2705">
      <c r="A2705" s="23"/>
      <c r="B2705" s="2"/>
      <c r="C2705" s="2"/>
      <c r="D2705" s="2"/>
      <c r="E2705" s="2"/>
      <c r="F2705" s="2"/>
      <c r="G2705" s="2"/>
      <c r="H2705" s="2"/>
      <c r="I2705" s="2"/>
      <c r="J2705" s="2"/>
      <c r="K2705" s="2"/>
      <c r="L2705" s="24"/>
      <c r="M2705" s="24"/>
      <c r="N2705" s="24"/>
      <c r="O2705" s="24"/>
      <c r="P2705" s="24"/>
      <c r="Q2705" s="2"/>
      <c r="R2705" s="2"/>
      <c r="S2705" s="2"/>
      <c r="T2705" s="2"/>
      <c r="U2705" s="24"/>
      <c r="V2705" s="2"/>
      <c r="W2705" s="2"/>
      <c r="X2705" s="2"/>
      <c r="Y2705" s="2"/>
      <c r="Z2705" s="2"/>
    </row>
    <row r="2706">
      <c r="A2706" s="23"/>
      <c r="B2706" s="2"/>
      <c r="C2706" s="2"/>
      <c r="D2706" s="2"/>
      <c r="E2706" s="2"/>
      <c r="F2706" s="2"/>
      <c r="G2706" s="2"/>
      <c r="H2706" s="2"/>
      <c r="I2706" s="2"/>
      <c r="J2706" s="2"/>
      <c r="K2706" s="2"/>
      <c r="L2706" s="24"/>
      <c r="M2706" s="24"/>
      <c r="N2706" s="24"/>
      <c r="O2706" s="24"/>
      <c r="P2706" s="24"/>
      <c r="Q2706" s="2"/>
      <c r="R2706" s="2"/>
      <c r="S2706" s="2"/>
      <c r="T2706" s="2"/>
      <c r="U2706" s="24"/>
      <c r="V2706" s="2"/>
      <c r="W2706" s="2"/>
      <c r="X2706" s="2"/>
      <c r="Y2706" s="2"/>
      <c r="Z2706" s="2"/>
    </row>
    <row r="2707">
      <c r="A2707" s="23"/>
      <c r="B2707" s="2"/>
      <c r="C2707" s="2"/>
      <c r="D2707" s="2"/>
      <c r="E2707" s="2"/>
      <c r="F2707" s="2"/>
      <c r="G2707" s="2"/>
      <c r="H2707" s="2"/>
      <c r="I2707" s="2"/>
      <c r="J2707" s="2"/>
      <c r="K2707" s="2"/>
      <c r="L2707" s="24"/>
      <c r="M2707" s="24"/>
      <c r="N2707" s="24"/>
      <c r="O2707" s="24"/>
      <c r="P2707" s="24"/>
      <c r="Q2707" s="2"/>
      <c r="R2707" s="2"/>
      <c r="S2707" s="2"/>
      <c r="T2707" s="2"/>
      <c r="U2707" s="24"/>
      <c r="V2707" s="2"/>
      <c r="W2707" s="2"/>
      <c r="X2707" s="2"/>
      <c r="Y2707" s="2"/>
      <c r="Z2707" s="2"/>
    </row>
    <row r="2708">
      <c r="A2708" s="23"/>
      <c r="B2708" s="2"/>
      <c r="C2708" s="2"/>
      <c r="D2708" s="2"/>
      <c r="E2708" s="2"/>
      <c r="F2708" s="2"/>
      <c r="G2708" s="2"/>
      <c r="H2708" s="2"/>
      <c r="I2708" s="2"/>
      <c r="J2708" s="2"/>
      <c r="K2708" s="2"/>
      <c r="L2708" s="24"/>
      <c r="M2708" s="24"/>
      <c r="N2708" s="24"/>
      <c r="O2708" s="24"/>
      <c r="P2708" s="24"/>
      <c r="Q2708" s="2"/>
      <c r="R2708" s="2"/>
      <c r="S2708" s="2"/>
      <c r="T2708" s="2"/>
      <c r="U2708" s="24"/>
      <c r="V2708" s="2"/>
      <c r="W2708" s="2"/>
      <c r="X2708" s="2"/>
      <c r="Y2708" s="2"/>
      <c r="Z2708" s="2"/>
    </row>
    <row r="2709">
      <c r="A2709" s="23"/>
      <c r="B2709" s="2"/>
      <c r="C2709" s="2"/>
      <c r="D2709" s="2"/>
      <c r="E2709" s="2"/>
      <c r="F2709" s="2"/>
      <c r="G2709" s="2"/>
      <c r="H2709" s="2"/>
      <c r="I2709" s="2"/>
      <c r="J2709" s="2"/>
      <c r="K2709" s="2"/>
      <c r="L2709" s="24"/>
      <c r="M2709" s="24"/>
      <c r="N2709" s="24"/>
      <c r="O2709" s="24"/>
      <c r="P2709" s="24"/>
      <c r="Q2709" s="2"/>
      <c r="R2709" s="2"/>
      <c r="S2709" s="2"/>
      <c r="T2709" s="2"/>
      <c r="U2709" s="24"/>
      <c r="V2709" s="2"/>
      <c r="W2709" s="2"/>
      <c r="X2709" s="2"/>
      <c r="Y2709" s="2"/>
      <c r="Z2709" s="2"/>
    </row>
    <row r="2710">
      <c r="A2710" s="23"/>
      <c r="B2710" s="2"/>
      <c r="C2710" s="2"/>
      <c r="D2710" s="2"/>
      <c r="E2710" s="2"/>
      <c r="F2710" s="2"/>
      <c r="G2710" s="2"/>
      <c r="H2710" s="2"/>
      <c r="I2710" s="2"/>
      <c r="J2710" s="2"/>
      <c r="K2710" s="2"/>
      <c r="L2710" s="24"/>
      <c r="M2710" s="24"/>
      <c r="N2710" s="24"/>
      <c r="O2710" s="24"/>
      <c r="P2710" s="24"/>
      <c r="Q2710" s="2"/>
      <c r="R2710" s="2"/>
      <c r="S2710" s="2"/>
      <c r="T2710" s="2"/>
      <c r="U2710" s="24"/>
      <c r="V2710" s="2"/>
      <c r="W2710" s="2"/>
      <c r="X2710" s="2"/>
      <c r="Y2710" s="2"/>
      <c r="Z2710" s="2"/>
    </row>
    <row r="2711">
      <c r="A2711" s="23"/>
      <c r="B2711" s="2"/>
      <c r="C2711" s="2"/>
      <c r="D2711" s="2"/>
      <c r="E2711" s="2"/>
      <c r="F2711" s="2"/>
      <c r="G2711" s="2"/>
      <c r="H2711" s="2"/>
      <c r="I2711" s="2"/>
      <c r="J2711" s="2"/>
      <c r="K2711" s="2"/>
      <c r="L2711" s="24"/>
      <c r="M2711" s="24"/>
      <c r="N2711" s="24"/>
      <c r="O2711" s="24"/>
      <c r="P2711" s="24"/>
      <c r="Q2711" s="2"/>
      <c r="R2711" s="2"/>
      <c r="S2711" s="2"/>
      <c r="T2711" s="2"/>
      <c r="U2711" s="24"/>
      <c r="V2711" s="2"/>
      <c r="W2711" s="2"/>
      <c r="X2711" s="2"/>
      <c r="Y2711" s="2"/>
      <c r="Z2711" s="2"/>
    </row>
    <row r="2712">
      <c r="A2712" s="23"/>
      <c r="B2712" s="2"/>
      <c r="C2712" s="2"/>
      <c r="D2712" s="2"/>
      <c r="E2712" s="2"/>
      <c r="F2712" s="2"/>
      <c r="G2712" s="2"/>
      <c r="H2712" s="2"/>
      <c r="I2712" s="2"/>
      <c r="J2712" s="2"/>
      <c r="K2712" s="2"/>
      <c r="L2712" s="24"/>
      <c r="M2712" s="24"/>
      <c r="N2712" s="24"/>
      <c r="O2712" s="24"/>
      <c r="P2712" s="24"/>
      <c r="Q2712" s="2"/>
      <c r="R2712" s="2"/>
      <c r="S2712" s="2"/>
      <c r="T2712" s="2"/>
      <c r="U2712" s="24"/>
      <c r="V2712" s="2"/>
      <c r="W2712" s="2"/>
      <c r="X2712" s="2"/>
      <c r="Y2712" s="2"/>
      <c r="Z2712" s="2"/>
    </row>
    <row r="2713">
      <c r="A2713" s="23"/>
      <c r="B2713" s="2"/>
      <c r="C2713" s="2"/>
      <c r="D2713" s="2"/>
      <c r="E2713" s="2"/>
      <c r="F2713" s="2"/>
      <c r="G2713" s="2"/>
      <c r="H2713" s="2"/>
      <c r="I2713" s="2"/>
      <c r="J2713" s="2"/>
      <c r="K2713" s="2"/>
      <c r="L2713" s="24"/>
      <c r="M2713" s="24"/>
      <c r="N2713" s="24"/>
      <c r="O2713" s="24"/>
      <c r="P2713" s="24"/>
      <c r="Q2713" s="2"/>
      <c r="R2713" s="2"/>
      <c r="S2713" s="2"/>
      <c r="T2713" s="2"/>
      <c r="U2713" s="24"/>
      <c r="V2713" s="2"/>
      <c r="W2713" s="2"/>
      <c r="X2713" s="2"/>
      <c r="Y2713" s="2"/>
      <c r="Z2713" s="2"/>
    </row>
    <row r="2714">
      <c r="A2714" s="23"/>
      <c r="B2714" s="2"/>
      <c r="C2714" s="2"/>
      <c r="D2714" s="2"/>
      <c r="E2714" s="2"/>
      <c r="F2714" s="2"/>
      <c r="G2714" s="2"/>
      <c r="H2714" s="2"/>
      <c r="I2714" s="2"/>
      <c r="J2714" s="2"/>
      <c r="K2714" s="2"/>
      <c r="L2714" s="24"/>
      <c r="M2714" s="24"/>
      <c r="N2714" s="24"/>
      <c r="O2714" s="24"/>
      <c r="P2714" s="24"/>
      <c r="Q2714" s="2"/>
      <c r="R2714" s="2"/>
      <c r="S2714" s="2"/>
      <c r="T2714" s="2"/>
      <c r="U2714" s="24"/>
      <c r="V2714" s="2"/>
      <c r="W2714" s="2"/>
      <c r="X2714" s="2"/>
      <c r="Y2714" s="2"/>
      <c r="Z2714" s="2"/>
    </row>
    <row r="2715">
      <c r="A2715" s="23"/>
      <c r="B2715" s="2"/>
      <c r="C2715" s="2"/>
      <c r="D2715" s="2"/>
      <c r="E2715" s="2"/>
      <c r="F2715" s="2"/>
      <c r="G2715" s="2"/>
      <c r="H2715" s="2"/>
      <c r="I2715" s="2"/>
      <c r="J2715" s="2"/>
      <c r="K2715" s="2"/>
      <c r="L2715" s="24"/>
      <c r="M2715" s="24"/>
      <c r="N2715" s="24"/>
      <c r="O2715" s="24"/>
      <c r="P2715" s="24"/>
      <c r="Q2715" s="2"/>
      <c r="R2715" s="2"/>
      <c r="S2715" s="2"/>
      <c r="T2715" s="2"/>
      <c r="U2715" s="24"/>
      <c r="V2715" s="2"/>
      <c r="W2715" s="2"/>
      <c r="X2715" s="2"/>
      <c r="Y2715" s="2"/>
      <c r="Z2715" s="2"/>
    </row>
    <row r="2716">
      <c r="A2716" s="23"/>
      <c r="B2716" s="2"/>
      <c r="C2716" s="2"/>
      <c r="D2716" s="2"/>
      <c r="E2716" s="2"/>
      <c r="F2716" s="2"/>
      <c r="G2716" s="2"/>
      <c r="H2716" s="2"/>
      <c r="I2716" s="2"/>
      <c r="J2716" s="2"/>
      <c r="K2716" s="2"/>
      <c r="L2716" s="24"/>
      <c r="M2716" s="24"/>
      <c r="N2716" s="24"/>
      <c r="O2716" s="24"/>
      <c r="P2716" s="24"/>
      <c r="Q2716" s="2"/>
      <c r="R2716" s="2"/>
      <c r="S2716" s="2"/>
      <c r="T2716" s="2"/>
      <c r="U2716" s="24"/>
      <c r="V2716" s="2"/>
      <c r="W2716" s="2"/>
      <c r="X2716" s="2"/>
      <c r="Y2716" s="2"/>
      <c r="Z2716" s="2"/>
    </row>
    <row r="2717">
      <c r="A2717" s="23"/>
      <c r="B2717" s="2"/>
      <c r="C2717" s="2"/>
      <c r="D2717" s="2"/>
      <c r="E2717" s="2"/>
      <c r="F2717" s="2"/>
      <c r="G2717" s="2"/>
      <c r="H2717" s="2"/>
      <c r="I2717" s="2"/>
      <c r="J2717" s="2"/>
      <c r="K2717" s="2"/>
      <c r="L2717" s="24"/>
      <c r="M2717" s="24"/>
      <c r="N2717" s="24"/>
      <c r="O2717" s="24"/>
      <c r="P2717" s="24"/>
      <c r="Q2717" s="2"/>
      <c r="R2717" s="2"/>
      <c r="S2717" s="2"/>
      <c r="T2717" s="2"/>
      <c r="U2717" s="24"/>
      <c r="V2717" s="2"/>
      <c r="W2717" s="2"/>
      <c r="X2717" s="2"/>
      <c r="Y2717" s="2"/>
      <c r="Z2717" s="2"/>
    </row>
    <row r="2718">
      <c r="A2718" s="23"/>
      <c r="B2718" s="2"/>
      <c r="C2718" s="2"/>
      <c r="D2718" s="2"/>
      <c r="E2718" s="2"/>
      <c r="F2718" s="2"/>
      <c r="G2718" s="2"/>
      <c r="H2718" s="2"/>
      <c r="I2718" s="2"/>
      <c r="J2718" s="2"/>
      <c r="K2718" s="2"/>
      <c r="L2718" s="24"/>
      <c r="M2718" s="24"/>
      <c r="N2718" s="24"/>
      <c r="O2718" s="24"/>
      <c r="P2718" s="24"/>
      <c r="Q2718" s="2"/>
      <c r="R2718" s="2"/>
      <c r="S2718" s="2"/>
      <c r="T2718" s="2"/>
      <c r="U2718" s="24"/>
      <c r="V2718" s="2"/>
      <c r="W2718" s="2"/>
      <c r="X2718" s="2"/>
      <c r="Y2718" s="2"/>
      <c r="Z2718" s="2"/>
    </row>
    <row r="2719">
      <c r="A2719" s="23"/>
      <c r="B2719" s="2"/>
      <c r="C2719" s="2"/>
      <c r="D2719" s="2"/>
      <c r="E2719" s="2"/>
      <c r="F2719" s="2"/>
      <c r="G2719" s="2"/>
      <c r="H2719" s="2"/>
      <c r="I2719" s="2"/>
      <c r="J2719" s="2"/>
      <c r="K2719" s="2"/>
      <c r="L2719" s="24"/>
      <c r="M2719" s="24"/>
      <c r="N2719" s="24"/>
      <c r="O2719" s="24"/>
      <c r="P2719" s="24"/>
      <c r="Q2719" s="2"/>
      <c r="R2719" s="2"/>
      <c r="S2719" s="2"/>
      <c r="T2719" s="2"/>
      <c r="U2719" s="24"/>
      <c r="V2719" s="2"/>
      <c r="W2719" s="2"/>
      <c r="X2719" s="2"/>
      <c r="Y2719" s="2"/>
      <c r="Z2719" s="2"/>
    </row>
    <row r="2720">
      <c r="A2720" s="23"/>
      <c r="B2720" s="2"/>
      <c r="C2720" s="2"/>
      <c r="D2720" s="2"/>
      <c r="E2720" s="2"/>
      <c r="F2720" s="2"/>
      <c r="G2720" s="2"/>
      <c r="H2720" s="2"/>
      <c r="I2720" s="2"/>
      <c r="J2720" s="2"/>
      <c r="K2720" s="2"/>
      <c r="L2720" s="24"/>
      <c r="M2720" s="24"/>
      <c r="N2720" s="24"/>
      <c r="O2720" s="24"/>
      <c r="P2720" s="24"/>
      <c r="Q2720" s="2"/>
      <c r="R2720" s="2"/>
      <c r="S2720" s="2"/>
      <c r="T2720" s="2"/>
      <c r="U2720" s="24"/>
      <c r="V2720" s="2"/>
      <c r="W2720" s="2"/>
      <c r="X2720" s="2"/>
      <c r="Y2720" s="2"/>
      <c r="Z2720" s="2"/>
    </row>
    <row r="2721">
      <c r="A2721" s="23"/>
      <c r="B2721" s="2"/>
      <c r="C2721" s="2"/>
      <c r="D2721" s="2"/>
      <c r="E2721" s="2"/>
      <c r="F2721" s="2"/>
      <c r="G2721" s="2"/>
      <c r="H2721" s="2"/>
      <c r="I2721" s="2"/>
      <c r="J2721" s="2"/>
      <c r="K2721" s="2"/>
      <c r="L2721" s="24"/>
      <c r="M2721" s="24"/>
      <c r="N2721" s="24"/>
      <c r="O2721" s="24"/>
      <c r="P2721" s="24"/>
      <c r="Q2721" s="2"/>
      <c r="R2721" s="2"/>
      <c r="S2721" s="2"/>
      <c r="T2721" s="2"/>
      <c r="U2721" s="24"/>
      <c r="V2721" s="2"/>
      <c r="W2721" s="2"/>
      <c r="X2721" s="2"/>
      <c r="Y2721" s="2"/>
      <c r="Z2721" s="2"/>
    </row>
    <row r="2722">
      <c r="A2722" s="23"/>
      <c r="B2722" s="2"/>
      <c r="C2722" s="2"/>
      <c r="D2722" s="2"/>
      <c r="E2722" s="2"/>
      <c r="F2722" s="2"/>
      <c r="G2722" s="2"/>
      <c r="H2722" s="2"/>
      <c r="I2722" s="2"/>
      <c r="J2722" s="2"/>
      <c r="K2722" s="2"/>
      <c r="L2722" s="24"/>
      <c r="M2722" s="24"/>
      <c r="N2722" s="24"/>
      <c r="O2722" s="24"/>
      <c r="P2722" s="24"/>
      <c r="Q2722" s="2"/>
      <c r="R2722" s="2"/>
      <c r="S2722" s="2"/>
      <c r="T2722" s="2"/>
      <c r="U2722" s="24"/>
      <c r="V2722" s="2"/>
      <c r="W2722" s="2"/>
      <c r="X2722" s="2"/>
      <c r="Y2722" s="2"/>
      <c r="Z2722" s="2"/>
    </row>
    <row r="2723">
      <c r="A2723" s="23"/>
      <c r="B2723" s="2"/>
      <c r="C2723" s="2"/>
      <c r="D2723" s="2"/>
      <c r="E2723" s="2"/>
      <c r="F2723" s="2"/>
      <c r="G2723" s="2"/>
      <c r="H2723" s="2"/>
      <c r="I2723" s="2"/>
      <c r="J2723" s="2"/>
      <c r="K2723" s="2"/>
      <c r="L2723" s="24"/>
      <c r="M2723" s="24"/>
      <c r="N2723" s="24"/>
      <c r="O2723" s="24"/>
      <c r="P2723" s="24"/>
      <c r="Q2723" s="2"/>
      <c r="R2723" s="2"/>
      <c r="S2723" s="2"/>
      <c r="T2723" s="2"/>
      <c r="U2723" s="24"/>
      <c r="V2723" s="2"/>
      <c r="W2723" s="2"/>
      <c r="X2723" s="2"/>
      <c r="Y2723" s="2"/>
      <c r="Z2723" s="2"/>
    </row>
    <row r="2724">
      <c r="A2724" s="23"/>
      <c r="B2724" s="2"/>
      <c r="C2724" s="2"/>
      <c r="D2724" s="2"/>
      <c r="E2724" s="2"/>
      <c r="F2724" s="2"/>
      <c r="G2724" s="2"/>
      <c r="H2724" s="2"/>
      <c r="I2724" s="2"/>
      <c r="J2724" s="2"/>
      <c r="K2724" s="2"/>
      <c r="L2724" s="24"/>
      <c r="M2724" s="24"/>
      <c r="N2724" s="24"/>
      <c r="O2724" s="24"/>
      <c r="P2724" s="24"/>
      <c r="Q2724" s="2"/>
      <c r="R2724" s="2"/>
      <c r="S2724" s="2"/>
      <c r="T2724" s="2"/>
      <c r="U2724" s="24"/>
      <c r="V2724" s="2"/>
      <c r="W2724" s="2"/>
      <c r="X2724" s="2"/>
      <c r="Y2724" s="2"/>
      <c r="Z2724" s="2"/>
    </row>
    <row r="2725">
      <c r="A2725" s="23"/>
      <c r="B2725" s="2"/>
      <c r="C2725" s="2"/>
      <c r="D2725" s="2"/>
      <c r="E2725" s="2"/>
      <c r="F2725" s="2"/>
      <c r="G2725" s="2"/>
      <c r="H2725" s="2"/>
      <c r="I2725" s="2"/>
      <c r="J2725" s="2"/>
      <c r="K2725" s="2"/>
      <c r="L2725" s="24"/>
      <c r="M2725" s="24"/>
      <c r="N2725" s="24"/>
      <c r="O2725" s="24"/>
      <c r="P2725" s="24"/>
      <c r="Q2725" s="2"/>
      <c r="R2725" s="2"/>
      <c r="S2725" s="2"/>
      <c r="T2725" s="2"/>
      <c r="U2725" s="24"/>
      <c r="V2725" s="2"/>
      <c r="W2725" s="2"/>
      <c r="X2725" s="2"/>
      <c r="Y2725" s="2"/>
      <c r="Z2725" s="2"/>
    </row>
    <row r="2726">
      <c r="A2726" s="23"/>
      <c r="B2726" s="2"/>
      <c r="C2726" s="2"/>
      <c r="D2726" s="2"/>
      <c r="E2726" s="2"/>
      <c r="F2726" s="2"/>
      <c r="G2726" s="2"/>
      <c r="H2726" s="2"/>
      <c r="I2726" s="2"/>
      <c r="J2726" s="2"/>
      <c r="K2726" s="2"/>
      <c r="L2726" s="24"/>
      <c r="M2726" s="24"/>
      <c r="N2726" s="24"/>
      <c r="O2726" s="24"/>
      <c r="P2726" s="24"/>
      <c r="Q2726" s="2"/>
      <c r="R2726" s="2"/>
      <c r="S2726" s="2"/>
      <c r="T2726" s="2"/>
      <c r="U2726" s="24"/>
      <c r="V2726" s="2"/>
      <c r="W2726" s="2"/>
      <c r="X2726" s="2"/>
      <c r="Y2726" s="2"/>
      <c r="Z2726" s="2"/>
    </row>
    <row r="2727">
      <c r="A2727" s="23"/>
      <c r="B2727" s="2"/>
      <c r="C2727" s="2"/>
      <c r="D2727" s="2"/>
      <c r="E2727" s="2"/>
      <c r="F2727" s="2"/>
      <c r="G2727" s="2"/>
      <c r="H2727" s="2"/>
      <c r="I2727" s="2"/>
      <c r="J2727" s="2"/>
      <c r="K2727" s="2"/>
      <c r="L2727" s="24"/>
      <c r="M2727" s="24"/>
      <c r="N2727" s="24"/>
      <c r="O2727" s="24"/>
      <c r="P2727" s="24"/>
      <c r="Q2727" s="2"/>
      <c r="R2727" s="2"/>
      <c r="S2727" s="2"/>
      <c r="T2727" s="2"/>
      <c r="U2727" s="24"/>
      <c r="V2727" s="2"/>
      <c r="W2727" s="2"/>
      <c r="X2727" s="2"/>
      <c r="Y2727" s="2"/>
      <c r="Z2727" s="2"/>
    </row>
    <row r="2728">
      <c r="A2728" s="23"/>
      <c r="B2728" s="2"/>
      <c r="C2728" s="2"/>
      <c r="D2728" s="2"/>
      <c r="E2728" s="2"/>
      <c r="F2728" s="2"/>
      <c r="G2728" s="2"/>
      <c r="H2728" s="2"/>
      <c r="I2728" s="2"/>
      <c r="J2728" s="2"/>
      <c r="K2728" s="2"/>
      <c r="L2728" s="24"/>
      <c r="M2728" s="24"/>
      <c r="N2728" s="24"/>
      <c r="O2728" s="24"/>
      <c r="P2728" s="24"/>
      <c r="Q2728" s="2"/>
      <c r="R2728" s="2"/>
      <c r="S2728" s="2"/>
      <c r="T2728" s="2"/>
      <c r="U2728" s="24"/>
      <c r="V2728" s="2"/>
      <c r="W2728" s="2"/>
      <c r="X2728" s="2"/>
      <c r="Y2728" s="2"/>
      <c r="Z2728" s="2"/>
    </row>
    <row r="2729">
      <c r="A2729" s="23"/>
      <c r="B2729" s="2"/>
      <c r="C2729" s="2"/>
      <c r="D2729" s="2"/>
      <c r="E2729" s="2"/>
      <c r="F2729" s="2"/>
      <c r="G2729" s="2"/>
      <c r="H2729" s="2"/>
      <c r="I2729" s="2"/>
      <c r="J2729" s="2"/>
      <c r="K2729" s="2"/>
      <c r="L2729" s="24"/>
      <c r="M2729" s="24"/>
      <c r="N2729" s="24"/>
      <c r="O2729" s="24"/>
      <c r="P2729" s="24"/>
      <c r="Q2729" s="2"/>
      <c r="R2729" s="2"/>
      <c r="S2729" s="2"/>
      <c r="T2729" s="2"/>
      <c r="U2729" s="24"/>
      <c r="V2729" s="2"/>
      <c r="W2729" s="2"/>
      <c r="X2729" s="2"/>
      <c r="Y2729" s="2"/>
      <c r="Z2729" s="2"/>
    </row>
    <row r="2730">
      <c r="A2730" s="23"/>
      <c r="B2730" s="2"/>
      <c r="C2730" s="2"/>
      <c r="D2730" s="2"/>
      <c r="E2730" s="2"/>
      <c r="F2730" s="2"/>
      <c r="G2730" s="2"/>
      <c r="H2730" s="2"/>
      <c r="I2730" s="2"/>
      <c r="J2730" s="2"/>
      <c r="K2730" s="2"/>
      <c r="L2730" s="24"/>
      <c r="M2730" s="24"/>
      <c r="N2730" s="24"/>
      <c r="O2730" s="24"/>
      <c r="P2730" s="24"/>
      <c r="Q2730" s="2"/>
      <c r="R2730" s="2"/>
      <c r="S2730" s="2"/>
      <c r="T2730" s="2"/>
      <c r="U2730" s="24"/>
      <c r="V2730" s="2"/>
      <c r="W2730" s="2"/>
      <c r="X2730" s="2"/>
      <c r="Y2730" s="2"/>
      <c r="Z2730" s="2"/>
    </row>
    <row r="2731">
      <c r="A2731" s="23"/>
      <c r="B2731" s="2"/>
      <c r="C2731" s="2"/>
      <c r="D2731" s="2"/>
      <c r="E2731" s="2"/>
      <c r="F2731" s="2"/>
      <c r="G2731" s="2"/>
      <c r="H2731" s="2"/>
      <c r="I2731" s="2"/>
      <c r="J2731" s="2"/>
      <c r="K2731" s="2"/>
      <c r="L2731" s="24"/>
      <c r="M2731" s="24"/>
      <c r="N2731" s="24"/>
      <c r="O2731" s="24"/>
      <c r="P2731" s="24"/>
      <c r="Q2731" s="2"/>
      <c r="R2731" s="2"/>
      <c r="S2731" s="2"/>
      <c r="T2731" s="2"/>
      <c r="U2731" s="24"/>
      <c r="V2731" s="2"/>
      <c r="W2731" s="2"/>
      <c r="X2731" s="2"/>
      <c r="Y2731" s="2"/>
      <c r="Z2731" s="2"/>
    </row>
    <row r="2732">
      <c r="A2732" s="23"/>
      <c r="B2732" s="2"/>
      <c r="C2732" s="2"/>
      <c r="D2732" s="2"/>
      <c r="E2732" s="2"/>
      <c r="F2732" s="2"/>
      <c r="G2732" s="2"/>
      <c r="H2732" s="2"/>
      <c r="I2732" s="2"/>
      <c r="J2732" s="2"/>
      <c r="K2732" s="2"/>
      <c r="L2732" s="24"/>
      <c r="M2732" s="24"/>
      <c r="N2732" s="24"/>
      <c r="O2732" s="24"/>
      <c r="P2732" s="24"/>
      <c r="Q2732" s="2"/>
      <c r="R2732" s="2"/>
      <c r="S2732" s="2"/>
      <c r="T2732" s="2"/>
      <c r="U2732" s="24"/>
      <c r="V2732" s="2"/>
      <c r="W2732" s="2"/>
      <c r="X2732" s="2"/>
      <c r="Y2732" s="2"/>
      <c r="Z2732" s="2"/>
    </row>
    <row r="2733">
      <c r="A2733" s="23"/>
      <c r="B2733" s="2"/>
      <c r="C2733" s="2"/>
      <c r="D2733" s="2"/>
      <c r="E2733" s="2"/>
      <c r="F2733" s="2"/>
      <c r="G2733" s="2"/>
      <c r="H2733" s="2"/>
      <c r="I2733" s="2"/>
      <c r="J2733" s="2"/>
      <c r="K2733" s="2"/>
      <c r="L2733" s="24"/>
      <c r="M2733" s="24"/>
      <c r="N2733" s="24"/>
      <c r="O2733" s="24"/>
      <c r="P2733" s="24"/>
      <c r="Q2733" s="2"/>
      <c r="R2733" s="2"/>
      <c r="S2733" s="2"/>
      <c r="T2733" s="2"/>
      <c r="U2733" s="24"/>
      <c r="V2733" s="2"/>
      <c r="W2733" s="2"/>
      <c r="X2733" s="2"/>
      <c r="Y2733" s="2"/>
      <c r="Z2733" s="2"/>
    </row>
    <row r="2734">
      <c r="A2734" s="23"/>
      <c r="B2734" s="2"/>
      <c r="C2734" s="2"/>
      <c r="D2734" s="2"/>
      <c r="E2734" s="2"/>
      <c r="F2734" s="2"/>
      <c r="G2734" s="2"/>
      <c r="H2734" s="2"/>
      <c r="I2734" s="2"/>
      <c r="J2734" s="2"/>
      <c r="K2734" s="2"/>
      <c r="L2734" s="24"/>
      <c r="M2734" s="24"/>
      <c r="N2734" s="24"/>
      <c r="O2734" s="24"/>
      <c r="P2734" s="24"/>
      <c r="Q2734" s="2"/>
      <c r="R2734" s="2"/>
      <c r="S2734" s="2"/>
      <c r="T2734" s="2"/>
      <c r="U2734" s="24"/>
      <c r="V2734" s="2"/>
      <c r="W2734" s="2"/>
      <c r="X2734" s="2"/>
      <c r="Y2734" s="2"/>
      <c r="Z2734" s="2"/>
    </row>
    <row r="2735">
      <c r="A2735" s="23"/>
      <c r="B2735" s="2"/>
      <c r="C2735" s="2"/>
      <c r="D2735" s="2"/>
      <c r="E2735" s="2"/>
      <c r="F2735" s="2"/>
      <c r="G2735" s="2"/>
      <c r="H2735" s="2"/>
      <c r="I2735" s="2"/>
      <c r="J2735" s="2"/>
      <c r="K2735" s="2"/>
      <c r="L2735" s="24"/>
      <c r="M2735" s="24"/>
      <c r="N2735" s="24"/>
      <c r="O2735" s="24"/>
      <c r="P2735" s="24"/>
      <c r="Q2735" s="2"/>
      <c r="R2735" s="2"/>
      <c r="S2735" s="2"/>
      <c r="T2735" s="2"/>
      <c r="U2735" s="24"/>
      <c r="V2735" s="2"/>
      <c r="W2735" s="2"/>
      <c r="X2735" s="2"/>
      <c r="Y2735" s="2"/>
      <c r="Z2735" s="2"/>
    </row>
    <row r="2736">
      <c r="A2736" s="23"/>
      <c r="B2736" s="2"/>
      <c r="C2736" s="2"/>
      <c r="D2736" s="2"/>
      <c r="E2736" s="2"/>
      <c r="F2736" s="2"/>
      <c r="G2736" s="2"/>
      <c r="H2736" s="2"/>
      <c r="I2736" s="2"/>
      <c r="J2736" s="2"/>
      <c r="K2736" s="2"/>
      <c r="L2736" s="24"/>
      <c r="M2736" s="24"/>
      <c r="N2736" s="24"/>
      <c r="O2736" s="24"/>
      <c r="P2736" s="24"/>
      <c r="Q2736" s="2"/>
      <c r="R2736" s="2"/>
      <c r="S2736" s="2"/>
      <c r="T2736" s="2"/>
      <c r="U2736" s="24"/>
      <c r="V2736" s="2"/>
      <c r="W2736" s="2"/>
      <c r="X2736" s="2"/>
      <c r="Y2736" s="2"/>
      <c r="Z2736" s="2"/>
    </row>
    <row r="2737">
      <c r="A2737" s="23"/>
      <c r="B2737" s="2"/>
      <c r="C2737" s="2"/>
      <c r="D2737" s="2"/>
      <c r="E2737" s="2"/>
      <c r="F2737" s="2"/>
      <c r="G2737" s="2"/>
      <c r="H2737" s="2"/>
      <c r="I2737" s="2"/>
      <c r="J2737" s="2"/>
      <c r="K2737" s="2"/>
      <c r="L2737" s="24"/>
      <c r="M2737" s="24"/>
      <c r="N2737" s="24"/>
      <c r="O2737" s="24"/>
      <c r="P2737" s="24"/>
      <c r="Q2737" s="2"/>
      <c r="R2737" s="2"/>
      <c r="S2737" s="2"/>
      <c r="T2737" s="2"/>
      <c r="U2737" s="24"/>
      <c r="V2737" s="2"/>
      <c r="W2737" s="2"/>
      <c r="X2737" s="2"/>
      <c r="Y2737" s="2"/>
      <c r="Z2737" s="2"/>
    </row>
    <row r="2738">
      <c r="A2738" s="23"/>
      <c r="B2738" s="2"/>
      <c r="C2738" s="2"/>
      <c r="D2738" s="2"/>
      <c r="E2738" s="2"/>
      <c r="F2738" s="2"/>
      <c r="G2738" s="2"/>
      <c r="H2738" s="2"/>
      <c r="I2738" s="2"/>
      <c r="J2738" s="2"/>
      <c r="K2738" s="2"/>
      <c r="L2738" s="24"/>
      <c r="M2738" s="24"/>
      <c r="N2738" s="24"/>
      <c r="O2738" s="24"/>
      <c r="P2738" s="24"/>
      <c r="Q2738" s="2"/>
      <c r="R2738" s="2"/>
      <c r="S2738" s="2"/>
      <c r="T2738" s="2"/>
      <c r="U2738" s="24"/>
      <c r="V2738" s="2"/>
      <c r="W2738" s="2"/>
      <c r="X2738" s="2"/>
      <c r="Y2738" s="2"/>
      <c r="Z2738" s="2"/>
    </row>
    <row r="2739">
      <c r="A2739" s="23"/>
      <c r="B2739" s="2"/>
      <c r="C2739" s="2"/>
      <c r="D2739" s="2"/>
      <c r="E2739" s="2"/>
      <c r="F2739" s="2"/>
      <c r="G2739" s="2"/>
      <c r="H2739" s="2"/>
      <c r="I2739" s="2"/>
      <c r="J2739" s="2"/>
      <c r="K2739" s="2"/>
      <c r="L2739" s="24"/>
      <c r="M2739" s="24"/>
      <c r="N2739" s="24"/>
      <c r="O2739" s="24"/>
      <c r="P2739" s="24"/>
      <c r="Q2739" s="2"/>
      <c r="R2739" s="2"/>
      <c r="S2739" s="2"/>
      <c r="T2739" s="2"/>
      <c r="U2739" s="24"/>
      <c r="V2739" s="2"/>
      <c r="W2739" s="2"/>
      <c r="X2739" s="2"/>
      <c r="Y2739" s="2"/>
      <c r="Z2739" s="2"/>
    </row>
    <row r="2740">
      <c r="A2740" s="23"/>
      <c r="B2740" s="2"/>
      <c r="C2740" s="2"/>
      <c r="D2740" s="2"/>
      <c r="E2740" s="2"/>
      <c r="F2740" s="2"/>
      <c r="G2740" s="2"/>
      <c r="H2740" s="2"/>
      <c r="I2740" s="2"/>
      <c r="J2740" s="2"/>
      <c r="K2740" s="2"/>
      <c r="L2740" s="24"/>
      <c r="M2740" s="24"/>
      <c r="N2740" s="24"/>
      <c r="O2740" s="24"/>
      <c r="P2740" s="24"/>
      <c r="Q2740" s="2"/>
      <c r="R2740" s="2"/>
      <c r="S2740" s="2"/>
      <c r="T2740" s="2"/>
      <c r="U2740" s="24"/>
      <c r="V2740" s="2"/>
      <c r="W2740" s="2"/>
      <c r="X2740" s="2"/>
      <c r="Y2740" s="2"/>
      <c r="Z2740" s="2"/>
    </row>
    <row r="2741">
      <c r="A2741" s="23"/>
      <c r="B2741" s="2"/>
      <c r="C2741" s="2"/>
      <c r="D2741" s="2"/>
      <c r="E2741" s="2"/>
      <c r="F2741" s="2"/>
      <c r="G2741" s="2"/>
      <c r="H2741" s="2"/>
      <c r="I2741" s="2"/>
      <c r="J2741" s="2"/>
      <c r="K2741" s="2"/>
      <c r="L2741" s="24"/>
      <c r="M2741" s="24"/>
      <c r="N2741" s="24"/>
      <c r="O2741" s="24"/>
      <c r="P2741" s="24"/>
      <c r="Q2741" s="2"/>
      <c r="R2741" s="2"/>
      <c r="S2741" s="2"/>
      <c r="T2741" s="2"/>
      <c r="U2741" s="24"/>
      <c r="V2741" s="2"/>
      <c r="W2741" s="2"/>
      <c r="X2741" s="2"/>
      <c r="Y2741" s="2"/>
      <c r="Z2741" s="2"/>
    </row>
    <row r="2742">
      <c r="A2742" s="23"/>
      <c r="B2742" s="2"/>
      <c r="C2742" s="2"/>
      <c r="D2742" s="2"/>
      <c r="E2742" s="2"/>
      <c r="F2742" s="2"/>
      <c r="G2742" s="2"/>
      <c r="H2742" s="2"/>
      <c r="I2742" s="2"/>
      <c r="J2742" s="2"/>
      <c r="K2742" s="2"/>
      <c r="L2742" s="24"/>
      <c r="M2742" s="24"/>
      <c r="N2742" s="24"/>
      <c r="O2742" s="24"/>
      <c r="P2742" s="24"/>
      <c r="Q2742" s="2"/>
      <c r="R2742" s="2"/>
      <c r="S2742" s="2"/>
      <c r="T2742" s="2"/>
      <c r="U2742" s="24"/>
      <c r="V2742" s="2"/>
      <c r="W2742" s="2"/>
      <c r="X2742" s="2"/>
      <c r="Y2742" s="2"/>
      <c r="Z2742" s="2"/>
    </row>
    <row r="2743">
      <c r="A2743" s="23"/>
      <c r="B2743" s="2"/>
      <c r="C2743" s="2"/>
      <c r="D2743" s="2"/>
      <c r="E2743" s="2"/>
      <c r="F2743" s="2"/>
      <c r="G2743" s="2"/>
      <c r="H2743" s="2"/>
      <c r="I2743" s="2"/>
      <c r="J2743" s="2"/>
      <c r="K2743" s="2"/>
      <c r="L2743" s="24"/>
      <c r="M2743" s="24"/>
      <c r="N2743" s="24"/>
      <c r="O2743" s="24"/>
      <c r="P2743" s="24"/>
      <c r="Q2743" s="2"/>
      <c r="R2743" s="2"/>
      <c r="S2743" s="2"/>
      <c r="T2743" s="2"/>
      <c r="U2743" s="24"/>
      <c r="V2743" s="2"/>
      <c r="W2743" s="2"/>
      <c r="X2743" s="2"/>
      <c r="Y2743" s="2"/>
      <c r="Z2743" s="2"/>
    </row>
    <row r="2744">
      <c r="A2744" s="23"/>
      <c r="B2744" s="2"/>
      <c r="C2744" s="2"/>
      <c r="D2744" s="2"/>
      <c r="E2744" s="2"/>
      <c r="F2744" s="2"/>
      <c r="G2744" s="2"/>
      <c r="H2744" s="2"/>
      <c r="I2744" s="2"/>
      <c r="J2744" s="2"/>
      <c r="K2744" s="2"/>
      <c r="L2744" s="24"/>
      <c r="M2744" s="24"/>
      <c r="N2744" s="24"/>
      <c r="O2744" s="24"/>
      <c r="P2744" s="24"/>
      <c r="Q2744" s="2"/>
      <c r="R2744" s="2"/>
      <c r="S2744" s="2"/>
      <c r="T2744" s="2"/>
      <c r="U2744" s="24"/>
      <c r="V2744" s="2"/>
      <c r="W2744" s="2"/>
      <c r="X2744" s="2"/>
      <c r="Y2744" s="2"/>
      <c r="Z2744" s="2"/>
    </row>
    <row r="2745">
      <c r="A2745" s="23"/>
      <c r="B2745" s="2"/>
      <c r="C2745" s="2"/>
      <c r="D2745" s="2"/>
      <c r="E2745" s="2"/>
      <c r="F2745" s="2"/>
      <c r="G2745" s="2"/>
      <c r="H2745" s="2"/>
      <c r="I2745" s="2"/>
      <c r="J2745" s="2"/>
      <c r="K2745" s="2"/>
      <c r="L2745" s="24"/>
      <c r="M2745" s="24"/>
      <c r="N2745" s="24"/>
      <c r="O2745" s="24"/>
      <c r="P2745" s="24"/>
      <c r="Q2745" s="2"/>
      <c r="R2745" s="2"/>
      <c r="S2745" s="2"/>
      <c r="T2745" s="2"/>
      <c r="U2745" s="24"/>
      <c r="V2745" s="2"/>
      <c r="W2745" s="2"/>
      <c r="X2745" s="2"/>
      <c r="Y2745" s="2"/>
      <c r="Z2745" s="2"/>
    </row>
    <row r="2746">
      <c r="A2746" s="23"/>
      <c r="B2746" s="2"/>
      <c r="C2746" s="2"/>
      <c r="D2746" s="2"/>
      <c r="E2746" s="2"/>
      <c r="F2746" s="2"/>
      <c r="G2746" s="2"/>
      <c r="H2746" s="2"/>
      <c r="I2746" s="2"/>
      <c r="J2746" s="2"/>
      <c r="K2746" s="2"/>
      <c r="L2746" s="24"/>
      <c r="M2746" s="24"/>
      <c r="N2746" s="24"/>
      <c r="O2746" s="24"/>
      <c r="P2746" s="24"/>
      <c r="Q2746" s="2"/>
      <c r="R2746" s="2"/>
      <c r="S2746" s="2"/>
      <c r="T2746" s="2"/>
      <c r="U2746" s="24"/>
      <c r="V2746" s="2"/>
      <c r="W2746" s="2"/>
      <c r="X2746" s="2"/>
      <c r="Y2746" s="2"/>
      <c r="Z2746" s="2"/>
    </row>
    <row r="2747">
      <c r="A2747" s="23"/>
      <c r="B2747" s="2"/>
      <c r="C2747" s="2"/>
      <c r="D2747" s="2"/>
      <c r="E2747" s="2"/>
      <c r="F2747" s="2"/>
      <c r="G2747" s="2"/>
      <c r="H2747" s="2"/>
      <c r="I2747" s="2"/>
      <c r="J2747" s="2"/>
      <c r="K2747" s="2"/>
      <c r="L2747" s="24"/>
      <c r="M2747" s="24"/>
      <c r="N2747" s="24"/>
      <c r="O2747" s="24"/>
      <c r="P2747" s="24"/>
      <c r="Q2747" s="2"/>
      <c r="R2747" s="2"/>
      <c r="S2747" s="2"/>
      <c r="T2747" s="2"/>
      <c r="U2747" s="24"/>
      <c r="V2747" s="2"/>
      <c r="W2747" s="2"/>
      <c r="X2747" s="2"/>
      <c r="Y2747" s="2"/>
      <c r="Z2747" s="2"/>
    </row>
    <row r="2748">
      <c r="A2748" s="23"/>
      <c r="B2748" s="2"/>
      <c r="C2748" s="2"/>
      <c r="D2748" s="2"/>
      <c r="E2748" s="2"/>
      <c r="F2748" s="2"/>
      <c r="G2748" s="2"/>
      <c r="H2748" s="2"/>
      <c r="I2748" s="2"/>
      <c r="J2748" s="2"/>
      <c r="K2748" s="2"/>
      <c r="L2748" s="24"/>
      <c r="M2748" s="24"/>
      <c r="N2748" s="24"/>
      <c r="O2748" s="24"/>
      <c r="P2748" s="24"/>
      <c r="Q2748" s="2"/>
      <c r="R2748" s="2"/>
      <c r="S2748" s="2"/>
      <c r="T2748" s="2"/>
      <c r="U2748" s="24"/>
      <c r="V2748" s="2"/>
      <c r="W2748" s="2"/>
      <c r="X2748" s="2"/>
      <c r="Y2748" s="2"/>
      <c r="Z2748" s="2"/>
    </row>
    <row r="2749">
      <c r="A2749" s="23"/>
      <c r="B2749" s="2"/>
      <c r="C2749" s="2"/>
      <c r="D2749" s="2"/>
      <c r="E2749" s="2"/>
      <c r="F2749" s="2"/>
      <c r="G2749" s="2"/>
      <c r="H2749" s="2"/>
      <c r="I2749" s="2"/>
      <c r="J2749" s="2"/>
      <c r="K2749" s="2"/>
      <c r="L2749" s="24"/>
      <c r="M2749" s="24"/>
      <c r="N2749" s="24"/>
      <c r="O2749" s="24"/>
      <c r="P2749" s="24"/>
      <c r="Q2749" s="2"/>
      <c r="R2749" s="2"/>
      <c r="S2749" s="2"/>
      <c r="T2749" s="2"/>
      <c r="U2749" s="24"/>
      <c r="V2749" s="2"/>
      <c r="W2749" s="2"/>
      <c r="X2749" s="2"/>
      <c r="Y2749" s="2"/>
      <c r="Z2749" s="2"/>
    </row>
    <row r="2750">
      <c r="A2750" s="23"/>
      <c r="B2750" s="2"/>
      <c r="C2750" s="2"/>
      <c r="D2750" s="2"/>
      <c r="E2750" s="2"/>
      <c r="F2750" s="2"/>
      <c r="G2750" s="2"/>
      <c r="H2750" s="2"/>
      <c r="I2750" s="2"/>
      <c r="J2750" s="2"/>
      <c r="K2750" s="2"/>
      <c r="L2750" s="24"/>
      <c r="M2750" s="24"/>
      <c r="N2750" s="24"/>
      <c r="O2750" s="24"/>
      <c r="P2750" s="24"/>
      <c r="Q2750" s="2"/>
      <c r="R2750" s="2"/>
      <c r="S2750" s="2"/>
      <c r="T2750" s="2"/>
      <c r="U2750" s="24"/>
      <c r="V2750" s="2"/>
      <c r="W2750" s="2"/>
      <c r="X2750" s="2"/>
      <c r="Y2750" s="2"/>
      <c r="Z2750" s="2"/>
    </row>
    <row r="2751">
      <c r="A2751" s="23"/>
      <c r="B2751" s="2"/>
      <c r="C2751" s="2"/>
      <c r="D2751" s="2"/>
      <c r="E2751" s="2"/>
      <c r="F2751" s="2"/>
      <c r="G2751" s="2"/>
      <c r="H2751" s="2"/>
      <c r="I2751" s="2"/>
      <c r="J2751" s="2"/>
      <c r="K2751" s="2"/>
      <c r="L2751" s="24"/>
      <c r="M2751" s="24"/>
      <c r="N2751" s="24"/>
      <c r="O2751" s="24"/>
      <c r="P2751" s="24"/>
      <c r="Q2751" s="2"/>
      <c r="R2751" s="2"/>
      <c r="S2751" s="2"/>
      <c r="T2751" s="2"/>
      <c r="U2751" s="24"/>
      <c r="V2751" s="2"/>
      <c r="W2751" s="2"/>
      <c r="X2751" s="2"/>
      <c r="Y2751" s="2"/>
      <c r="Z2751" s="2"/>
    </row>
    <row r="2752">
      <c r="A2752" s="23"/>
      <c r="B2752" s="2"/>
      <c r="C2752" s="2"/>
      <c r="D2752" s="2"/>
      <c r="E2752" s="2"/>
      <c r="F2752" s="2"/>
      <c r="G2752" s="2"/>
      <c r="H2752" s="2"/>
      <c r="I2752" s="2"/>
      <c r="J2752" s="2"/>
      <c r="K2752" s="2"/>
      <c r="L2752" s="24"/>
      <c r="M2752" s="24"/>
      <c r="N2752" s="24"/>
      <c r="O2752" s="24"/>
      <c r="P2752" s="24"/>
      <c r="Q2752" s="2"/>
      <c r="R2752" s="2"/>
      <c r="S2752" s="2"/>
      <c r="T2752" s="2"/>
      <c r="U2752" s="24"/>
      <c r="V2752" s="2"/>
      <c r="W2752" s="2"/>
      <c r="X2752" s="2"/>
      <c r="Y2752" s="2"/>
      <c r="Z2752" s="2"/>
    </row>
    <row r="2753">
      <c r="A2753" s="23"/>
      <c r="B2753" s="2"/>
      <c r="C2753" s="2"/>
      <c r="D2753" s="2"/>
      <c r="E2753" s="2"/>
      <c r="F2753" s="2"/>
      <c r="G2753" s="2"/>
      <c r="H2753" s="2"/>
      <c r="I2753" s="2"/>
      <c r="J2753" s="2"/>
      <c r="K2753" s="2"/>
      <c r="L2753" s="24"/>
      <c r="M2753" s="24"/>
      <c r="N2753" s="24"/>
      <c r="O2753" s="24"/>
      <c r="P2753" s="24"/>
      <c r="Q2753" s="2"/>
      <c r="R2753" s="2"/>
      <c r="S2753" s="2"/>
      <c r="T2753" s="2"/>
      <c r="U2753" s="24"/>
      <c r="V2753" s="2"/>
      <c r="W2753" s="2"/>
      <c r="X2753" s="2"/>
      <c r="Y2753" s="2"/>
      <c r="Z2753" s="2"/>
    </row>
    <row r="2754">
      <c r="A2754" s="23"/>
      <c r="B2754" s="2"/>
      <c r="C2754" s="2"/>
      <c r="D2754" s="2"/>
      <c r="E2754" s="2"/>
      <c r="F2754" s="2"/>
      <c r="G2754" s="2"/>
      <c r="H2754" s="2"/>
      <c r="I2754" s="2"/>
      <c r="J2754" s="2"/>
      <c r="K2754" s="2"/>
      <c r="L2754" s="24"/>
      <c r="M2754" s="24"/>
      <c r="N2754" s="24"/>
      <c r="O2754" s="24"/>
      <c r="P2754" s="24"/>
      <c r="Q2754" s="2"/>
      <c r="R2754" s="2"/>
      <c r="S2754" s="2"/>
      <c r="T2754" s="2"/>
      <c r="U2754" s="24"/>
      <c r="V2754" s="2"/>
      <c r="W2754" s="2"/>
      <c r="X2754" s="2"/>
      <c r="Y2754" s="2"/>
      <c r="Z2754" s="2"/>
    </row>
    <row r="2755">
      <c r="A2755" s="23"/>
      <c r="B2755" s="2"/>
      <c r="C2755" s="2"/>
      <c r="D2755" s="2"/>
      <c r="E2755" s="2"/>
      <c r="F2755" s="2"/>
      <c r="G2755" s="2"/>
      <c r="H2755" s="2"/>
      <c r="I2755" s="2"/>
      <c r="J2755" s="2"/>
      <c r="K2755" s="2"/>
      <c r="L2755" s="24"/>
      <c r="M2755" s="24"/>
      <c r="N2755" s="24"/>
      <c r="O2755" s="24"/>
      <c r="P2755" s="24"/>
      <c r="Q2755" s="2"/>
      <c r="R2755" s="2"/>
      <c r="S2755" s="2"/>
      <c r="T2755" s="2"/>
      <c r="U2755" s="24"/>
      <c r="V2755" s="2"/>
      <c r="W2755" s="2"/>
      <c r="X2755" s="2"/>
      <c r="Y2755" s="2"/>
      <c r="Z2755" s="2"/>
    </row>
    <row r="2756">
      <c r="A2756" s="23"/>
      <c r="B2756" s="2"/>
      <c r="C2756" s="2"/>
      <c r="D2756" s="2"/>
      <c r="E2756" s="2"/>
      <c r="F2756" s="2"/>
      <c r="G2756" s="2"/>
      <c r="H2756" s="2"/>
      <c r="I2756" s="2"/>
      <c r="J2756" s="2"/>
      <c r="K2756" s="2"/>
      <c r="L2756" s="24"/>
      <c r="M2756" s="24"/>
      <c r="N2756" s="24"/>
      <c r="O2756" s="24"/>
      <c r="P2756" s="24"/>
      <c r="Q2756" s="2"/>
      <c r="R2756" s="2"/>
      <c r="S2756" s="2"/>
      <c r="T2756" s="2"/>
      <c r="U2756" s="24"/>
      <c r="V2756" s="2"/>
      <c r="W2756" s="2"/>
      <c r="X2756" s="2"/>
      <c r="Y2756" s="2"/>
      <c r="Z2756" s="2"/>
    </row>
    <row r="2757">
      <c r="A2757" s="23"/>
      <c r="B2757" s="2"/>
      <c r="C2757" s="2"/>
      <c r="D2757" s="2"/>
      <c r="E2757" s="2"/>
      <c r="F2757" s="2"/>
      <c r="G2757" s="2"/>
      <c r="H2757" s="2"/>
      <c r="I2757" s="2"/>
      <c r="J2757" s="2"/>
      <c r="K2757" s="2"/>
      <c r="L2757" s="24"/>
      <c r="M2757" s="24"/>
      <c r="N2757" s="24"/>
      <c r="O2757" s="24"/>
      <c r="P2757" s="24"/>
      <c r="Q2757" s="2"/>
      <c r="R2757" s="2"/>
      <c r="S2757" s="2"/>
      <c r="T2757" s="2"/>
      <c r="U2757" s="24"/>
      <c r="V2757" s="2"/>
      <c r="W2757" s="2"/>
      <c r="X2757" s="2"/>
      <c r="Y2757" s="2"/>
      <c r="Z2757" s="2"/>
    </row>
    <row r="2758">
      <c r="A2758" s="23"/>
      <c r="B2758" s="2"/>
      <c r="C2758" s="2"/>
      <c r="D2758" s="2"/>
      <c r="E2758" s="2"/>
      <c r="F2758" s="2"/>
      <c r="G2758" s="2"/>
      <c r="H2758" s="2"/>
      <c r="I2758" s="2"/>
      <c r="J2758" s="2"/>
      <c r="K2758" s="2"/>
      <c r="L2758" s="24"/>
      <c r="M2758" s="24"/>
      <c r="N2758" s="24"/>
      <c r="O2758" s="24"/>
      <c r="P2758" s="24"/>
      <c r="Q2758" s="2"/>
      <c r="R2758" s="2"/>
      <c r="S2758" s="2"/>
      <c r="T2758" s="2"/>
      <c r="U2758" s="24"/>
      <c r="V2758" s="2"/>
      <c r="W2758" s="2"/>
      <c r="X2758" s="2"/>
      <c r="Y2758" s="2"/>
      <c r="Z2758" s="2"/>
    </row>
    <row r="2759">
      <c r="A2759" s="23"/>
      <c r="B2759" s="2"/>
      <c r="C2759" s="2"/>
      <c r="D2759" s="2"/>
      <c r="E2759" s="2"/>
      <c r="F2759" s="2"/>
      <c r="G2759" s="2"/>
      <c r="H2759" s="2"/>
      <c r="I2759" s="2"/>
      <c r="J2759" s="2"/>
      <c r="K2759" s="2"/>
      <c r="L2759" s="24"/>
      <c r="M2759" s="24"/>
      <c r="N2759" s="24"/>
      <c r="O2759" s="24"/>
      <c r="P2759" s="24"/>
      <c r="Q2759" s="2"/>
      <c r="R2759" s="2"/>
      <c r="S2759" s="2"/>
      <c r="T2759" s="2"/>
      <c r="U2759" s="24"/>
      <c r="V2759" s="2"/>
      <c r="W2759" s="2"/>
      <c r="X2759" s="2"/>
      <c r="Y2759" s="2"/>
      <c r="Z2759" s="2"/>
    </row>
    <row r="2760">
      <c r="A2760" s="23"/>
      <c r="B2760" s="2"/>
      <c r="C2760" s="2"/>
      <c r="D2760" s="2"/>
      <c r="E2760" s="2"/>
      <c r="F2760" s="2"/>
      <c r="G2760" s="2"/>
      <c r="H2760" s="2"/>
      <c r="I2760" s="2"/>
      <c r="J2760" s="2"/>
      <c r="K2760" s="2"/>
      <c r="L2760" s="24"/>
      <c r="M2760" s="24"/>
      <c r="N2760" s="24"/>
      <c r="O2760" s="24"/>
      <c r="P2760" s="24"/>
      <c r="Q2760" s="2"/>
      <c r="R2760" s="2"/>
      <c r="S2760" s="2"/>
      <c r="T2760" s="2"/>
      <c r="U2760" s="24"/>
      <c r="V2760" s="2"/>
      <c r="W2760" s="2"/>
      <c r="X2760" s="2"/>
      <c r="Y2760" s="2"/>
      <c r="Z2760" s="2"/>
    </row>
    <row r="2761">
      <c r="A2761" s="23"/>
      <c r="B2761" s="2"/>
      <c r="C2761" s="2"/>
      <c r="D2761" s="2"/>
      <c r="E2761" s="2"/>
      <c r="F2761" s="2"/>
      <c r="G2761" s="2"/>
      <c r="H2761" s="2"/>
      <c r="I2761" s="2"/>
      <c r="J2761" s="2"/>
      <c r="K2761" s="2"/>
      <c r="L2761" s="24"/>
      <c r="M2761" s="24"/>
      <c r="N2761" s="24"/>
      <c r="O2761" s="24"/>
      <c r="P2761" s="24"/>
      <c r="Q2761" s="2"/>
      <c r="R2761" s="2"/>
      <c r="S2761" s="2"/>
      <c r="T2761" s="2"/>
      <c r="U2761" s="24"/>
      <c r="V2761" s="2"/>
      <c r="W2761" s="2"/>
      <c r="X2761" s="2"/>
      <c r="Y2761" s="2"/>
      <c r="Z2761" s="2"/>
    </row>
    <row r="2762">
      <c r="A2762" s="23"/>
      <c r="B2762" s="2"/>
      <c r="C2762" s="2"/>
      <c r="D2762" s="2"/>
      <c r="E2762" s="2"/>
      <c r="F2762" s="2"/>
      <c r="G2762" s="2"/>
      <c r="H2762" s="2"/>
      <c r="I2762" s="2"/>
      <c r="J2762" s="2"/>
      <c r="K2762" s="2"/>
      <c r="L2762" s="24"/>
      <c r="M2762" s="24"/>
      <c r="N2762" s="24"/>
      <c r="O2762" s="24"/>
      <c r="P2762" s="24"/>
      <c r="Q2762" s="2"/>
      <c r="R2762" s="2"/>
      <c r="S2762" s="2"/>
      <c r="T2762" s="2"/>
      <c r="U2762" s="24"/>
      <c r="V2762" s="2"/>
      <c r="W2762" s="2"/>
      <c r="X2762" s="2"/>
      <c r="Y2762" s="2"/>
      <c r="Z2762" s="2"/>
    </row>
    <row r="2763">
      <c r="A2763" s="23"/>
      <c r="B2763" s="2"/>
      <c r="C2763" s="2"/>
      <c r="D2763" s="2"/>
      <c r="E2763" s="2"/>
      <c r="F2763" s="2"/>
      <c r="G2763" s="2"/>
      <c r="H2763" s="2"/>
      <c r="I2763" s="2"/>
      <c r="J2763" s="2"/>
      <c r="K2763" s="2"/>
      <c r="L2763" s="24"/>
      <c r="M2763" s="24"/>
      <c r="N2763" s="24"/>
      <c r="O2763" s="24"/>
      <c r="P2763" s="24"/>
      <c r="Q2763" s="2"/>
      <c r="R2763" s="2"/>
      <c r="S2763" s="2"/>
      <c r="T2763" s="2"/>
      <c r="U2763" s="24"/>
      <c r="V2763" s="2"/>
      <c r="W2763" s="2"/>
      <c r="X2763" s="2"/>
      <c r="Y2763" s="2"/>
      <c r="Z2763" s="2"/>
    </row>
    <row r="2764">
      <c r="A2764" s="23"/>
      <c r="B2764" s="2"/>
      <c r="C2764" s="2"/>
      <c r="D2764" s="2"/>
      <c r="E2764" s="2"/>
      <c r="F2764" s="2"/>
      <c r="G2764" s="2"/>
      <c r="H2764" s="2"/>
      <c r="I2764" s="2"/>
      <c r="J2764" s="2"/>
      <c r="K2764" s="2"/>
      <c r="L2764" s="24"/>
      <c r="M2764" s="24"/>
      <c r="N2764" s="24"/>
      <c r="O2764" s="24"/>
      <c r="P2764" s="24"/>
      <c r="Q2764" s="2"/>
      <c r="R2764" s="2"/>
      <c r="S2764" s="2"/>
      <c r="T2764" s="2"/>
      <c r="U2764" s="24"/>
      <c r="V2764" s="2"/>
      <c r="W2764" s="2"/>
      <c r="X2764" s="2"/>
      <c r="Y2764" s="2"/>
      <c r="Z2764" s="2"/>
    </row>
    <row r="2765">
      <c r="A2765" s="23"/>
      <c r="B2765" s="2"/>
      <c r="C2765" s="2"/>
      <c r="D2765" s="2"/>
      <c r="E2765" s="2"/>
      <c r="F2765" s="2"/>
      <c r="G2765" s="2"/>
      <c r="H2765" s="2"/>
      <c r="I2765" s="2"/>
      <c r="J2765" s="2"/>
      <c r="K2765" s="2"/>
      <c r="L2765" s="24"/>
      <c r="M2765" s="24"/>
      <c r="N2765" s="24"/>
      <c r="O2765" s="24"/>
      <c r="P2765" s="24"/>
      <c r="Q2765" s="2"/>
      <c r="R2765" s="2"/>
      <c r="S2765" s="2"/>
      <c r="T2765" s="2"/>
      <c r="U2765" s="24"/>
      <c r="V2765" s="2"/>
      <c r="W2765" s="2"/>
      <c r="X2765" s="2"/>
      <c r="Y2765" s="2"/>
      <c r="Z2765" s="2"/>
    </row>
    <row r="2766">
      <c r="A2766" s="23"/>
      <c r="B2766" s="2"/>
      <c r="C2766" s="2"/>
      <c r="D2766" s="2"/>
      <c r="E2766" s="2"/>
      <c r="F2766" s="2"/>
      <c r="G2766" s="2"/>
      <c r="H2766" s="2"/>
      <c r="I2766" s="2"/>
      <c r="J2766" s="2"/>
      <c r="K2766" s="2"/>
      <c r="L2766" s="24"/>
      <c r="M2766" s="24"/>
      <c r="N2766" s="24"/>
      <c r="O2766" s="24"/>
      <c r="P2766" s="24"/>
      <c r="Q2766" s="2"/>
      <c r="R2766" s="2"/>
      <c r="S2766" s="2"/>
      <c r="T2766" s="2"/>
      <c r="U2766" s="24"/>
      <c r="V2766" s="2"/>
      <c r="W2766" s="2"/>
      <c r="X2766" s="2"/>
      <c r="Y2766" s="2"/>
      <c r="Z2766" s="2"/>
    </row>
    <row r="2767">
      <c r="A2767" s="23"/>
      <c r="B2767" s="2"/>
      <c r="C2767" s="2"/>
      <c r="D2767" s="2"/>
      <c r="E2767" s="2"/>
      <c r="F2767" s="2"/>
      <c r="G2767" s="2"/>
      <c r="H2767" s="2"/>
      <c r="I2767" s="2"/>
      <c r="J2767" s="2"/>
      <c r="K2767" s="2"/>
      <c r="L2767" s="24"/>
      <c r="M2767" s="24"/>
      <c r="N2767" s="24"/>
      <c r="O2767" s="24"/>
      <c r="P2767" s="24"/>
      <c r="Q2767" s="2"/>
      <c r="R2767" s="2"/>
      <c r="S2767" s="2"/>
      <c r="T2767" s="2"/>
      <c r="U2767" s="24"/>
      <c r="V2767" s="2"/>
      <c r="W2767" s="2"/>
      <c r="X2767" s="2"/>
      <c r="Y2767" s="2"/>
      <c r="Z2767" s="2"/>
    </row>
    <row r="2768">
      <c r="A2768" s="23"/>
      <c r="B2768" s="2"/>
      <c r="C2768" s="2"/>
      <c r="D2768" s="2"/>
      <c r="E2768" s="2"/>
      <c r="F2768" s="2"/>
      <c r="G2768" s="2"/>
      <c r="H2768" s="2"/>
      <c r="I2768" s="2"/>
      <c r="J2768" s="2"/>
      <c r="K2768" s="2"/>
      <c r="L2768" s="24"/>
      <c r="M2768" s="24"/>
      <c r="N2768" s="24"/>
      <c r="O2768" s="24"/>
      <c r="P2768" s="24"/>
      <c r="Q2768" s="2"/>
      <c r="R2768" s="2"/>
      <c r="S2768" s="2"/>
      <c r="T2768" s="2"/>
      <c r="U2768" s="24"/>
      <c r="V2768" s="2"/>
      <c r="W2768" s="2"/>
      <c r="X2768" s="2"/>
      <c r="Y2768" s="2"/>
      <c r="Z2768" s="2"/>
    </row>
    <row r="2769">
      <c r="A2769" s="23"/>
      <c r="B2769" s="2"/>
      <c r="C2769" s="2"/>
      <c r="D2769" s="2"/>
      <c r="E2769" s="2"/>
      <c r="F2769" s="2"/>
      <c r="G2769" s="2"/>
      <c r="H2769" s="2"/>
      <c r="I2769" s="2"/>
      <c r="J2769" s="2"/>
      <c r="K2769" s="2"/>
      <c r="L2769" s="24"/>
      <c r="M2769" s="24"/>
      <c r="N2769" s="24"/>
      <c r="O2769" s="24"/>
      <c r="P2769" s="24"/>
      <c r="Q2769" s="2"/>
      <c r="R2769" s="2"/>
      <c r="S2769" s="2"/>
      <c r="T2769" s="2"/>
      <c r="U2769" s="24"/>
      <c r="V2769" s="2"/>
      <c r="W2769" s="2"/>
      <c r="X2769" s="2"/>
      <c r="Y2769" s="2"/>
      <c r="Z2769" s="2"/>
    </row>
    <row r="2770">
      <c r="A2770" s="23"/>
      <c r="B2770" s="2"/>
      <c r="C2770" s="2"/>
      <c r="D2770" s="2"/>
      <c r="E2770" s="2"/>
      <c r="F2770" s="2"/>
      <c r="G2770" s="2"/>
      <c r="H2770" s="2"/>
      <c r="I2770" s="2"/>
      <c r="J2770" s="2"/>
      <c r="K2770" s="2"/>
      <c r="L2770" s="24"/>
      <c r="M2770" s="24"/>
      <c r="N2770" s="24"/>
      <c r="O2770" s="24"/>
      <c r="P2770" s="24"/>
      <c r="Q2770" s="2"/>
      <c r="R2770" s="2"/>
      <c r="S2770" s="2"/>
      <c r="T2770" s="2"/>
      <c r="U2770" s="24"/>
      <c r="V2770" s="2"/>
      <c r="W2770" s="2"/>
      <c r="X2770" s="2"/>
      <c r="Y2770" s="2"/>
      <c r="Z2770" s="2"/>
    </row>
    <row r="2771">
      <c r="A2771" s="23"/>
      <c r="B2771" s="2"/>
      <c r="C2771" s="2"/>
      <c r="D2771" s="2"/>
      <c r="E2771" s="2"/>
      <c r="F2771" s="2"/>
      <c r="G2771" s="2"/>
      <c r="H2771" s="2"/>
      <c r="I2771" s="2"/>
      <c r="J2771" s="2"/>
      <c r="K2771" s="2"/>
      <c r="L2771" s="24"/>
      <c r="M2771" s="24"/>
      <c r="N2771" s="24"/>
      <c r="O2771" s="24"/>
      <c r="P2771" s="24"/>
      <c r="Q2771" s="2"/>
      <c r="R2771" s="2"/>
      <c r="S2771" s="2"/>
      <c r="T2771" s="2"/>
      <c r="U2771" s="24"/>
      <c r="V2771" s="2"/>
      <c r="W2771" s="2"/>
      <c r="X2771" s="2"/>
      <c r="Y2771" s="2"/>
      <c r="Z2771" s="2"/>
    </row>
    <row r="2772">
      <c r="A2772" s="23"/>
      <c r="B2772" s="2"/>
      <c r="C2772" s="2"/>
      <c r="D2772" s="2"/>
      <c r="E2772" s="2"/>
      <c r="F2772" s="2"/>
      <c r="G2772" s="2"/>
      <c r="H2772" s="2"/>
      <c r="I2772" s="2"/>
      <c r="J2772" s="2"/>
      <c r="K2772" s="2"/>
      <c r="L2772" s="24"/>
      <c r="M2772" s="24"/>
      <c r="N2772" s="24"/>
      <c r="O2772" s="24"/>
      <c r="P2772" s="24"/>
      <c r="Q2772" s="2"/>
      <c r="R2772" s="2"/>
      <c r="S2772" s="2"/>
      <c r="T2772" s="2"/>
      <c r="U2772" s="24"/>
      <c r="V2772" s="2"/>
      <c r="W2772" s="2"/>
      <c r="X2772" s="2"/>
      <c r="Y2772" s="2"/>
      <c r="Z2772" s="2"/>
    </row>
    <row r="2773">
      <c r="A2773" s="23"/>
      <c r="B2773" s="2"/>
      <c r="C2773" s="2"/>
      <c r="D2773" s="2"/>
      <c r="E2773" s="2"/>
      <c r="F2773" s="2"/>
      <c r="G2773" s="2"/>
      <c r="H2773" s="2"/>
      <c r="I2773" s="2"/>
      <c r="J2773" s="2"/>
      <c r="K2773" s="2"/>
      <c r="L2773" s="24"/>
      <c r="M2773" s="24"/>
      <c r="N2773" s="24"/>
      <c r="O2773" s="24"/>
      <c r="P2773" s="24"/>
      <c r="Q2773" s="2"/>
      <c r="R2773" s="2"/>
      <c r="S2773" s="2"/>
      <c r="T2773" s="2"/>
      <c r="U2773" s="24"/>
      <c r="V2773" s="2"/>
      <c r="W2773" s="2"/>
      <c r="X2773" s="2"/>
      <c r="Y2773" s="2"/>
      <c r="Z2773" s="2"/>
    </row>
    <row r="2774">
      <c r="A2774" s="23"/>
      <c r="B2774" s="2"/>
      <c r="C2774" s="2"/>
      <c r="D2774" s="2"/>
      <c r="E2774" s="2"/>
      <c r="F2774" s="2"/>
      <c r="G2774" s="2"/>
      <c r="H2774" s="2"/>
      <c r="I2774" s="2"/>
      <c r="J2774" s="2"/>
      <c r="K2774" s="2"/>
      <c r="L2774" s="24"/>
      <c r="M2774" s="24"/>
      <c r="N2774" s="24"/>
      <c r="O2774" s="24"/>
      <c r="P2774" s="24"/>
      <c r="Q2774" s="2"/>
      <c r="R2774" s="2"/>
      <c r="S2774" s="2"/>
      <c r="T2774" s="2"/>
      <c r="U2774" s="24"/>
      <c r="V2774" s="2"/>
      <c r="W2774" s="2"/>
      <c r="X2774" s="2"/>
      <c r="Y2774" s="2"/>
      <c r="Z2774" s="2"/>
    </row>
    <row r="2775">
      <c r="A2775" s="23"/>
      <c r="B2775" s="2"/>
      <c r="C2775" s="2"/>
      <c r="D2775" s="2"/>
      <c r="E2775" s="2"/>
      <c r="F2775" s="2"/>
      <c r="G2775" s="2"/>
      <c r="H2775" s="2"/>
      <c r="I2775" s="2"/>
      <c r="J2775" s="2"/>
      <c r="K2775" s="2"/>
      <c r="L2775" s="24"/>
      <c r="M2775" s="24"/>
      <c r="N2775" s="24"/>
      <c r="O2775" s="24"/>
      <c r="P2775" s="24"/>
      <c r="Q2775" s="2"/>
      <c r="R2775" s="2"/>
      <c r="S2775" s="2"/>
      <c r="T2775" s="2"/>
      <c r="U2775" s="24"/>
      <c r="V2775" s="2"/>
      <c r="W2775" s="2"/>
      <c r="X2775" s="2"/>
      <c r="Y2775" s="2"/>
      <c r="Z2775" s="2"/>
    </row>
    <row r="2776">
      <c r="A2776" s="23"/>
      <c r="B2776" s="2"/>
      <c r="C2776" s="2"/>
      <c r="D2776" s="2"/>
      <c r="E2776" s="2"/>
      <c r="F2776" s="2"/>
      <c r="G2776" s="2"/>
      <c r="H2776" s="2"/>
      <c r="I2776" s="2"/>
      <c r="J2776" s="2"/>
      <c r="K2776" s="2"/>
      <c r="L2776" s="24"/>
      <c r="M2776" s="24"/>
      <c r="N2776" s="24"/>
      <c r="O2776" s="24"/>
      <c r="P2776" s="24"/>
      <c r="Q2776" s="2"/>
      <c r="R2776" s="2"/>
      <c r="S2776" s="2"/>
      <c r="T2776" s="2"/>
      <c r="U2776" s="24"/>
      <c r="V2776" s="2"/>
      <c r="W2776" s="2"/>
      <c r="X2776" s="2"/>
      <c r="Y2776" s="2"/>
      <c r="Z2776" s="2"/>
    </row>
    <row r="2777">
      <c r="A2777" s="23"/>
      <c r="B2777" s="2"/>
      <c r="C2777" s="2"/>
      <c r="D2777" s="2"/>
      <c r="E2777" s="2"/>
      <c r="F2777" s="2"/>
      <c r="G2777" s="2"/>
      <c r="H2777" s="2"/>
      <c r="I2777" s="2"/>
      <c r="J2777" s="2"/>
      <c r="K2777" s="2"/>
      <c r="L2777" s="24"/>
      <c r="M2777" s="24"/>
      <c r="N2777" s="24"/>
      <c r="O2777" s="24"/>
      <c r="P2777" s="24"/>
      <c r="Q2777" s="2"/>
      <c r="R2777" s="2"/>
      <c r="S2777" s="2"/>
      <c r="T2777" s="2"/>
      <c r="U2777" s="24"/>
      <c r="V2777" s="2"/>
      <c r="W2777" s="2"/>
      <c r="X2777" s="2"/>
      <c r="Y2777" s="2"/>
      <c r="Z2777" s="2"/>
    </row>
    <row r="2778">
      <c r="A2778" s="23"/>
      <c r="B2778" s="2"/>
      <c r="C2778" s="2"/>
      <c r="D2778" s="2"/>
      <c r="E2778" s="2"/>
      <c r="F2778" s="2"/>
      <c r="G2778" s="2"/>
      <c r="H2778" s="2"/>
      <c r="I2778" s="2"/>
      <c r="J2778" s="2"/>
      <c r="K2778" s="2"/>
      <c r="L2778" s="24"/>
      <c r="M2778" s="24"/>
      <c r="N2778" s="24"/>
      <c r="O2778" s="24"/>
      <c r="P2778" s="24"/>
      <c r="Q2778" s="2"/>
      <c r="R2778" s="2"/>
      <c r="S2778" s="2"/>
      <c r="T2778" s="2"/>
      <c r="U2778" s="24"/>
      <c r="V2778" s="2"/>
      <c r="W2778" s="2"/>
      <c r="X2778" s="2"/>
      <c r="Y2778" s="2"/>
      <c r="Z2778" s="2"/>
    </row>
    <row r="2779">
      <c r="A2779" s="23"/>
      <c r="B2779" s="2"/>
      <c r="C2779" s="2"/>
      <c r="D2779" s="2"/>
      <c r="E2779" s="2"/>
      <c r="F2779" s="2"/>
      <c r="G2779" s="2"/>
      <c r="H2779" s="2"/>
      <c r="I2779" s="2"/>
      <c r="J2779" s="2"/>
      <c r="K2779" s="2"/>
      <c r="L2779" s="24"/>
      <c r="M2779" s="24"/>
      <c r="N2779" s="24"/>
      <c r="O2779" s="24"/>
      <c r="P2779" s="24"/>
      <c r="Q2779" s="2"/>
      <c r="R2779" s="2"/>
      <c r="S2779" s="2"/>
      <c r="T2779" s="2"/>
      <c r="U2779" s="24"/>
      <c r="V2779" s="2"/>
      <c r="W2779" s="2"/>
      <c r="X2779" s="2"/>
      <c r="Y2779" s="2"/>
      <c r="Z2779" s="2"/>
    </row>
    <row r="2780">
      <c r="A2780" s="23"/>
      <c r="B2780" s="2"/>
      <c r="C2780" s="2"/>
      <c r="D2780" s="2"/>
      <c r="E2780" s="2"/>
      <c r="F2780" s="2"/>
      <c r="G2780" s="2"/>
      <c r="H2780" s="2"/>
      <c r="I2780" s="2"/>
      <c r="J2780" s="2"/>
      <c r="K2780" s="2"/>
      <c r="L2780" s="24"/>
      <c r="M2780" s="24"/>
      <c r="N2780" s="24"/>
      <c r="O2780" s="24"/>
      <c r="P2780" s="24"/>
      <c r="Q2780" s="2"/>
      <c r="R2780" s="2"/>
      <c r="S2780" s="2"/>
      <c r="T2780" s="2"/>
      <c r="U2780" s="24"/>
      <c r="V2780" s="2"/>
      <c r="W2780" s="2"/>
      <c r="X2780" s="2"/>
      <c r="Y2780" s="2"/>
      <c r="Z2780" s="2"/>
    </row>
    <row r="2781">
      <c r="A2781" s="23"/>
      <c r="B2781" s="2"/>
      <c r="C2781" s="2"/>
      <c r="D2781" s="2"/>
      <c r="E2781" s="2"/>
      <c r="F2781" s="2"/>
      <c r="G2781" s="2"/>
      <c r="H2781" s="2"/>
      <c r="I2781" s="2"/>
      <c r="J2781" s="2"/>
      <c r="K2781" s="2"/>
      <c r="L2781" s="24"/>
      <c r="M2781" s="24"/>
      <c r="N2781" s="24"/>
      <c r="O2781" s="24"/>
      <c r="P2781" s="24"/>
      <c r="Q2781" s="2"/>
      <c r="R2781" s="2"/>
      <c r="S2781" s="2"/>
      <c r="T2781" s="2"/>
      <c r="U2781" s="24"/>
      <c r="V2781" s="2"/>
      <c r="W2781" s="2"/>
      <c r="X2781" s="2"/>
      <c r="Y2781" s="2"/>
      <c r="Z2781" s="2"/>
    </row>
    <row r="2782">
      <c r="A2782" s="23"/>
      <c r="B2782" s="2"/>
      <c r="C2782" s="2"/>
      <c r="D2782" s="2"/>
      <c r="E2782" s="2"/>
      <c r="F2782" s="2"/>
      <c r="G2782" s="2"/>
      <c r="H2782" s="2"/>
      <c r="I2782" s="2"/>
      <c r="J2782" s="2"/>
      <c r="K2782" s="2"/>
      <c r="L2782" s="24"/>
      <c r="M2782" s="24"/>
      <c r="N2782" s="24"/>
      <c r="O2782" s="24"/>
      <c r="P2782" s="24"/>
      <c r="Q2782" s="2"/>
      <c r="R2782" s="2"/>
      <c r="S2782" s="2"/>
      <c r="T2782" s="2"/>
      <c r="U2782" s="24"/>
      <c r="V2782" s="2"/>
      <c r="W2782" s="2"/>
      <c r="X2782" s="2"/>
      <c r="Y2782" s="2"/>
      <c r="Z2782" s="2"/>
    </row>
    <row r="2783">
      <c r="A2783" s="23"/>
      <c r="B2783" s="2"/>
      <c r="C2783" s="2"/>
      <c r="D2783" s="2"/>
      <c r="E2783" s="2"/>
      <c r="F2783" s="2"/>
      <c r="G2783" s="2"/>
      <c r="H2783" s="2"/>
      <c r="I2783" s="2"/>
      <c r="J2783" s="2"/>
      <c r="K2783" s="2"/>
      <c r="L2783" s="24"/>
      <c r="M2783" s="24"/>
      <c r="N2783" s="24"/>
      <c r="O2783" s="24"/>
      <c r="P2783" s="24"/>
      <c r="Q2783" s="2"/>
      <c r="R2783" s="2"/>
      <c r="S2783" s="2"/>
      <c r="T2783" s="2"/>
      <c r="U2783" s="24"/>
      <c r="V2783" s="2"/>
      <c r="W2783" s="2"/>
      <c r="X2783" s="2"/>
      <c r="Y2783" s="2"/>
      <c r="Z2783" s="2"/>
    </row>
    <row r="2784">
      <c r="A2784" s="23"/>
      <c r="B2784" s="2"/>
      <c r="C2784" s="2"/>
      <c r="D2784" s="2"/>
      <c r="E2784" s="2"/>
      <c r="F2784" s="2"/>
      <c r="G2784" s="2"/>
      <c r="H2784" s="2"/>
      <c r="I2784" s="2"/>
      <c r="J2784" s="2"/>
      <c r="K2784" s="2"/>
      <c r="L2784" s="24"/>
      <c r="M2784" s="24"/>
      <c r="N2784" s="24"/>
      <c r="O2784" s="24"/>
      <c r="P2784" s="24"/>
      <c r="Q2784" s="2"/>
      <c r="R2784" s="2"/>
      <c r="S2784" s="2"/>
      <c r="T2784" s="2"/>
      <c r="U2784" s="24"/>
      <c r="V2784" s="2"/>
      <c r="W2784" s="2"/>
      <c r="X2784" s="2"/>
      <c r="Y2784" s="2"/>
      <c r="Z2784" s="2"/>
    </row>
    <row r="2785">
      <c r="A2785" s="23"/>
      <c r="B2785" s="2"/>
      <c r="C2785" s="2"/>
      <c r="D2785" s="2"/>
      <c r="E2785" s="2"/>
      <c r="F2785" s="2"/>
      <c r="G2785" s="2"/>
      <c r="H2785" s="2"/>
      <c r="I2785" s="2"/>
      <c r="J2785" s="2"/>
      <c r="K2785" s="2"/>
      <c r="L2785" s="24"/>
      <c r="M2785" s="24"/>
      <c r="N2785" s="24"/>
      <c r="O2785" s="24"/>
      <c r="P2785" s="24"/>
      <c r="Q2785" s="2"/>
      <c r="R2785" s="2"/>
      <c r="S2785" s="2"/>
      <c r="T2785" s="2"/>
      <c r="U2785" s="24"/>
      <c r="V2785" s="2"/>
      <c r="W2785" s="2"/>
      <c r="X2785" s="2"/>
      <c r="Y2785" s="2"/>
      <c r="Z2785" s="2"/>
    </row>
    <row r="2786">
      <c r="A2786" s="23"/>
      <c r="B2786" s="2"/>
      <c r="C2786" s="2"/>
      <c r="D2786" s="2"/>
      <c r="E2786" s="2"/>
      <c r="F2786" s="2"/>
      <c r="G2786" s="2"/>
      <c r="H2786" s="2"/>
      <c r="I2786" s="2"/>
      <c r="J2786" s="2"/>
      <c r="K2786" s="2"/>
      <c r="L2786" s="24"/>
      <c r="M2786" s="24"/>
      <c r="N2786" s="24"/>
      <c r="O2786" s="24"/>
      <c r="P2786" s="24"/>
      <c r="Q2786" s="2"/>
      <c r="R2786" s="2"/>
      <c r="S2786" s="2"/>
      <c r="T2786" s="2"/>
      <c r="U2786" s="24"/>
      <c r="V2786" s="2"/>
      <c r="W2786" s="2"/>
      <c r="X2786" s="2"/>
      <c r="Y2786" s="2"/>
      <c r="Z2786" s="2"/>
    </row>
    <row r="2787">
      <c r="A2787" s="23"/>
      <c r="B2787" s="2"/>
      <c r="C2787" s="2"/>
      <c r="D2787" s="2"/>
      <c r="E2787" s="2"/>
      <c r="F2787" s="2"/>
      <c r="G2787" s="2"/>
      <c r="H2787" s="2"/>
      <c r="I2787" s="2"/>
      <c r="J2787" s="2"/>
      <c r="K2787" s="2"/>
      <c r="L2787" s="24"/>
      <c r="M2787" s="24"/>
      <c r="N2787" s="24"/>
      <c r="O2787" s="24"/>
      <c r="P2787" s="24"/>
      <c r="Q2787" s="2"/>
      <c r="R2787" s="2"/>
      <c r="S2787" s="2"/>
      <c r="T2787" s="2"/>
      <c r="U2787" s="24"/>
      <c r="V2787" s="2"/>
      <c r="W2787" s="2"/>
      <c r="X2787" s="2"/>
      <c r="Y2787" s="2"/>
      <c r="Z2787" s="2"/>
    </row>
    <row r="2788">
      <c r="A2788" s="23"/>
      <c r="B2788" s="2"/>
      <c r="C2788" s="2"/>
      <c r="D2788" s="2"/>
      <c r="E2788" s="2"/>
      <c r="F2788" s="2"/>
      <c r="G2788" s="2"/>
      <c r="H2788" s="2"/>
      <c r="I2788" s="2"/>
      <c r="J2788" s="2"/>
      <c r="K2788" s="2"/>
      <c r="L2788" s="24"/>
      <c r="M2788" s="24"/>
      <c r="N2788" s="24"/>
      <c r="O2788" s="24"/>
      <c r="P2788" s="24"/>
      <c r="Q2788" s="2"/>
      <c r="R2788" s="2"/>
      <c r="S2788" s="2"/>
      <c r="T2788" s="2"/>
      <c r="U2788" s="24"/>
      <c r="V2788" s="2"/>
      <c r="W2788" s="2"/>
      <c r="X2788" s="2"/>
      <c r="Y2788" s="2"/>
      <c r="Z2788" s="2"/>
    </row>
    <row r="2789">
      <c r="A2789" s="23"/>
      <c r="B2789" s="2"/>
      <c r="C2789" s="2"/>
      <c r="D2789" s="2"/>
      <c r="E2789" s="2"/>
      <c r="F2789" s="2"/>
      <c r="G2789" s="2"/>
      <c r="H2789" s="2"/>
      <c r="I2789" s="2"/>
      <c r="J2789" s="2"/>
      <c r="K2789" s="2"/>
      <c r="L2789" s="24"/>
      <c r="M2789" s="24"/>
      <c r="N2789" s="24"/>
      <c r="O2789" s="24"/>
      <c r="P2789" s="24"/>
      <c r="Q2789" s="2"/>
      <c r="R2789" s="2"/>
      <c r="S2789" s="2"/>
      <c r="T2789" s="2"/>
      <c r="U2789" s="24"/>
      <c r="V2789" s="2"/>
      <c r="W2789" s="2"/>
      <c r="X2789" s="2"/>
      <c r="Y2789" s="2"/>
      <c r="Z2789" s="2"/>
    </row>
    <row r="2790">
      <c r="A2790" s="23"/>
      <c r="B2790" s="2"/>
      <c r="C2790" s="2"/>
      <c r="D2790" s="2"/>
      <c r="E2790" s="2"/>
      <c r="F2790" s="2"/>
      <c r="G2790" s="2"/>
      <c r="H2790" s="2"/>
      <c r="I2790" s="2"/>
      <c r="J2790" s="2"/>
      <c r="K2790" s="2"/>
      <c r="L2790" s="24"/>
      <c r="M2790" s="24"/>
      <c r="N2790" s="24"/>
      <c r="O2790" s="24"/>
      <c r="P2790" s="24"/>
      <c r="Q2790" s="2"/>
      <c r="R2790" s="2"/>
      <c r="S2790" s="2"/>
      <c r="T2790" s="2"/>
      <c r="U2790" s="24"/>
      <c r="V2790" s="2"/>
      <c r="W2790" s="2"/>
      <c r="X2790" s="2"/>
      <c r="Y2790" s="2"/>
      <c r="Z2790" s="2"/>
    </row>
    <row r="2791">
      <c r="A2791" s="23"/>
      <c r="B2791" s="2"/>
      <c r="C2791" s="2"/>
      <c r="D2791" s="2"/>
      <c r="E2791" s="2"/>
      <c r="F2791" s="2"/>
      <c r="G2791" s="2"/>
      <c r="H2791" s="2"/>
      <c r="I2791" s="2"/>
      <c r="J2791" s="2"/>
      <c r="K2791" s="2"/>
      <c r="L2791" s="24"/>
      <c r="M2791" s="24"/>
      <c r="N2791" s="24"/>
      <c r="O2791" s="24"/>
      <c r="P2791" s="24"/>
      <c r="Q2791" s="2"/>
      <c r="R2791" s="2"/>
      <c r="S2791" s="2"/>
      <c r="T2791" s="2"/>
      <c r="U2791" s="24"/>
      <c r="V2791" s="2"/>
      <c r="W2791" s="2"/>
      <c r="X2791" s="2"/>
      <c r="Y2791" s="2"/>
      <c r="Z2791" s="2"/>
    </row>
    <row r="2792">
      <c r="A2792" s="23"/>
      <c r="B2792" s="2"/>
      <c r="C2792" s="2"/>
      <c r="D2792" s="2"/>
      <c r="E2792" s="2"/>
      <c r="F2792" s="2"/>
      <c r="G2792" s="2"/>
      <c r="H2792" s="2"/>
      <c r="I2792" s="2"/>
      <c r="J2792" s="2"/>
      <c r="K2792" s="2"/>
      <c r="L2792" s="24"/>
      <c r="M2792" s="24"/>
      <c r="N2792" s="24"/>
      <c r="O2792" s="24"/>
      <c r="P2792" s="24"/>
      <c r="Q2792" s="2"/>
      <c r="R2792" s="2"/>
      <c r="S2792" s="2"/>
      <c r="T2792" s="2"/>
      <c r="U2792" s="24"/>
      <c r="V2792" s="2"/>
      <c r="W2792" s="2"/>
      <c r="X2792" s="2"/>
      <c r="Y2792" s="2"/>
      <c r="Z2792" s="2"/>
    </row>
    <row r="2793">
      <c r="A2793" s="23"/>
      <c r="B2793" s="2"/>
      <c r="C2793" s="2"/>
      <c r="D2793" s="2"/>
      <c r="E2793" s="2"/>
      <c r="F2793" s="2"/>
      <c r="G2793" s="2"/>
      <c r="H2793" s="2"/>
      <c r="I2793" s="2"/>
      <c r="J2793" s="2"/>
      <c r="K2793" s="2"/>
      <c r="L2793" s="24"/>
      <c r="M2793" s="24"/>
      <c r="N2793" s="24"/>
      <c r="O2793" s="24"/>
      <c r="P2793" s="24"/>
      <c r="Q2793" s="2"/>
      <c r="R2793" s="2"/>
      <c r="S2793" s="2"/>
      <c r="T2793" s="2"/>
      <c r="U2793" s="24"/>
      <c r="V2793" s="2"/>
      <c r="W2793" s="2"/>
      <c r="X2793" s="2"/>
      <c r="Y2793" s="2"/>
      <c r="Z2793" s="2"/>
    </row>
    <row r="2794">
      <c r="A2794" s="23"/>
      <c r="B2794" s="2"/>
      <c r="C2794" s="2"/>
      <c r="D2794" s="2"/>
      <c r="E2794" s="2"/>
      <c r="F2794" s="2"/>
      <c r="G2794" s="2"/>
      <c r="H2794" s="2"/>
      <c r="I2794" s="2"/>
      <c r="J2794" s="2"/>
      <c r="K2794" s="2"/>
      <c r="L2794" s="24"/>
      <c r="M2794" s="24"/>
      <c r="N2794" s="24"/>
      <c r="O2794" s="24"/>
      <c r="P2794" s="24"/>
      <c r="Q2794" s="2"/>
      <c r="R2794" s="2"/>
      <c r="S2794" s="2"/>
      <c r="T2794" s="2"/>
      <c r="U2794" s="24"/>
      <c r="V2794" s="2"/>
      <c r="W2794" s="2"/>
      <c r="X2794" s="2"/>
      <c r="Y2794" s="2"/>
      <c r="Z2794" s="2"/>
    </row>
    <row r="2795">
      <c r="A2795" s="23"/>
      <c r="B2795" s="2"/>
      <c r="C2795" s="2"/>
      <c r="D2795" s="2"/>
      <c r="E2795" s="2"/>
      <c r="F2795" s="2"/>
      <c r="G2795" s="2"/>
      <c r="H2795" s="2"/>
      <c r="I2795" s="2"/>
      <c r="J2795" s="2"/>
      <c r="K2795" s="2"/>
      <c r="L2795" s="24"/>
      <c r="M2795" s="24"/>
      <c r="N2795" s="24"/>
      <c r="O2795" s="24"/>
      <c r="P2795" s="24"/>
      <c r="Q2795" s="2"/>
      <c r="R2795" s="2"/>
      <c r="S2795" s="2"/>
      <c r="T2795" s="2"/>
      <c r="U2795" s="24"/>
      <c r="V2795" s="2"/>
      <c r="W2795" s="2"/>
      <c r="X2795" s="2"/>
      <c r="Y2795" s="2"/>
      <c r="Z2795" s="2"/>
    </row>
    <row r="2796">
      <c r="A2796" s="23"/>
      <c r="B2796" s="2"/>
      <c r="C2796" s="2"/>
      <c r="D2796" s="2"/>
      <c r="E2796" s="2"/>
      <c r="F2796" s="2"/>
      <c r="G2796" s="2"/>
      <c r="H2796" s="2"/>
      <c r="I2796" s="2"/>
      <c r="J2796" s="2"/>
      <c r="K2796" s="2"/>
      <c r="L2796" s="24"/>
      <c r="M2796" s="24"/>
      <c r="N2796" s="24"/>
      <c r="O2796" s="24"/>
      <c r="P2796" s="24"/>
      <c r="Q2796" s="2"/>
      <c r="R2796" s="2"/>
      <c r="S2796" s="2"/>
      <c r="T2796" s="2"/>
      <c r="U2796" s="24"/>
      <c r="V2796" s="2"/>
      <c r="W2796" s="2"/>
      <c r="X2796" s="2"/>
      <c r="Y2796" s="2"/>
      <c r="Z2796" s="2"/>
    </row>
    <row r="2797">
      <c r="A2797" s="23"/>
      <c r="B2797" s="2"/>
      <c r="C2797" s="2"/>
      <c r="D2797" s="2"/>
      <c r="E2797" s="2"/>
      <c r="F2797" s="2"/>
      <c r="G2797" s="2"/>
      <c r="H2797" s="2"/>
      <c r="I2797" s="2"/>
      <c r="J2797" s="2"/>
      <c r="K2797" s="2"/>
      <c r="L2797" s="24"/>
      <c r="M2797" s="24"/>
      <c r="N2797" s="24"/>
      <c r="O2797" s="24"/>
      <c r="P2797" s="24"/>
      <c r="Q2797" s="2"/>
      <c r="R2797" s="2"/>
      <c r="S2797" s="2"/>
      <c r="T2797" s="2"/>
      <c r="U2797" s="24"/>
      <c r="V2797" s="2"/>
      <c r="W2797" s="2"/>
      <c r="X2797" s="2"/>
      <c r="Y2797" s="2"/>
      <c r="Z2797" s="2"/>
    </row>
    <row r="2798">
      <c r="A2798" s="23"/>
      <c r="B2798" s="2"/>
      <c r="C2798" s="2"/>
      <c r="D2798" s="2"/>
      <c r="E2798" s="2"/>
      <c r="F2798" s="2"/>
      <c r="G2798" s="2"/>
      <c r="H2798" s="2"/>
      <c r="I2798" s="2"/>
      <c r="J2798" s="2"/>
      <c r="K2798" s="2"/>
      <c r="L2798" s="24"/>
      <c r="M2798" s="24"/>
      <c r="N2798" s="24"/>
      <c r="O2798" s="24"/>
      <c r="P2798" s="24"/>
      <c r="Q2798" s="2"/>
      <c r="R2798" s="2"/>
      <c r="S2798" s="2"/>
      <c r="T2798" s="2"/>
      <c r="U2798" s="24"/>
      <c r="V2798" s="2"/>
      <c r="W2798" s="2"/>
      <c r="X2798" s="2"/>
      <c r="Y2798" s="2"/>
      <c r="Z2798" s="2"/>
    </row>
    <row r="2799">
      <c r="A2799" s="23"/>
      <c r="B2799" s="2"/>
      <c r="C2799" s="2"/>
      <c r="D2799" s="2"/>
      <c r="E2799" s="2"/>
      <c r="F2799" s="2"/>
      <c r="G2799" s="2"/>
      <c r="H2799" s="2"/>
      <c r="I2799" s="2"/>
      <c r="J2799" s="2"/>
      <c r="K2799" s="2"/>
      <c r="L2799" s="24"/>
      <c r="M2799" s="24"/>
      <c r="N2799" s="24"/>
      <c r="O2799" s="24"/>
      <c r="P2799" s="24"/>
      <c r="Q2799" s="2"/>
      <c r="R2799" s="2"/>
      <c r="S2799" s="2"/>
      <c r="T2799" s="2"/>
      <c r="U2799" s="24"/>
      <c r="V2799" s="2"/>
      <c r="W2799" s="2"/>
      <c r="X2799" s="2"/>
      <c r="Y2799" s="2"/>
      <c r="Z2799" s="2"/>
    </row>
    <row r="2800">
      <c r="A2800" s="23"/>
      <c r="B2800" s="2"/>
      <c r="C2800" s="2"/>
      <c r="D2800" s="2"/>
      <c r="E2800" s="2"/>
      <c r="F2800" s="2"/>
      <c r="G2800" s="2"/>
      <c r="H2800" s="2"/>
      <c r="I2800" s="2"/>
      <c r="J2800" s="2"/>
      <c r="K2800" s="2"/>
      <c r="L2800" s="24"/>
      <c r="M2800" s="24"/>
      <c r="N2800" s="24"/>
      <c r="O2800" s="24"/>
      <c r="P2800" s="24"/>
      <c r="Q2800" s="2"/>
      <c r="R2800" s="2"/>
      <c r="S2800" s="2"/>
      <c r="T2800" s="2"/>
      <c r="U2800" s="24"/>
      <c r="V2800" s="2"/>
      <c r="W2800" s="2"/>
      <c r="X2800" s="2"/>
      <c r="Y2800" s="2"/>
      <c r="Z2800" s="2"/>
    </row>
    <row r="2801">
      <c r="A2801" s="23"/>
      <c r="B2801" s="2"/>
      <c r="C2801" s="2"/>
      <c r="D2801" s="2"/>
      <c r="E2801" s="2"/>
      <c r="F2801" s="2"/>
      <c r="G2801" s="2"/>
      <c r="H2801" s="2"/>
      <c r="I2801" s="2"/>
      <c r="J2801" s="2"/>
      <c r="K2801" s="2"/>
      <c r="L2801" s="24"/>
      <c r="M2801" s="24"/>
      <c r="N2801" s="24"/>
      <c r="O2801" s="24"/>
      <c r="P2801" s="24"/>
      <c r="Q2801" s="2"/>
      <c r="R2801" s="2"/>
      <c r="S2801" s="2"/>
      <c r="T2801" s="2"/>
      <c r="U2801" s="24"/>
      <c r="V2801" s="2"/>
      <c r="W2801" s="2"/>
      <c r="X2801" s="2"/>
      <c r="Y2801" s="2"/>
      <c r="Z2801" s="2"/>
    </row>
    <row r="2802">
      <c r="A2802" s="23"/>
      <c r="B2802" s="2"/>
      <c r="C2802" s="2"/>
      <c r="D2802" s="2"/>
      <c r="E2802" s="2"/>
      <c r="F2802" s="2"/>
      <c r="G2802" s="2"/>
      <c r="H2802" s="2"/>
      <c r="I2802" s="2"/>
      <c r="J2802" s="2"/>
      <c r="K2802" s="2"/>
      <c r="L2802" s="24"/>
      <c r="M2802" s="24"/>
      <c r="N2802" s="24"/>
      <c r="O2802" s="24"/>
      <c r="P2802" s="24"/>
      <c r="Q2802" s="2"/>
      <c r="R2802" s="2"/>
      <c r="S2802" s="2"/>
      <c r="T2802" s="2"/>
      <c r="U2802" s="24"/>
      <c r="V2802" s="2"/>
      <c r="W2802" s="2"/>
      <c r="X2802" s="2"/>
      <c r="Y2802" s="2"/>
      <c r="Z2802" s="2"/>
    </row>
    <row r="2803">
      <c r="A2803" s="23"/>
      <c r="B2803" s="2"/>
      <c r="C2803" s="2"/>
      <c r="D2803" s="2"/>
      <c r="E2803" s="2"/>
      <c r="F2803" s="2"/>
      <c r="G2803" s="2"/>
      <c r="H2803" s="2"/>
      <c r="I2803" s="2"/>
      <c r="J2803" s="2"/>
      <c r="K2803" s="2"/>
      <c r="L2803" s="24"/>
      <c r="M2803" s="24"/>
      <c r="N2803" s="24"/>
      <c r="O2803" s="24"/>
      <c r="P2803" s="24"/>
      <c r="Q2803" s="2"/>
      <c r="R2803" s="2"/>
      <c r="S2803" s="2"/>
      <c r="T2803" s="2"/>
      <c r="U2803" s="24"/>
      <c r="V2803" s="2"/>
      <c r="W2803" s="2"/>
      <c r="X2803" s="2"/>
      <c r="Y2803" s="2"/>
      <c r="Z2803" s="2"/>
    </row>
    <row r="2804">
      <c r="A2804" s="23"/>
      <c r="B2804" s="2"/>
      <c r="C2804" s="2"/>
      <c r="D2804" s="2"/>
      <c r="E2804" s="2"/>
      <c r="F2804" s="2"/>
      <c r="G2804" s="2"/>
      <c r="H2804" s="2"/>
      <c r="I2804" s="2"/>
      <c r="J2804" s="2"/>
      <c r="K2804" s="2"/>
      <c r="L2804" s="24"/>
      <c r="M2804" s="24"/>
      <c r="N2804" s="24"/>
      <c r="O2804" s="24"/>
      <c r="P2804" s="24"/>
      <c r="Q2804" s="2"/>
      <c r="R2804" s="2"/>
      <c r="S2804" s="2"/>
      <c r="T2804" s="2"/>
      <c r="U2804" s="24"/>
      <c r="V2804" s="2"/>
      <c r="W2804" s="2"/>
      <c r="X2804" s="2"/>
      <c r="Y2804" s="2"/>
      <c r="Z2804" s="2"/>
    </row>
    <row r="2805">
      <c r="A2805" s="23"/>
      <c r="B2805" s="2"/>
      <c r="C2805" s="2"/>
      <c r="D2805" s="2"/>
      <c r="E2805" s="2"/>
      <c r="F2805" s="2"/>
      <c r="G2805" s="2"/>
      <c r="H2805" s="2"/>
      <c r="I2805" s="2"/>
      <c r="J2805" s="2"/>
      <c r="K2805" s="2"/>
      <c r="L2805" s="24"/>
      <c r="M2805" s="24"/>
      <c r="N2805" s="24"/>
      <c r="O2805" s="24"/>
      <c r="P2805" s="24"/>
      <c r="Q2805" s="2"/>
      <c r="R2805" s="2"/>
      <c r="S2805" s="2"/>
      <c r="T2805" s="2"/>
      <c r="U2805" s="24"/>
      <c r="V2805" s="2"/>
      <c r="W2805" s="2"/>
      <c r="X2805" s="2"/>
      <c r="Y2805" s="2"/>
      <c r="Z2805" s="2"/>
    </row>
    <row r="2806">
      <c r="A2806" s="23"/>
      <c r="B2806" s="2"/>
      <c r="C2806" s="2"/>
      <c r="D2806" s="2"/>
      <c r="E2806" s="2"/>
      <c r="F2806" s="2"/>
      <c r="G2806" s="2"/>
      <c r="H2806" s="2"/>
      <c r="I2806" s="2"/>
      <c r="J2806" s="2"/>
      <c r="K2806" s="2"/>
      <c r="L2806" s="24"/>
      <c r="M2806" s="24"/>
      <c r="N2806" s="24"/>
      <c r="O2806" s="24"/>
      <c r="P2806" s="24"/>
      <c r="Q2806" s="2"/>
      <c r="R2806" s="2"/>
      <c r="S2806" s="2"/>
      <c r="T2806" s="2"/>
      <c r="U2806" s="24"/>
      <c r="V2806" s="2"/>
      <c r="W2806" s="2"/>
      <c r="X2806" s="2"/>
      <c r="Y2806" s="2"/>
      <c r="Z2806" s="2"/>
    </row>
    <row r="2807">
      <c r="A2807" s="23"/>
      <c r="B2807" s="2"/>
      <c r="C2807" s="2"/>
      <c r="D2807" s="2"/>
      <c r="E2807" s="2"/>
      <c r="F2807" s="2"/>
      <c r="G2807" s="2"/>
      <c r="H2807" s="2"/>
      <c r="I2807" s="2"/>
      <c r="J2807" s="2"/>
      <c r="K2807" s="2"/>
      <c r="L2807" s="24"/>
      <c r="M2807" s="24"/>
      <c r="N2807" s="24"/>
      <c r="O2807" s="24"/>
      <c r="P2807" s="24"/>
      <c r="Q2807" s="2"/>
      <c r="R2807" s="2"/>
      <c r="S2807" s="2"/>
      <c r="T2807" s="2"/>
      <c r="U2807" s="24"/>
      <c r="V2807" s="2"/>
      <c r="W2807" s="2"/>
      <c r="X2807" s="2"/>
      <c r="Y2807" s="2"/>
      <c r="Z2807" s="2"/>
    </row>
    <row r="2808">
      <c r="A2808" s="23"/>
      <c r="B2808" s="2"/>
      <c r="C2808" s="2"/>
      <c r="D2808" s="2"/>
      <c r="E2808" s="2"/>
      <c r="F2808" s="2"/>
      <c r="G2808" s="2"/>
      <c r="H2808" s="2"/>
      <c r="I2808" s="2"/>
      <c r="J2808" s="2"/>
      <c r="K2808" s="2"/>
      <c r="L2808" s="24"/>
      <c r="M2808" s="24"/>
      <c r="N2808" s="24"/>
      <c r="O2808" s="24"/>
      <c r="P2808" s="24"/>
      <c r="Q2808" s="2"/>
      <c r="R2808" s="2"/>
      <c r="S2808" s="2"/>
      <c r="T2808" s="2"/>
      <c r="U2808" s="24"/>
      <c r="V2808" s="2"/>
      <c r="W2808" s="2"/>
      <c r="X2808" s="2"/>
      <c r="Y2808" s="2"/>
      <c r="Z2808" s="2"/>
    </row>
    <row r="2809">
      <c r="A2809" s="23"/>
      <c r="B2809" s="2"/>
      <c r="C2809" s="2"/>
      <c r="D2809" s="2"/>
      <c r="E2809" s="2"/>
      <c r="F2809" s="2"/>
      <c r="G2809" s="2"/>
      <c r="H2809" s="2"/>
      <c r="I2809" s="2"/>
      <c r="J2809" s="2"/>
      <c r="K2809" s="2"/>
      <c r="L2809" s="24"/>
      <c r="M2809" s="24"/>
      <c r="N2809" s="24"/>
      <c r="O2809" s="24"/>
      <c r="P2809" s="24"/>
      <c r="Q2809" s="2"/>
      <c r="R2809" s="2"/>
      <c r="S2809" s="2"/>
      <c r="T2809" s="2"/>
      <c r="U2809" s="24"/>
      <c r="V2809" s="2"/>
      <c r="W2809" s="2"/>
      <c r="X2809" s="2"/>
      <c r="Y2809" s="2"/>
      <c r="Z2809" s="2"/>
    </row>
    <row r="2810">
      <c r="A2810" s="23"/>
      <c r="B2810" s="2"/>
      <c r="C2810" s="2"/>
      <c r="D2810" s="2"/>
      <c r="E2810" s="2"/>
      <c r="F2810" s="2"/>
      <c r="G2810" s="2"/>
      <c r="H2810" s="2"/>
      <c r="I2810" s="2"/>
      <c r="J2810" s="2"/>
      <c r="K2810" s="2"/>
      <c r="L2810" s="24"/>
      <c r="M2810" s="24"/>
      <c r="N2810" s="24"/>
      <c r="O2810" s="24"/>
      <c r="P2810" s="24"/>
      <c r="Q2810" s="2"/>
      <c r="R2810" s="2"/>
      <c r="S2810" s="2"/>
      <c r="T2810" s="2"/>
      <c r="U2810" s="24"/>
      <c r="V2810" s="2"/>
      <c r="W2810" s="2"/>
      <c r="X2810" s="2"/>
      <c r="Y2810" s="2"/>
      <c r="Z2810" s="2"/>
    </row>
    <row r="2811">
      <c r="A2811" s="23"/>
      <c r="B2811" s="2"/>
      <c r="C2811" s="2"/>
      <c r="D2811" s="2"/>
      <c r="E2811" s="2"/>
      <c r="F2811" s="2"/>
      <c r="G2811" s="2"/>
      <c r="H2811" s="2"/>
      <c r="I2811" s="2"/>
      <c r="J2811" s="2"/>
      <c r="K2811" s="2"/>
      <c r="L2811" s="24"/>
      <c r="M2811" s="24"/>
      <c r="N2811" s="24"/>
      <c r="O2811" s="24"/>
      <c r="P2811" s="24"/>
      <c r="Q2811" s="2"/>
      <c r="R2811" s="2"/>
      <c r="S2811" s="2"/>
      <c r="T2811" s="2"/>
      <c r="U2811" s="24"/>
      <c r="V2811" s="2"/>
      <c r="W2811" s="2"/>
      <c r="X2811" s="2"/>
      <c r="Y2811" s="2"/>
      <c r="Z2811" s="2"/>
    </row>
    <row r="2812">
      <c r="A2812" s="23"/>
      <c r="B2812" s="2"/>
      <c r="C2812" s="2"/>
      <c r="D2812" s="2"/>
      <c r="E2812" s="2"/>
      <c r="F2812" s="2"/>
      <c r="G2812" s="2"/>
      <c r="H2812" s="2"/>
      <c r="I2812" s="2"/>
      <c r="J2812" s="2"/>
      <c r="K2812" s="2"/>
      <c r="L2812" s="24"/>
      <c r="M2812" s="24"/>
      <c r="N2812" s="24"/>
      <c r="O2812" s="24"/>
      <c r="P2812" s="24"/>
      <c r="Q2812" s="2"/>
      <c r="R2812" s="2"/>
      <c r="S2812" s="2"/>
      <c r="T2812" s="2"/>
      <c r="U2812" s="24"/>
      <c r="V2812" s="2"/>
      <c r="W2812" s="2"/>
      <c r="X2812" s="2"/>
      <c r="Y2812" s="2"/>
      <c r="Z2812" s="2"/>
    </row>
    <row r="2813">
      <c r="A2813" s="23"/>
      <c r="B2813" s="2"/>
      <c r="C2813" s="2"/>
      <c r="D2813" s="2"/>
      <c r="E2813" s="2"/>
      <c r="F2813" s="2"/>
      <c r="G2813" s="2"/>
      <c r="H2813" s="2"/>
      <c r="I2813" s="2"/>
      <c r="J2813" s="2"/>
      <c r="K2813" s="2"/>
      <c r="L2813" s="24"/>
      <c r="M2813" s="24"/>
      <c r="N2813" s="24"/>
      <c r="O2813" s="24"/>
      <c r="P2813" s="24"/>
      <c r="Q2813" s="2"/>
      <c r="R2813" s="2"/>
      <c r="S2813" s="2"/>
      <c r="T2813" s="2"/>
      <c r="U2813" s="24"/>
      <c r="V2813" s="2"/>
      <c r="W2813" s="2"/>
      <c r="X2813" s="2"/>
      <c r="Y2813" s="2"/>
      <c r="Z2813" s="2"/>
    </row>
    <row r="2814">
      <c r="A2814" s="23"/>
      <c r="B2814" s="2"/>
      <c r="C2814" s="2"/>
      <c r="D2814" s="2"/>
      <c r="E2814" s="2"/>
      <c r="F2814" s="2"/>
      <c r="G2814" s="2"/>
      <c r="H2814" s="2"/>
      <c r="I2814" s="2"/>
      <c r="J2814" s="2"/>
      <c r="K2814" s="2"/>
      <c r="L2814" s="24"/>
      <c r="M2814" s="24"/>
      <c r="N2814" s="24"/>
      <c r="O2814" s="24"/>
      <c r="P2814" s="24"/>
      <c r="Q2814" s="2"/>
      <c r="R2814" s="2"/>
      <c r="S2814" s="2"/>
      <c r="T2814" s="2"/>
      <c r="U2814" s="24"/>
      <c r="V2814" s="2"/>
      <c r="W2814" s="2"/>
      <c r="X2814" s="2"/>
      <c r="Y2814" s="2"/>
      <c r="Z2814" s="2"/>
    </row>
    <row r="2815">
      <c r="A2815" s="23"/>
      <c r="B2815" s="2"/>
      <c r="C2815" s="2"/>
      <c r="D2815" s="2"/>
      <c r="E2815" s="2"/>
      <c r="F2815" s="2"/>
      <c r="G2815" s="2"/>
      <c r="H2815" s="2"/>
      <c r="I2815" s="2"/>
      <c r="J2815" s="2"/>
      <c r="K2815" s="2"/>
      <c r="L2815" s="24"/>
      <c r="M2815" s="24"/>
      <c r="N2815" s="24"/>
      <c r="O2815" s="24"/>
      <c r="P2815" s="24"/>
      <c r="Q2815" s="2"/>
      <c r="R2815" s="2"/>
      <c r="S2815" s="2"/>
      <c r="T2815" s="2"/>
      <c r="U2815" s="24"/>
      <c r="V2815" s="2"/>
      <c r="W2815" s="2"/>
      <c r="X2815" s="2"/>
      <c r="Y2815" s="2"/>
      <c r="Z2815" s="2"/>
    </row>
    <row r="2816">
      <c r="A2816" s="23"/>
      <c r="B2816" s="2"/>
      <c r="C2816" s="2"/>
      <c r="D2816" s="2"/>
      <c r="E2816" s="2"/>
      <c r="F2816" s="2"/>
      <c r="G2816" s="2"/>
      <c r="H2816" s="2"/>
      <c r="I2816" s="2"/>
      <c r="J2816" s="2"/>
      <c r="K2816" s="2"/>
      <c r="L2816" s="24"/>
      <c r="M2816" s="24"/>
      <c r="N2816" s="24"/>
      <c r="O2816" s="24"/>
      <c r="P2816" s="24"/>
      <c r="Q2816" s="2"/>
      <c r="R2816" s="2"/>
      <c r="S2816" s="2"/>
      <c r="T2816" s="2"/>
      <c r="U2816" s="24"/>
      <c r="V2816" s="2"/>
      <c r="W2816" s="2"/>
      <c r="X2816" s="2"/>
      <c r="Y2816" s="2"/>
      <c r="Z2816" s="2"/>
    </row>
    <row r="2817">
      <c r="A2817" s="23"/>
      <c r="B2817" s="2"/>
      <c r="C2817" s="2"/>
      <c r="D2817" s="2"/>
      <c r="E2817" s="2"/>
      <c r="F2817" s="2"/>
      <c r="G2817" s="2"/>
      <c r="H2817" s="2"/>
      <c r="I2817" s="2"/>
      <c r="J2817" s="2"/>
      <c r="K2817" s="2"/>
      <c r="L2817" s="24"/>
      <c r="M2817" s="24"/>
      <c r="N2817" s="24"/>
      <c r="O2817" s="24"/>
      <c r="P2817" s="24"/>
      <c r="Q2817" s="2"/>
      <c r="R2817" s="2"/>
      <c r="S2817" s="2"/>
      <c r="T2817" s="2"/>
      <c r="U2817" s="24"/>
      <c r="V2817" s="2"/>
      <c r="W2817" s="2"/>
      <c r="X2817" s="2"/>
      <c r="Y2817" s="2"/>
      <c r="Z2817" s="2"/>
    </row>
    <row r="2818">
      <c r="A2818" s="23"/>
      <c r="B2818" s="2"/>
      <c r="C2818" s="2"/>
      <c r="D2818" s="2"/>
      <c r="E2818" s="2"/>
      <c r="F2818" s="2"/>
      <c r="G2818" s="2"/>
      <c r="H2818" s="2"/>
      <c r="I2818" s="2"/>
      <c r="J2818" s="2"/>
      <c r="K2818" s="2"/>
      <c r="L2818" s="24"/>
      <c r="M2818" s="24"/>
      <c r="N2818" s="24"/>
      <c r="O2818" s="24"/>
      <c r="P2818" s="24"/>
      <c r="Q2818" s="2"/>
      <c r="R2818" s="2"/>
      <c r="S2818" s="2"/>
      <c r="T2818" s="2"/>
      <c r="U2818" s="24"/>
      <c r="V2818" s="2"/>
      <c r="W2818" s="2"/>
      <c r="X2818" s="2"/>
      <c r="Y2818" s="2"/>
      <c r="Z2818" s="2"/>
    </row>
    <row r="2819">
      <c r="A2819" s="23"/>
      <c r="B2819" s="2"/>
      <c r="C2819" s="2"/>
      <c r="D2819" s="2"/>
      <c r="E2819" s="2"/>
      <c r="F2819" s="2"/>
      <c r="G2819" s="2"/>
      <c r="H2819" s="2"/>
      <c r="I2819" s="2"/>
      <c r="J2819" s="2"/>
      <c r="K2819" s="2"/>
      <c r="L2819" s="24"/>
      <c r="M2819" s="24"/>
      <c r="N2819" s="24"/>
      <c r="O2819" s="24"/>
      <c r="P2819" s="24"/>
      <c r="Q2819" s="2"/>
      <c r="R2819" s="2"/>
      <c r="S2819" s="2"/>
      <c r="T2819" s="2"/>
      <c r="U2819" s="24"/>
      <c r="V2819" s="2"/>
      <c r="W2819" s="2"/>
      <c r="X2819" s="2"/>
      <c r="Y2819" s="2"/>
      <c r="Z2819" s="2"/>
    </row>
    <row r="2820">
      <c r="A2820" s="23"/>
      <c r="B2820" s="2"/>
      <c r="C2820" s="2"/>
      <c r="D2820" s="2"/>
      <c r="E2820" s="2"/>
      <c r="F2820" s="2"/>
      <c r="G2820" s="2"/>
      <c r="H2820" s="2"/>
      <c r="I2820" s="2"/>
      <c r="J2820" s="2"/>
      <c r="K2820" s="2"/>
      <c r="L2820" s="24"/>
      <c r="M2820" s="24"/>
      <c r="N2820" s="24"/>
      <c r="O2820" s="24"/>
      <c r="P2820" s="24"/>
      <c r="Q2820" s="2"/>
      <c r="R2820" s="2"/>
      <c r="S2820" s="2"/>
      <c r="T2820" s="2"/>
      <c r="U2820" s="24"/>
      <c r="V2820" s="2"/>
      <c r="W2820" s="2"/>
      <c r="X2820" s="2"/>
      <c r="Y2820" s="2"/>
      <c r="Z2820" s="2"/>
    </row>
    <row r="2821">
      <c r="A2821" s="23"/>
      <c r="B2821" s="2"/>
      <c r="C2821" s="2"/>
      <c r="D2821" s="2"/>
      <c r="E2821" s="2"/>
      <c r="F2821" s="2"/>
      <c r="G2821" s="2"/>
      <c r="H2821" s="2"/>
      <c r="I2821" s="2"/>
      <c r="J2821" s="2"/>
      <c r="K2821" s="2"/>
      <c r="L2821" s="24"/>
      <c r="M2821" s="24"/>
      <c r="N2821" s="24"/>
      <c r="O2821" s="24"/>
      <c r="P2821" s="24"/>
      <c r="Q2821" s="2"/>
      <c r="R2821" s="2"/>
      <c r="S2821" s="2"/>
      <c r="T2821" s="2"/>
      <c r="U2821" s="24"/>
      <c r="V2821" s="2"/>
      <c r="W2821" s="2"/>
      <c r="X2821" s="2"/>
      <c r="Y2821" s="2"/>
      <c r="Z2821" s="2"/>
    </row>
    <row r="2822">
      <c r="A2822" s="23"/>
      <c r="B2822" s="2"/>
      <c r="C2822" s="2"/>
      <c r="D2822" s="2"/>
      <c r="E2822" s="2"/>
      <c r="F2822" s="2"/>
      <c r="G2822" s="2"/>
      <c r="H2822" s="2"/>
      <c r="I2822" s="2"/>
      <c r="J2822" s="2"/>
      <c r="K2822" s="2"/>
      <c r="L2822" s="24"/>
      <c r="M2822" s="24"/>
      <c r="N2822" s="24"/>
      <c r="O2822" s="24"/>
      <c r="P2822" s="24"/>
      <c r="Q2822" s="2"/>
      <c r="R2822" s="2"/>
      <c r="S2822" s="2"/>
      <c r="T2822" s="2"/>
      <c r="U2822" s="24"/>
      <c r="V2822" s="2"/>
      <c r="W2822" s="2"/>
      <c r="X2822" s="2"/>
      <c r="Y2822" s="2"/>
      <c r="Z2822" s="2"/>
    </row>
    <row r="2823">
      <c r="A2823" s="23"/>
      <c r="B2823" s="2"/>
      <c r="C2823" s="2"/>
      <c r="D2823" s="2"/>
      <c r="E2823" s="2"/>
      <c r="F2823" s="2"/>
      <c r="G2823" s="2"/>
      <c r="H2823" s="2"/>
      <c r="I2823" s="2"/>
      <c r="J2823" s="2"/>
      <c r="K2823" s="2"/>
      <c r="L2823" s="24"/>
      <c r="M2823" s="24"/>
      <c r="N2823" s="24"/>
      <c r="O2823" s="24"/>
      <c r="P2823" s="24"/>
      <c r="Q2823" s="2"/>
      <c r="R2823" s="2"/>
      <c r="S2823" s="2"/>
      <c r="T2823" s="2"/>
      <c r="U2823" s="24"/>
      <c r="V2823" s="2"/>
      <c r="W2823" s="2"/>
      <c r="X2823" s="2"/>
      <c r="Y2823" s="2"/>
      <c r="Z2823" s="2"/>
    </row>
    <row r="2824">
      <c r="A2824" s="23"/>
      <c r="B2824" s="2"/>
      <c r="C2824" s="2"/>
      <c r="D2824" s="2"/>
      <c r="E2824" s="2"/>
      <c r="F2824" s="2"/>
      <c r="G2824" s="2"/>
      <c r="H2824" s="2"/>
      <c r="I2824" s="2"/>
      <c r="J2824" s="2"/>
      <c r="K2824" s="2"/>
      <c r="L2824" s="24"/>
      <c r="M2824" s="24"/>
      <c r="N2824" s="24"/>
      <c r="O2824" s="24"/>
      <c r="P2824" s="24"/>
      <c r="Q2824" s="2"/>
      <c r="R2824" s="2"/>
      <c r="S2824" s="2"/>
      <c r="T2824" s="2"/>
      <c r="U2824" s="24"/>
      <c r="V2824" s="2"/>
      <c r="W2824" s="2"/>
      <c r="X2824" s="2"/>
      <c r="Y2824" s="2"/>
      <c r="Z2824" s="2"/>
    </row>
    <row r="2825">
      <c r="A2825" s="23"/>
      <c r="B2825" s="2"/>
      <c r="C2825" s="2"/>
      <c r="D2825" s="2"/>
      <c r="E2825" s="2"/>
      <c r="F2825" s="2"/>
      <c r="G2825" s="2"/>
      <c r="H2825" s="2"/>
      <c r="I2825" s="2"/>
      <c r="J2825" s="2"/>
      <c r="K2825" s="2"/>
      <c r="L2825" s="24"/>
      <c r="M2825" s="24"/>
      <c r="N2825" s="24"/>
      <c r="O2825" s="24"/>
      <c r="P2825" s="24"/>
      <c r="Q2825" s="2"/>
      <c r="R2825" s="2"/>
      <c r="S2825" s="2"/>
      <c r="T2825" s="2"/>
      <c r="U2825" s="24"/>
      <c r="V2825" s="2"/>
      <c r="W2825" s="2"/>
      <c r="X2825" s="2"/>
      <c r="Y2825" s="2"/>
      <c r="Z2825" s="2"/>
    </row>
    <row r="2826">
      <c r="A2826" s="23"/>
      <c r="B2826" s="2"/>
      <c r="C2826" s="2"/>
      <c r="D2826" s="2"/>
      <c r="E2826" s="2"/>
      <c r="F2826" s="2"/>
      <c r="G2826" s="2"/>
      <c r="H2826" s="2"/>
      <c r="I2826" s="2"/>
      <c r="J2826" s="2"/>
      <c r="K2826" s="2"/>
      <c r="L2826" s="24"/>
      <c r="M2826" s="24"/>
      <c r="N2826" s="24"/>
      <c r="O2826" s="24"/>
      <c r="P2826" s="24"/>
      <c r="Q2826" s="2"/>
      <c r="R2826" s="2"/>
      <c r="S2826" s="2"/>
      <c r="T2826" s="2"/>
      <c r="U2826" s="24"/>
      <c r="V2826" s="2"/>
      <c r="W2826" s="2"/>
      <c r="X2826" s="2"/>
      <c r="Y2826" s="2"/>
      <c r="Z2826" s="2"/>
    </row>
    <row r="2827">
      <c r="A2827" s="23"/>
      <c r="B2827" s="2"/>
      <c r="C2827" s="2"/>
      <c r="D2827" s="2"/>
      <c r="E2827" s="2"/>
      <c r="F2827" s="2"/>
      <c r="G2827" s="2"/>
      <c r="H2827" s="2"/>
      <c r="I2827" s="2"/>
      <c r="J2827" s="2"/>
      <c r="K2827" s="2"/>
      <c r="L2827" s="24"/>
      <c r="M2827" s="24"/>
      <c r="N2827" s="24"/>
      <c r="O2827" s="24"/>
      <c r="P2827" s="24"/>
      <c r="Q2827" s="2"/>
      <c r="R2827" s="2"/>
      <c r="S2827" s="2"/>
      <c r="T2827" s="2"/>
      <c r="U2827" s="24"/>
      <c r="V2827" s="2"/>
      <c r="W2827" s="2"/>
      <c r="X2827" s="2"/>
      <c r="Y2827" s="2"/>
      <c r="Z2827" s="2"/>
    </row>
    <row r="2828">
      <c r="A2828" s="23"/>
      <c r="B2828" s="2"/>
      <c r="C2828" s="2"/>
      <c r="D2828" s="2"/>
      <c r="E2828" s="2"/>
      <c r="F2828" s="2"/>
      <c r="G2828" s="2"/>
      <c r="H2828" s="2"/>
      <c r="I2828" s="2"/>
      <c r="J2828" s="2"/>
      <c r="K2828" s="2"/>
      <c r="L2828" s="24"/>
      <c r="M2828" s="24"/>
      <c r="N2828" s="24"/>
      <c r="O2828" s="24"/>
      <c r="P2828" s="24"/>
      <c r="Q2828" s="2"/>
      <c r="R2828" s="2"/>
      <c r="S2828" s="2"/>
      <c r="T2828" s="2"/>
      <c r="U2828" s="24"/>
      <c r="V2828" s="2"/>
      <c r="W2828" s="2"/>
      <c r="X2828" s="2"/>
      <c r="Y2828" s="2"/>
      <c r="Z2828" s="2"/>
    </row>
    <row r="2829">
      <c r="A2829" s="23"/>
      <c r="B2829" s="2"/>
      <c r="C2829" s="2"/>
      <c r="D2829" s="2"/>
      <c r="E2829" s="2"/>
      <c r="F2829" s="2"/>
      <c r="G2829" s="2"/>
      <c r="H2829" s="2"/>
      <c r="I2829" s="2"/>
      <c r="J2829" s="2"/>
      <c r="K2829" s="2"/>
      <c r="L2829" s="24"/>
      <c r="M2829" s="24"/>
      <c r="N2829" s="24"/>
      <c r="O2829" s="24"/>
      <c r="P2829" s="24"/>
      <c r="Q2829" s="2"/>
      <c r="R2829" s="2"/>
      <c r="S2829" s="2"/>
      <c r="T2829" s="2"/>
      <c r="U2829" s="24"/>
      <c r="V2829" s="2"/>
      <c r="W2829" s="2"/>
      <c r="X2829" s="2"/>
      <c r="Y2829" s="2"/>
      <c r="Z2829" s="2"/>
    </row>
    <row r="2830">
      <c r="A2830" s="23"/>
      <c r="B2830" s="2"/>
      <c r="C2830" s="2"/>
      <c r="D2830" s="2"/>
      <c r="E2830" s="2"/>
      <c r="F2830" s="2"/>
      <c r="G2830" s="2"/>
      <c r="H2830" s="2"/>
      <c r="I2830" s="2"/>
      <c r="J2830" s="2"/>
      <c r="K2830" s="2"/>
      <c r="L2830" s="24"/>
      <c r="M2830" s="24"/>
      <c r="N2830" s="24"/>
      <c r="O2830" s="24"/>
      <c r="P2830" s="24"/>
      <c r="Q2830" s="2"/>
      <c r="R2830" s="2"/>
      <c r="S2830" s="2"/>
      <c r="T2830" s="2"/>
      <c r="U2830" s="24"/>
      <c r="V2830" s="2"/>
      <c r="W2830" s="2"/>
      <c r="X2830" s="2"/>
      <c r="Y2830" s="2"/>
      <c r="Z2830" s="2"/>
    </row>
    <row r="2831">
      <c r="A2831" s="23"/>
      <c r="B2831" s="2"/>
      <c r="C2831" s="2"/>
      <c r="D2831" s="2"/>
      <c r="E2831" s="2"/>
      <c r="F2831" s="2"/>
      <c r="G2831" s="2"/>
      <c r="H2831" s="2"/>
      <c r="I2831" s="2"/>
      <c r="J2831" s="2"/>
      <c r="K2831" s="2"/>
      <c r="L2831" s="24"/>
      <c r="M2831" s="24"/>
      <c r="N2831" s="24"/>
      <c r="O2831" s="24"/>
      <c r="P2831" s="24"/>
      <c r="Q2831" s="2"/>
      <c r="R2831" s="2"/>
      <c r="S2831" s="2"/>
      <c r="T2831" s="2"/>
      <c r="U2831" s="24"/>
      <c r="V2831" s="2"/>
      <c r="W2831" s="2"/>
      <c r="X2831" s="2"/>
      <c r="Y2831" s="2"/>
      <c r="Z2831" s="2"/>
    </row>
    <row r="2832">
      <c r="A2832" s="23"/>
      <c r="B2832" s="2"/>
      <c r="C2832" s="2"/>
      <c r="D2832" s="2"/>
      <c r="E2832" s="2"/>
      <c r="F2832" s="2"/>
      <c r="G2832" s="2"/>
      <c r="H2832" s="2"/>
      <c r="I2832" s="2"/>
      <c r="J2832" s="2"/>
      <c r="K2832" s="2"/>
      <c r="L2832" s="24"/>
      <c r="M2832" s="24"/>
      <c r="N2832" s="24"/>
      <c r="O2832" s="24"/>
      <c r="P2832" s="24"/>
      <c r="Q2832" s="2"/>
      <c r="R2832" s="2"/>
      <c r="S2832" s="2"/>
      <c r="T2832" s="2"/>
      <c r="U2832" s="24"/>
      <c r="V2832" s="2"/>
      <c r="W2832" s="2"/>
      <c r="X2832" s="2"/>
      <c r="Y2832" s="2"/>
      <c r="Z2832" s="2"/>
    </row>
    <row r="2833">
      <c r="A2833" s="23"/>
      <c r="B2833" s="2"/>
      <c r="C2833" s="2"/>
      <c r="D2833" s="2"/>
      <c r="E2833" s="2"/>
      <c r="F2833" s="2"/>
      <c r="G2833" s="2"/>
      <c r="H2833" s="2"/>
      <c r="I2833" s="2"/>
      <c r="J2833" s="2"/>
      <c r="K2833" s="2"/>
      <c r="L2833" s="24"/>
      <c r="M2833" s="24"/>
      <c r="N2833" s="24"/>
      <c r="O2833" s="24"/>
      <c r="P2833" s="24"/>
      <c r="Q2833" s="2"/>
      <c r="R2833" s="2"/>
      <c r="S2833" s="2"/>
      <c r="T2833" s="2"/>
      <c r="U2833" s="24"/>
      <c r="V2833" s="2"/>
      <c r="W2833" s="2"/>
      <c r="X2833" s="2"/>
      <c r="Y2833" s="2"/>
      <c r="Z2833" s="2"/>
    </row>
    <row r="2834">
      <c r="A2834" s="23"/>
      <c r="B2834" s="2"/>
      <c r="C2834" s="2"/>
      <c r="D2834" s="2"/>
      <c r="E2834" s="2"/>
      <c r="F2834" s="2"/>
      <c r="G2834" s="2"/>
      <c r="H2834" s="2"/>
      <c r="I2834" s="2"/>
      <c r="J2834" s="2"/>
      <c r="K2834" s="2"/>
      <c r="L2834" s="24"/>
      <c r="M2834" s="24"/>
      <c r="N2834" s="24"/>
      <c r="O2834" s="24"/>
      <c r="P2834" s="24"/>
      <c r="Q2834" s="2"/>
      <c r="R2834" s="2"/>
      <c r="S2834" s="2"/>
      <c r="T2834" s="2"/>
      <c r="U2834" s="24"/>
      <c r="V2834" s="2"/>
      <c r="W2834" s="2"/>
      <c r="X2834" s="2"/>
      <c r="Y2834" s="2"/>
      <c r="Z2834" s="2"/>
    </row>
    <row r="2835">
      <c r="A2835" s="23"/>
      <c r="B2835" s="2"/>
      <c r="C2835" s="2"/>
      <c r="D2835" s="2"/>
      <c r="E2835" s="2"/>
      <c r="F2835" s="2"/>
      <c r="G2835" s="2"/>
      <c r="H2835" s="2"/>
      <c r="I2835" s="2"/>
      <c r="J2835" s="2"/>
      <c r="K2835" s="2"/>
      <c r="L2835" s="24"/>
      <c r="M2835" s="24"/>
      <c r="N2835" s="24"/>
      <c r="O2835" s="24"/>
      <c r="P2835" s="24"/>
      <c r="Q2835" s="2"/>
      <c r="R2835" s="2"/>
      <c r="S2835" s="2"/>
      <c r="T2835" s="2"/>
      <c r="U2835" s="24"/>
      <c r="V2835" s="2"/>
      <c r="W2835" s="2"/>
      <c r="X2835" s="2"/>
      <c r="Y2835" s="2"/>
      <c r="Z2835" s="2"/>
    </row>
    <row r="2836">
      <c r="A2836" s="23"/>
      <c r="B2836" s="2"/>
      <c r="C2836" s="2"/>
      <c r="D2836" s="2"/>
      <c r="E2836" s="2"/>
      <c r="F2836" s="2"/>
      <c r="G2836" s="2"/>
      <c r="H2836" s="2"/>
      <c r="I2836" s="2"/>
      <c r="J2836" s="2"/>
      <c r="K2836" s="2"/>
      <c r="L2836" s="24"/>
      <c r="M2836" s="24"/>
      <c r="N2836" s="24"/>
      <c r="O2836" s="24"/>
      <c r="P2836" s="24"/>
      <c r="Q2836" s="2"/>
      <c r="R2836" s="2"/>
      <c r="S2836" s="2"/>
      <c r="T2836" s="2"/>
      <c r="U2836" s="24"/>
      <c r="V2836" s="2"/>
      <c r="W2836" s="2"/>
      <c r="X2836" s="2"/>
      <c r="Y2836" s="2"/>
      <c r="Z2836" s="2"/>
    </row>
    <row r="2837">
      <c r="A2837" s="23"/>
      <c r="B2837" s="2"/>
      <c r="C2837" s="2"/>
      <c r="D2837" s="2"/>
      <c r="E2837" s="2"/>
      <c r="F2837" s="2"/>
      <c r="G2837" s="2"/>
      <c r="H2837" s="2"/>
      <c r="I2837" s="2"/>
      <c r="J2837" s="2"/>
      <c r="K2837" s="2"/>
      <c r="L2837" s="24"/>
      <c r="M2837" s="24"/>
      <c r="N2837" s="24"/>
      <c r="O2837" s="24"/>
      <c r="P2837" s="24"/>
      <c r="Q2837" s="2"/>
      <c r="R2837" s="2"/>
      <c r="S2837" s="2"/>
      <c r="T2837" s="2"/>
      <c r="U2837" s="24"/>
      <c r="V2837" s="2"/>
      <c r="W2837" s="2"/>
      <c r="X2837" s="2"/>
      <c r="Y2837" s="2"/>
      <c r="Z2837" s="2"/>
    </row>
    <row r="2838">
      <c r="A2838" s="23"/>
      <c r="B2838" s="2"/>
      <c r="C2838" s="2"/>
      <c r="D2838" s="2"/>
      <c r="E2838" s="2"/>
      <c r="F2838" s="2"/>
      <c r="G2838" s="2"/>
      <c r="H2838" s="2"/>
      <c r="I2838" s="2"/>
      <c r="J2838" s="2"/>
      <c r="K2838" s="2"/>
      <c r="L2838" s="24"/>
      <c r="M2838" s="24"/>
      <c r="N2838" s="24"/>
      <c r="O2838" s="24"/>
      <c r="P2838" s="24"/>
      <c r="Q2838" s="2"/>
      <c r="R2838" s="2"/>
      <c r="S2838" s="2"/>
      <c r="T2838" s="2"/>
      <c r="U2838" s="24"/>
      <c r="V2838" s="2"/>
      <c r="W2838" s="2"/>
      <c r="X2838" s="2"/>
      <c r="Y2838" s="2"/>
      <c r="Z2838" s="2"/>
    </row>
    <row r="2839">
      <c r="A2839" s="23"/>
      <c r="B2839" s="2"/>
      <c r="C2839" s="2"/>
      <c r="D2839" s="2"/>
      <c r="E2839" s="2"/>
      <c r="F2839" s="2"/>
      <c r="G2839" s="2"/>
      <c r="H2839" s="2"/>
      <c r="I2839" s="2"/>
      <c r="J2839" s="2"/>
      <c r="K2839" s="2"/>
      <c r="L2839" s="24"/>
      <c r="M2839" s="24"/>
      <c r="N2839" s="24"/>
      <c r="O2839" s="24"/>
      <c r="P2839" s="24"/>
      <c r="Q2839" s="2"/>
      <c r="R2839" s="2"/>
      <c r="S2839" s="2"/>
      <c r="T2839" s="2"/>
      <c r="U2839" s="24"/>
      <c r="V2839" s="2"/>
      <c r="W2839" s="2"/>
      <c r="X2839" s="2"/>
      <c r="Y2839" s="2"/>
      <c r="Z2839" s="2"/>
    </row>
    <row r="2840">
      <c r="A2840" s="23"/>
      <c r="B2840" s="2"/>
      <c r="C2840" s="2"/>
      <c r="D2840" s="2"/>
      <c r="E2840" s="2"/>
      <c r="F2840" s="2"/>
      <c r="G2840" s="2"/>
      <c r="H2840" s="2"/>
      <c r="I2840" s="2"/>
      <c r="J2840" s="2"/>
      <c r="K2840" s="2"/>
      <c r="L2840" s="24"/>
      <c r="M2840" s="24"/>
      <c r="N2840" s="24"/>
      <c r="O2840" s="24"/>
      <c r="P2840" s="24"/>
      <c r="Q2840" s="2"/>
      <c r="R2840" s="2"/>
      <c r="S2840" s="2"/>
      <c r="T2840" s="2"/>
      <c r="U2840" s="24"/>
      <c r="V2840" s="2"/>
      <c r="W2840" s="2"/>
      <c r="X2840" s="2"/>
      <c r="Y2840" s="2"/>
      <c r="Z2840" s="2"/>
    </row>
    <row r="2841">
      <c r="A2841" s="23"/>
      <c r="B2841" s="2"/>
      <c r="C2841" s="2"/>
      <c r="D2841" s="2"/>
      <c r="E2841" s="2"/>
      <c r="F2841" s="2"/>
      <c r="G2841" s="2"/>
      <c r="H2841" s="2"/>
      <c r="I2841" s="2"/>
      <c r="J2841" s="2"/>
      <c r="K2841" s="2"/>
      <c r="L2841" s="24"/>
      <c r="M2841" s="24"/>
      <c r="N2841" s="24"/>
      <c r="O2841" s="24"/>
      <c r="P2841" s="24"/>
      <c r="Q2841" s="2"/>
      <c r="R2841" s="2"/>
      <c r="S2841" s="2"/>
      <c r="T2841" s="2"/>
      <c r="U2841" s="24"/>
      <c r="V2841" s="2"/>
      <c r="W2841" s="2"/>
      <c r="X2841" s="2"/>
      <c r="Y2841" s="2"/>
      <c r="Z2841" s="2"/>
    </row>
    <row r="2842">
      <c r="A2842" s="23"/>
      <c r="B2842" s="2"/>
      <c r="C2842" s="2"/>
      <c r="D2842" s="2"/>
      <c r="E2842" s="2"/>
      <c r="F2842" s="2"/>
      <c r="G2842" s="2"/>
      <c r="H2842" s="2"/>
      <c r="I2842" s="2"/>
      <c r="J2842" s="2"/>
      <c r="K2842" s="2"/>
      <c r="L2842" s="24"/>
      <c r="M2842" s="24"/>
      <c r="N2842" s="24"/>
      <c r="O2842" s="24"/>
      <c r="P2842" s="24"/>
      <c r="Q2842" s="2"/>
      <c r="R2842" s="2"/>
      <c r="S2842" s="2"/>
      <c r="T2842" s="2"/>
      <c r="U2842" s="24"/>
      <c r="V2842" s="2"/>
      <c r="W2842" s="2"/>
      <c r="X2842" s="2"/>
      <c r="Y2842" s="2"/>
      <c r="Z2842" s="2"/>
    </row>
    <row r="2843">
      <c r="A2843" s="23"/>
      <c r="B2843" s="2"/>
      <c r="C2843" s="2"/>
      <c r="D2843" s="2"/>
      <c r="E2843" s="2"/>
      <c r="F2843" s="2"/>
      <c r="G2843" s="2"/>
      <c r="H2843" s="2"/>
      <c r="I2843" s="2"/>
      <c r="J2843" s="2"/>
      <c r="K2843" s="2"/>
      <c r="L2843" s="24"/>
      <c r="M2843" s="24"/>
      <c r="N2843" s="24"/>
      <c r="O2843" s="24"/>
      <c r="P2843" s="24"/>
      <c r="Q2843" s="2"/>
      <c r="R2843" s="2"/>
      <c r="S2843" s="2"/>
      <c r="T2843" s="2"/>
      <c r="U2843" s="24"/>
      <c r="V2843" s="2"/>
      <c r="W2843" s="2"/>
      <c r="X2843" s="2"/>
      <c r="Y2843" s="2"/>
      <c r="Z2843" s="2"/>
    </row>
    <row r="2844">
      <c r="A2844" s="23"/>
      <c r="B2844" s="2"/>
      <c r="C2844" s="2"/>
      <c r="D2844" s="2"/>
      <c r="E2844" s="2"/>
      <c r="F2844" s="2"/>
      <c r="G2844" s="2"/>
      <c r="H2844" s="2"/>
      <c r="I2844" s="2"/>
      <c r="J2844" s="2"/>
      <c r="K2844" s="2"/>
      <c r="L2844" s="24"/>
      <c r="M2844" s="24"/>
      <c r="N2844" s="24"/>
      <c r="O2844" s="24"/>
      <c r="P2844" s="24"/>
      <c r="Q2844" s="2"/>
      <c r="R2844" s="2"/>
      <c r="S2844" s="2"/>
      <c r="T2844" s="2"/>
      <c r="U2844" s="24"/>
      <c r="V2844" s="2"/>
      <c r="W2844" s="2"/>
      <c r="X2844" s="2"/>
      <c r="Y2844" s="2"/>
      <c r="Z2844" s="2"/>
    </row>
    <row r="2845">
      <c r="A2845" s="23"/>
      <c r="B2845" s="2"/>
      <c r="C2845" s="2"/>
      <c r="D2845" s="2"/>
      <c r="E2845" s="2"/>
      <c r="F2845" s="2"/>
      <c r="G2845" s="2"/>
      <c r="H2845" s="2"/>
      <c r="I2845" s="2"/>
      <c r="J2845" s="2"/>
      <c r="K2845" s="2"/>
      <c r="L2845" s="24"/>
      <c r="M2845" s="24"/>
      <c r="N2845" s="24"/>
      <c r="O2845" s="24"/>
      <c r="P2845" s="24"/>
      <c r="Q2845" s="2"/>
      <c r="R2845" s="2"/>
      <c r="S2845" s="2"/>
      <c r="T2845" s="2"/>
      <c r="U2845" s="24"/>
      <c r="V2845" s="2"/>
      <c r="W2845" s="2"/>
      <c r="X2845" s="2"/>
      <c r="Y2845" s="2"/>
      <c r="Z2845" s="2"/>
    </row>
    <row r="2846">
      <c r="A2846" s="23"/>
      <c r="B2846" s="2"/>
      <c r="C2846" s="2"/>
      <c r="D2846" s="2"/>
      <c r="E2846" s="2"/>
      <c r="F2846" s="2"/>
      <c r="G2846" s="2"/>
      <c r="H2846" s="2"/>
      <c r="I2846" s="2"/>
      <c r="J2846" s="2"/>
      <c r="K2846" s="2"/>
      <c r="L2846" s="24"/>
      <c r="M2846" s="24"/>
      <c r="N2846" s="24"/>
      <c r="O2846" s="24"/>
      <c r="P2846" s="24"/>
      <c r="Q2846" s="2"/>
      <c r="R2846" s="2"/>
      <c r="S2846" s="2"/>
      <c r="T2846" s="2"/>
      <c r="U2846" s="24"/>
      <c r="V2846" s="2"/>
      <c r="W2846" s="2"/>
      <c r="X2846" s="2"/>
      <c r="Y2846" s="2"/>
      <c r="Z2846" s="2"/>
    </row>
    <row r="2847">
      <c r="A2847" s="23"/>
      <c r="B2847" s="2"/>
      <c r="C2847" s="2"/>
      <c r="D2847" s="2"/>
      <c r="E2847" s="2"/>
      <c r="F2847" s="2"/>
      <c r="G2847" s="2"/>
      <c r="H2847" s="2"/>
      <c r="I2847" s="2"/>
      <c r="J2847" s="2"/>
      <c r="K2847" s="2"/>
      <c r="L2847" s="24"/>
      <c r="M2847" s="24"/>
      <c r="N2847" s="24"/>
      <c r="O2847" s="24"/>
      <c r="P2847" s="24"/>
      <c r="Q2847" s="2"/>
      <c r="R2847" s="2"/>
      <c r="S2847" s="2"/>
      <c r="T2847" s="2"/>
      <c r="U2847" s="24"/>
      <c r="V2847" s="2"/>
      <c r="W2847" s="2"/>
      <c r="X2847" s="2"/>
      <c r="Y2847" s="2"/>
      <c r="Z2847" s="2"/>
    </row>
    <row r="2848">
      <c r="A2848" s="23"/>
      <c r="B2848" s="2"/>
      <c r="C2848" s="2"/>
      <c r="D2848" s="2"/>
      <c r="E2848" s="2"/>
      <c r="F2848" s="2"/>
      <c r="G2848" s="2"/>
      <c r="H2848" s="2"/>
      <c r="I2848" s="2"/>
      <c r="J2848" s="2"/>
      <c r="K2848" s="2"/>
      <c r="L2848" s="24"/>
      <c r="M2848" s="24"/>
      <c r="N2848" s="24"/>
      <c r="O2848" s="24"/>
      <c r="P2848" s="24"/>
      <c r="Q2848" s="2"/>
      <c r="R2848" s="2"/>
      <c r="S2848" s="2"/>
      <c r="T2848" s="2"/>
      <c r="U2848" s="24"/>
      <c r="V2848" s="2"/>
      <c r="W2848" s="2"/>
      <c r="X2848" s="2"/>
      <c r="Y2848" s="2"/>
      <c r="Z2848" s="2"/>
    </row>
    <row r="2849">
      <c r="A2849" s="23"/>
      <c r="B2849" s="2"/>
      <c r="C2849" s="2"/>
      <c r="D2849" s="2"/>
      <c r="E2849" s="2"/>
      <c r="F2849" s="2"/>
      <c r="G2849" s="2"/>
      <c r="H2849" s="2"/>
      <c r="I2849" s="2"/>
      <c r="J2849" s="2"/>
      <c r="K2849" s="2"/>
      <c r="L2849" s="24"/>
      <c r="M2849" s="24"/>
      <c r="N2849" s="24"/>
      <c r="O2849" s="24"/>
      <c r="P2849" s="24"/>
      <c r="Q2849" s="2"/>
      <c r="R2849" s="2"/>
      <c r="S2849" s="2"/>
      <c r="T2849" s="2"/>
      <c r="U2849" s="24"/>
      <c r="V2849" s="2"/>
      <c r="W2849" s="2"/>
      <c r="X2849" s="2"/>
      <c r="Y2849" s="2"/>
      <c r="Z2849" s="2"/>
    </row>
    <row r="2850">
      <c r="A2850" s="23"/>
      <c r="B2850" s="2"/>
      <c r="C2850" s="2"/>
      <c r="D2850" s="2"/>
      <c r="E2850" s="2"/>
      <c r="F2850" s="2"/>
      <c r="G2850" s="2"/>
      <c r="H2850" s="2"/>
      <c r="I2850" s="2"/>
      <c r="J2850" s="2"/>
      <c r="K2850" s="2"/>
      <c r="L2850" s="24"/>
      <c r="M2850" s="24"/>
      <c r="N2850" s="24"/>
      <c r="O2850" s="24"/>
      <c r="P2850" s="24"/>
      <c r="Q2850" s="2"/>
      <c r="R2850" s="2"/>
      <c r="S2850" s="2"/>
      <c r="T2850" s="2"/>
      <c r="U2850" s="24"/>
      <c r="V2850" s="2"/>
      <c r="W2850" s="2"/>
      <c r="X2850" s="2"/>
      <c r="Y2850" s="2"/>
      <c r="Z2850" s="2"/>
    </row>
    <row r="2851">
      <c r="A2851" s="23"/>
      <c r="B2851" s="2"/>
      <c r="C2851" s="2"/>
      <c r="D2851" s="2"/>
      <c r="E2851" s="2"/>
      <c r="F2851" s="2"/>
      <c r="G2851" s="2"/>
      <c r="H2851" s="2"/>
      <c r="I2851" s="2"/>
      <c r="J2851" s="2"/>
      <c r="K2851" s="2"/>
      <c r="L2851" s="24"/>
      <c r="M2851" s="24"/>
      <c r="N2851" s="24"/>
      <c r="O2851" s="24"/>
      <c r="P2851" s="24"/>
      <c r="Q2851" s="2"/>
      <c r="R2851" s="2"/>
      <c r="S2851" s="2"/>
      <c r="T2851" s="2"/>
      <c r="U2851" s="24"/>
      <c r="V2851" s="2"/>
      <c r="W2851" s="2"/>
      <c r="X2851" s="2"/>
      <c r="Y2851" s="2"/>
      <c r="Z2851" s="2"/>
    </row>
    <row r="2852">
      <c r="A2852" s="23"/>
      <c r="B2852" s="2"/>
      <c r="C2852" s="2"/>
      <c r="D2852" s="2"/>
      <c r="E2852" s="2"/>
      <c r="F2852" s="2"/>
      <c r="G2852" s="2"/>
      <c r="H2852" s="2"/>
      <c r="I2852" s="2"/>
      <c r="J2852" s="2"/>
      <c r="K2852" s="2"/>
      <c r="L2852" s="24"/>
      <c r="M2852" s="24"/>
      <c r="N2852" s="24"/>
      <c r="O2852" s="24"/>
      <c r="P2852" s="24"/>
      <c r="Q2852" s="2"/>
      <c r="R2852" s="2"/>
      <c r="S2852" s="2"/>
      <c r="T2852" s="2"/>
      <c r="U2852" s="24"/>
      <c r="V2852" s="2"/>
      <c r="W2852" s="2"/>
      <c r="X2852" s="2"/>
      <c r="Y2852" s="2"/>
      <c r="Z2852" s="2"/>
    </row>
    <row r="2853">
      <c r="A2853" s="23"/>
      <c r="B2853" s="2"/>
      <c r="C2853" s="2"/>
      <c r="D2853" s="2"/>
      <c r="E2853" s="2"/>
      <c r="F2853" s="2"/>
      <c r="G2853" s="2"/>
      <c r="H2853" s="2"/>
      <c r="I2853" s="2"/>
      <c r="J2853" s="2"/>
      <c r="K2853" s="2"/>
      <c r="L2853" s="24"/>
      <c r="M2853" s="24"/>
      <c r="N2853" s="24"/>
      <c r="O2853" s="24"/>
      <c r="P2853" s="24"/>
      <c r="Q2853" s="2"/>
      <c r="R2853" s="2"/>
      <c r="S2853" s="2"/>
      <c r="T2853" s="2"/>
      <c r="U2853" s="24"/>
      <c r="V2853" s="2"/>
      <c r="W2853" s="2"/>
      <c r="X2853" s="2"/>
      <c r="Y2853" s="2"/>
      <c r="Z2853" s="2"/>
    </row>
    <row r="2854">
      <c r="A2854" s="23"/>
      <c r="B2854" s="2"/>
      <c r="C2854" s="2"/>
      <c r="D2854" s="2"/>
      <c r="E2854" s="2"/>
      <c r="F2854" s="2"/>
      <c r="G2854" s="2"/>
      <c r="H2854" s="2"/>
      <c r="I2854" s="2"/>
      <c r="J2854" s="2"/>
      <c r="K2854" s="2"/>
      <c r="L2854" s="24"/>
      <c r="M2854" s="24"/>
      <c r="N2854" s="24"/>
      <c r="O2854" s="24"/>
      <c r="P2854" s="24"/>
      <c r="Q2854" s="2"/>
      <c r="R2854" s="2"/>
      <c r="S2854" s="2"/>
      <c r="T2854" s="2"/>
      <c r="U2854" s="24"/>
      <c r="V2854" s="2"/>
      <c r="W2854" s="2"/>
      <c r="X2854" s="2"/>
      <c r="Y2854" s="2"/>
      <c r="Z2854" s="2"/>
    </row>
    <row r="2855">
      <c r="A2855" s="23"/>
      <c r="B2855" s="2"/>
      <c r="C2855" s="2"/>
      <c r="D2855" s="2"/>
      <c r="E2855" s="2"/>
      <c r="F2855" s="2"/>
      <c r="G2855" s="2"/>
      <c r="H2855" s="2"/>
      <c r="I2855" s="2"/>
      <c r="J2855" s="2"/>
      <c r="K2855" s="2"/>
      <c r="L2855" s="24"/>
      <c r="M2855" s="24"/>
      <c r="N2855" s="24"/>
      <c r="O2855" s="24"/>
      <c r="P2855" s="24"/>
      <c r="Q2855" s="2"/>
      <c r="R2855" s="2"/>
      <c r="S2855" s="2"/>
      <c r="T2855" s="2"/>
      <c r="U2855" s="24"/>
      <c r="V2855" s="2"/>
      <c r="W2855" s="2"/>
      <c r="X2855" s="2"/>
      <c r="Y2855" s="2"/>
      <c r="Z2855" s="2"/>
    </row>
    <row r="2856">
      <c r="A2856" s="23"/>
      <c r="B2856" s="2"/>
      <c r="C2856" s="2"/>
      <c r="D2856" s="2"/>
      <c r="E2856" s="2"/>
      <c r="F2856" s="2"/>
      <c r="G2856" s="2"/>
      <c r="H2856" s="2"/>
      <c r="I2856" s="2"/>
      <c r="J2856" s="2"/>
      <c r="K2856" s="2"/>
      <c r="L2856" s="24"/>
      <c r="M2856" s="24"/>
      <c r="N2856" s="24"/>
      <c r="O2856" s="24"/>
      <c r="P2856" s="24"/>
      <c r="Q2856" s="2"/>
      <c r="R2856" s="2"/>
      <c r="S2856" s="2"/>
      <c r="T2856" s="2"/>
      <c r="U2856" s="24"/>
      <c r="V2856" s="2"/>
      <c r="W2856" s="2"/>
      <c r="X2856" s="2"/>
      <c r="Y2856" s="2"/>
      <c r="Z2856" s="2"/>
    </row>
    <row r="2857">
      <c r="A2857" s="23"/>
      <c r="B2857" s="2"/>
      <c r="C2857" s="2"/>
      <c r="D2857" s="2"/>
      <c r="E2857" s="2"/>
      <c r="F2857" s="2"/>
      <c r="G2857" s="2"/>
      <c r="H2857" s="2"/>
      <c r="I2857" s="2"/>
      <c r="J2857" s="2"/>
      <c r="K2857" s="2"/>
      <c r="L2857" s="24"/>
      <c r="M2857" s="24"/>
      <c r="N2857" s="24"/>
      <c r="O2857" s="24"/>
      <c r="P2857" s="24"/>
      <c r="Q2857" s="2"/>
      <c r="R2857" s="2"/>
      <c r="S2857" s="2"/>
      <c r="T2857" s="2"/>
      <c r="U2857" s="24"/>
      <c r="V2857" s="2"/>
      <c r="W2857" s="2"/>
      <c r="X2857" s="2"/>
      <c r="Y2857" s="2"/>
      <c r="Z2857" s="2"/>
    </row>
    <row r="2858">
      <c r="A2858" s="23"/>
      <c r="B2858" s="2"/>
      <c r="C2858" s="2"/>
      <c r="D2858" s="2"/>
      <c r="E2858" s="2"/>
      <c r="F2858" s="2"/>
      <c r="G2858" s="2"/>
      <c r="H2858" s="2"/>
      <c r="I2858" s="2"/>
      <c r="J2858" s="2"/>
      <c r="K2858" s="2"/>
      <c r="L2858" s="24"/>
      <c r="M2858" s="24"/>
      <c r="N2858" s="24"/>
      <c r="O2858" s="24"/>
      <c r="P2858" s="24"/>
      <c r="Q2858" s="2"/>
      <c r="R2858" s="2"/>
      <c r="S2858" s="2"/>
      <c r="T2858" s="2"/>
      <c r="U2858" s="24"/>
      <c r="V2858" s="2"/>
      <c r="W2858" s="2"/>
      <c r="X2858" s="2"/>
      <c r="Y2858" s="2"/>
      <c r="Z2858" s="2"/>
    </row>
    <row r="2859">
      <c r="A2859" s="23"/>
      <c r="B2859" s="2"/>
      <c r="C2859" s="2"/>
      <c r="D2859" s="2"/>
      <c r="E2859" s="2"/>
      <c r="F2859" s="2"/>
      <c r="G2859" s="2"/>
      <c r="H2859" s="2"/>
      <c r="I2859" s="2"/>
      <c r="J2859" s="2"/>
      <c r="K2859" s="2"/>
      <c r="L2859" s="24"/>
      <c r="M2859" s="24"/>
      <c r="N2859" s="24"/>
      <c r="O2859" s="24"/>
      <c r="P2859" s="24"/>
      <c r="Q2859" s="2"/>
      <c r="R2859" s="2"/>
      <c r="S2859" s="2"/>
      <c r="T2859" s="2"/>
      <c r="U2859" s="24"/>
      <c r="V2859" s="2"/>
      <c r="W2859" s="2"/>
      <c r="X2859" s="2"/>
      <c r="Y2859" s="2"/>
      <c r="Z2859" s="2"/>
    </row>
    <row r="2860">
      <c r="A2860" s="23"/>
      <c r="B2860" s="2"/>
      <c r="C2860" s="2"/>
      <c r="D2860" s="2"/>
      <c r="E2860" s="2"/>
      <c r="F2860" s="2"/>
      <c r="G2860" s="2"/>
      <c r="H2860" s="2"/>
      <c r="I2860" s="2"/>
      <c r="J2860" s="2"/>
      <c r="K2860" s="2"/>
      <c r="L2860" s="24"/>
      <c r="M2860" s="24"/>
      <c r="N2860" s="24"/>
      <c r="O2860" s="24"/>
      <c r="P2860" s="24"/>
      <c r="Q2860" s="2"/>
      <c r="R2860" s="2"/>
      <c r="S2860" s="2"/>
      <c r="T2860" s="2"/>
      <c r="U2860" s="24"/>
      <c r="V2860" s="2"/>
      <c r="W2860" s="2"/>
      <c r="X2860" s="2"/>
      <c r="Y2860" s="2"/>
      <c r="Z2860" s="2"/>
    </row>
    <row r="2861">
      <c r="A2861" s="23"/>
      <c r="B2861" s="2"/>
      <c r="C2861" s="2"/>
      <c r="D2861" s="2"/>
      <c r="E2861" s="2"/>
      <c r="F2861" s="2"/>
      <c r="G2861" s="2"/>
      <c r="H2861" s="2"/>
      <c r="I2861" s="2"/>
      <c r="J2861" s="2"/>
      <c r="K2861" s="2"/>
      <c r="L2861" s="24"/>
      <c r="M2861" s="24"/>
      <c r="N2861" s="24"/>
      <c r="O2861" s="24"/>
      <c r="P2861" s="24"/>
      <c r="Q2861" s="2"/>
      <c r="R2861" s="2"/>
      <c r="S2861" s="2"/>
      <c r="T2861" s="2"/>
      <c r="U2861" s="24"/>
      <c r="V2861" s="2"/>
      <c r="W2861" s="2"/>
      <c r="X2861" s="2"/>
      <c r="Y2861" s="2"/>
      <c r="Z2861" s="2"/>
    </row>
    <row r="2862">
      <c r="A2862" s="23"/>
      <c r="B2862" s="2"/>
      <c r="C2862" s="2"/>
      <c r="D2862" s="2"/>
      <c r="E2862" s="2"/>
      <c r="F2862" s="2"/>
      <c r="G2862" s="2"/>
      <c r="H2862" s="2"/>
      <c r="I2862" s="2"/>
      <c r="J2862" s="2"/>
      <c r="K2862" s="2"/>
      <c r="L2862" s="24"/>
      <c r="M2862" s="24"/>
      <c r="N2862" s="24"/>
      <c r="O2862" s="24"/>
      <c r="P2862" s="24"/>
      <c r="Q2862" s="2"/>
      <c r="R2862" s="2"/>
      <c r="S2862" s="2"/>
      <c r="T2862" s="2"/>
      <c r="U2862" s="24"/>
      <c r="V2862" s="2"/>
      <c r="W2862" s="2"/>
      <c r="X2862" s="2"/>
      <c r="Y2862" s="2"/>
      <c r="Z2862" s="2"/>
    </row>
    <row r="2863">
      <c r="A2863" s="23"/>
      <c r="B2863" s="2"/>
      <c r="C2863" s="2"/>
      <c r="D2863" s="2"/>
      <c r="E2863" s="2"/>
      <c r="F2863" s="2"/>
      <c r="G2863" s="2"/>
      <c r="H2863" s="2"/>
      <c r="I2863" s="2"/>
      <c r="J2863" s="2"/>
      <c r="K2863" s="2"/>
      <c r="L2863" s="24"/>
      <c r="M2863" s="24"/>
      <c r="N2863" s="24"/>
      <c r="O2863" s="24"/>
      <c r="P2863" s="24"/>
      <c r="Q2863" s="2"/>
      <c r="R2863" s="2"/>
      <c r="S2863" s="2"/>
      <c r="T2863" s="2"/>
      <c r="U2863" s="24"/>
      <c r="V2863" s="2"/>
      <c r="W2863" s="2"/>
      <c r="X2863" s="2"/>
      <c r="Y2863" s="2"/>
      <c r="Z2863" s="2"/>
    </row>
    <row r="2864">
      <c r="A2864" s="23"/>
      <c r="B2864" s="2"/>
      <c r="C2864" s="2"/>
      <c r="D2864" s="2"/>
      <c r="E2864" s="2"/>
      <c r="F2864" s="2"/>
      <c r="G2864" s="2"/>
      <c r="H2864" s="2"/>
      <c r="I2864" s="2"/>
      <c r="J2864" s="2"/>
      <c r="K2864" s="2"/>
      <c r="L2864" s="24"/>
      <c r="M2864" s="24"/>
      <c r="N2864" s="24"/>
      <c r="O2864" s="24"/>
      <c r="P2864" s="24"/>
      <c r="Q2864" s="2"/>
      <c r="R2864" s="2"/>
      <c r="S2864" s="2"/>
      <c r="T2864" s="2"/>
      <c r="U2864" s="24"/>
      <c r="V2864" s="2"/>
      <c r="W2864" s="2"/>
      <c r="X2864" s="2"/>
      <c r="Y2864" s="2"/>
      <c r="Z2864" s="2"/>
    </row>
    <row r="2865">
      <c r="A2865" s="23"/>
      <c r="B2865" s="2"/>
      <c r="C2865" s="2"/>
      <c r="D2865" s="2"/>
      <c r="E2865" s="2"/>
      <c r="F2865" s="2"/>
      <c r="G2865" s="2"/>
      <c r="H2865" s="2"/>
      <c r="I2865" s="2"/>
      <c r="J2865" s="2"/>
      <c r="K2865" s="2"/>
      <c r="L2865" s="24"/>
      <c r="M2865" s="24"/>
      <c r="N2865" s="24"/>
      <c r="O2865" s="24"/>
      <c r="P2865" s="24"/>
      <c r="Q2865" s="2"/>
      <c r="R2865" s="2"/>
      <c r="S2865" s="2"/>
      <c r="T2865" s="2"/>
      <c r="U2865" s="24"/>
      <c r="V2865" s="2"/>
      <c r="W2865" s="2"/>
      <c r="X2865" s="2"/>
      <c r="Y2865" s="2"/>
      <c r="Z2865" s="2"/>
    </row>
    <row r="2866">
      <c r="A2866" s="23"/>
      <c r="B2866" s="2"/>
      <c r="C2866" s="2"/>
      <c r="D2866" s="2"/>
      <c r="E2866" s="2"/>
      <c r="F2866" s="2"/>
      <c r="G2866" s="2"/>
      <c r="H2866" s="2"/>
      <c r="I2866" s="2"/>
      <c r="J2866" s="2"/>
      <c r="K2866" s="2"/>
      <c r="L2866" s="24"/>
      <c r="M2866" s="24"/>
      <c r="N2866" s="24"/>
      <c r="O2866" s="24"/>
      <c r="P2866" s="24"/>
      <c r="Q2866" s="2"/>
      <c r="R2866" s="2"/>
      <c r="S2866" s="2"/>
      <c r="T2866" s="2"/>
      <c r="U2866" s="24"/>
      <c r="V2866" s="2"/>
      <c r="W2866" s="2"/>
      <c r="X2866" s="2"/>
      <c r="Y2866" s="2"/>
      <c r="Z2866" s="2"/>
    </row>
    <row r="2867">
      <c r="A2867" s="23"/>
      <c r="B2867" s="2"/>
      <c r="C2867" s="2"/>
      <c r="D2867" s="2"/>
      <c r="E2867" s="2"/>
      <c r="F2867" s="2"/>
      <c r="G2867" s="2"/>
      <c r="H2867" s="2"/>
      <c r="I2867" s="2"/>
      <c r="J2867" s="2"/>
      <c r="K2867" s="2"/>
      <c r="L2867" s="24"/>
      <c r="M2867" s="24"/>
      <c r="N2867" s="24"/>
      <c r="O2867" s="24"/>
      <c r="P2867" s="24"/>
      <c r="Q2867" s="2"/>
      <c r="R2867" s="2"/>
      <c r="S2867" s="2"/>
      <c r="T2867" s="2"/>
      <c r="U2867" s="24"/>
      <c r="V2867" s="2"/>
      <c r="W2867" s="2"/>
      <c r="X2867" s="2"/>
      <c r="Y2867" s="2"/>
      <c r="Z2867" s="2"/>
    </row>
    <row r="2868">
      <c r="A2868" s="23"/>
      <c r="B2868" s="2"/>
      <c r="C2868" s="2"/>
      <c r="D2868" s="2"/>
      <c r="E2868" s="2"/>
      <c r="F2868" s="2"/>
      <c r="G2868" s="2"/>
      <c r="H2868" s="2"/>
      <c r="I2868" s="2"/>
      <c r="J2868" s="2"/>
      <c r="K2868" s="2"/>
      <c r="L2868" s="24"/>
      <c r="M2868" s="24"/>
      <c r="N2868" s="24"/>
      <c r="O2868" s="24"/>
      <c r="P2868" s="24"/>
      <c r="Q2868" s="2"/>
      <c r="R2868" s="2"/>
      <c r="S2868" s="2"/>
      <c r="T2868" s="2"/>
      <c r="U2868" s="24"/>
      <c r="V2868" s="2"/>
      <c r="W2868" s="2"/>
      <c r="X2868" s="2"/>
      <c r="Y2868" s="2"/>
      <c r="Z2868" s="2"/>
    </row>
    <row r="2869">
      <c r="A2869" s="23"/>
      <c r="B2869" s="2"/>
      <c r="C2869" s="2"/>
      <c r="D2869" s="2"/>
      <c r="E2869" s="2"/>
      <c r="F2869" s="2"/>
      <c r="G2869" s="2"/>
      <c r="H2869" s="2"/>
      <c r="I2869" s="2"/>
      <c r="J2869" s="2"/>
      <c r="K2869" s="2"/>
      <c r="L2869" s="24"/>
      <c r="M2869" s="24"/>
      <c r="N2869" s="24"/>
      <c r="O2869" s="24"/>
      <c r="P2869" s="24"/>
      <c r="Q2869" s="2"/>
      <c r="R2869" s="2"/>
      <c r="S2869" s="2"/>
      <c r="T2869" s="2"/>
      <c r="U2869" s="24"/>
      <c r="V2869" s="2"/>
      <c r="W2869" s="2"/>
      <c r="X2869" s="2"/>
      <c r="Y2869" s="2"/>
      <c r="Z2869" s="2"/>
    </row>
    <row r="2870">
      <c r="A2870" s="23"/>
      <c r="B2870" s="2"/>
      <c r="C2870" s="2"/>
      <c r="D2870" s="2"/>
      <c r="E2870" s="2"/>
      <c r="F2870" s="2"/>
      <c r="G2870" s="2"/>
      <c r="H2870" s="2"/>
      <c r="I2870" s="2"/>
      <c r="J2870" s="2"/>
      <c r="K2870" s="2"/>
      <c r="L2870" s="24"/>
      <c r="M2870" s="24"/>
      <c r="N2870" s="24"/>
      <c r="O2870" s="24"/>
      <c r="P2870" s="24"/>
      <c r="Q2870" s="2"/>
      <c r="R2870" s="2"/>
      <c r="S2870" s="2"/>
      <c r="T2870" s="2"/>
      <c r="U2870" s="24"/>
      <c r="V2870" s="2"/>
      <c r="W2870" s="2"/>
      <c r="X2870" s="2"/>
      <c r="Y2870" s="2"/>
      <c r="Z2870" s="2"/>
    </row>
    <row r="2871">
      <c r="A2871" s="23"/>
      <c r="B2871" s="2"/>
      <c r="C2871" s="2"/>
      <c r="D2871" s="2"/>
      <c r="E2871" s="2"/>
      <c r="F2871" s="2"/>
      <c r="G2871" s="2"/>
      <c r="H2871" s="2"/>
      <c r="I2871" s="2"/>
      <c r="J2871" s="2"/>
      <c r="K2871" s="2"/>
      <c r="L2871" s="24"/>
      <c r="M2871" s="24"/>
      <c r="N2871" s="24"/>
      <c r="O2871" s="24"/>
      <c r="P2871" s="24"/>
      <c r="Q2871" s="2"/>
      <c r="R2871" s="2"/>
      <c r="S2871" s="2"/>
      <c r="T2871" s="2"/>
      <c r="U2871" s="24"/>
      <c r="V2871" s="2"/>
      <c r="W2871" s="2"/>
      <c r="X2871" s="2"/>
      <c r="Y2871" s="2"/>
      <c r="Z2871" s="2"/>
    </row>
    <row r="2872">
      <c r="A2872" s="23"/>
      <c r="B2872" s="2"/>
      <c r="C2872" s="2"/>
      <c r="D2872" s="2"/>
      <c r="E2872" s="2"/>
      <c r="F2872" s="2"/>
      <c r="G2872" s="2"/>
      <c r="H2872" s="2"/>
      <c r="I2872" s="2"/>
      <c r="J2872" s="2"/>
      <c r="K2872" s="2"/>
      <c r="L2872" s="24"/>
      <c r="M2872" s="24"/>
      <c r="N2872" s="24"/>
      <c r="O2872" s="24"/>
      <c r="P2872" s="24"/>
      <c r="Q2872" s="2"/>
      <c r="R2872" s="2"/>
      <c r="S2872" s="2"/>
      <c r="T2872" s="2"/>
      <c r="U2872" s="24"/>
      <c r="V2872" s="2"/>
      <c r="W2872" s="2"/>
      <c r="X2872" s="2"/>
      <c r="Y2872" s="2"/>
      <c r="Z2872" s="2"/>
    </row>
    <row r="2873">
      <c r="A2873" s="23"/>
      <c r="B2873" s="2"/>
      <c r="C2873" s="2"/>
      <c r="D2873" s="2"/>
      <c r="E2873" s="2"/>
      <c r="F2873" s="2"/>
      <c r="G2873" s="2"/>
      <c r="H2873" s="2"/>
      <c r="I2873" s="2"/>
      <c r="J2873" s="2"/>
      <c r="K2873" s="2"/>
      <c r="L2873" s="24"/>
      <c r="M2873" s="24"/>
      <c r="N2873" s="24"/>
      <c r="O2873" s="24"/>
      <c r="P2873" s="24"/>
      <c r="Q2873" s="2"/>
      <c r="R2873" s="2"/>
      <c r="S2873" s="2"/>
      <c r="T2873" s="2"/>
      <c r="U2873" s="24"/>
      <c r="V2873" s="2"/>
      <c r="W2873" s="2"/>
      <c r="X2873" s="2"/>
      <c r="Y2873" s="2"/>
      <c r="Z2873" s="2"/>
    </row>
    <row r="2874">
      <c r="A2874" s="23"/>
      <c r="B2874" s="2"/>
      <c r="C2874" s="2"/>
      <c r="D2874" s="2"/>
      <c r="E2874" s="2"/>
      <c r="F2874" s="2"/>
      <c r="G2874" s="2"/>
      <c r="H2874" s="2"/>
      <c r="I2874" s="2"/>
      <c r="J2874" s="2"/>
      <c r="K2874" s="2"/>
      <c r="L2874" s="24"/>
      <c r="M2874" s="24"/>
      <c r="N2874" s="24"/>
      <c r="O2874" s="24"/>
      <c r="P2874" s="24"/>
      <c r="Q2874" s="2"/>
      <c r="R2874" s="2"/>
      <c r="S2874" s="2"/>
      <c r="T2874" s="2"/>
      <c r="U2874" s="24"/>
      <c r="V2874" s="2"/>
      <c r="W2874" s="2"/>
      <c r="X2874" s="2"/>
      <c r="Y2874" s="2"/>
      <c r="Z2874" s="2"/>
    </row>
    <row r="2875">
      <c r="A2875" s="23"/>
      <c r="B2875" s="2"/>
      <c r="C2875" s="2"/>
      <c r="D2875" s="2"/>
      <c r="E2875" s="2"/>
      <c r="F2875" s="2"/>
      <c r="G2875" s="2"/>
      <c r="H2875" s="2"/>
      <c r="I2875" s="2"/>
      <c r="J2875" s="2"/>
      <c r="K2875" s="2"/>
      <c r="L2875" s="24"/>
      <c r="M2875" s="24"/>
      <c r="N2875" s="24"/>
      <c r="O2875" s="24"/>
      <c r="P2875" s="24"/>
      <c r="Q2875" s="2"/>
      <c r="R2875" s="2"/>
      <c r="S2875" s="2"/>
      <c r="T2875" s="2"/>
      <c r="U2875" s="24"/>
      <c r="V2875" s="2"/>
      <c r="W2875" s="2"/>
      <c r="X2875" s="2"/>
      <c r="Y2875" s="2"/>
      <c r="Z2875" s="2"/>
    </row>
    <row r="2876">
      <c r="A2876" s="23"/>
      <c r="B2876" s="2"/>
      <c r="C2876" s="2"/>
      <c r="D2876" s="2"/>
      <c r="E2876" s="2"/>
      <c r="F2876" s="2"/>
      <c r="G2876" s="2"/>
      <c r="H2876" s="2"/>
      <c r="I2876" s="2"/>
      <c r="J2876" s="2"/>
      <c r="K2876" s="2"/>
      <c r="L2876" s="24"/>
      <c r="M2876" s="24"/>
      <c r="N2876" s="24"/>
      <c r="O2876" s="24"/>
      <c r="P2876" s="24"/>
      <c r="Q2876" s="2"/>
      <c r="R2876" s="2"/>
      <c r="S2876" s="2"/>
      <c r="T2876" s="2"/>
      <c r="U2876" s="24"/>
      <c r="V2876" s="2"/>
      <c r="W2876" s="2"/>
      <c r="X2876" s="2"/>
      <c r="Y2876" s="2"/>
      <c r="Z2876" s="2"/>
    </row>
    <row r="2877">
      <c r="A2877" s="23"/>
      <c r="B2877" s="2"/>
      <c r="C2877" s="2"/>
      <c r="D2877" s="2"/>
      <c r="E2877" s="2"/>
      <c r="F2877" s="2"/>
      <c r="G2877" s="2"/>
      <c r="H2877" s="2"/>
      <c r="I2877" s="2"/>
      <c r="J2877" s="2"/>
      <c r="K2877" s="2"/>
      <c r="L2877" s="24"/>
      <c r="M2877" s="24"/>
      <c r="N2877" s="24"/>
      <c r="O2877" s="24"/>
      <c r="P2877" s="24"/>
      <c r="Q2877" s="2"/>
      <c r="R2877" s="2"/>
      <c r="S2877" s="2"/>
      <c r="T2877" s="2"/>
      <c r="U2877" s="24"/>
      <c r="V2877" s="2"/>
      <c r="W2877" s="2"/>
      <c r="X2877" s="2"/>
      <c r="Y2877" s="2"/>
      <c r="Z2877" s="2"/>
    </row>
    <row r="2878">
      <c r="A2878" s="23"/>
      <c r="B2878" s="2"/>
      <c r="C2878" s="2"/>
      <c r="D2878" s="2"/>
      <c r="E2878" s="2"/>
      <c r="F2878" s="2"/>
      <c r="G2878" s="2"/>
      <c r="H2878" s="2"/>
      <c r="I2878" s="2"/>
      <c r="J2878" s="2"/>
      <c r="K2878" s="2"/>
      <c r="L2878" s="24"/>
      <c r="M2878" s="24"/>
      <c r="N2878" s="24"/>
      <c r="O2878" s="24"/>
      <c r="P2878" s="24"/>
      <c r="Q2878" s="2"/>
      <c r="R2878" s="2"/>
      <c r="S2878" s="2"/>
      <c r="T2878" s="2"/>
      <c r="U2878" s="24"/>
      <c r="V2878" s="2"/>
      <c r="W2878" s="2"/>
      <c r="X2878" s="2"/>
      <c r="Y2878" s="2"/>
      <c r="Z2878" s="2"/>
    </row>
    <row r="2879">
      <c r="A2879" s="23"/>
      <c r="B2879" s="2"/>
      <c r="C2879" s="2"/>
      <c r="D2879" s="2"/>
      <c r="E2879" s="2"/>
      <c r="F2879" s="2"/>
      <c r="G2879" s="2"/>
      <c r="H2879" s="2"/>
      <c r="I2879" s="2"/>
      <c r="J2879" s="2"/>
      <c r="K2879" s="2"/>
      <c r="L2879" s="24"/>
      <c r="M2879" s="24"/>
      <c r="N2879" s="24"/>
      <c r="O2879" s="24"/>
      <c r="P2879" s="24"/>
      <c r="Q2879" s="2"/>
      <c r="R2879" s="2"/>
      <c r="S2879" s="2"/>
      <c r="T2879" s="2"/>
      <c r="U2879" s="24"/>
      <c r="V2879" s="2"/>
      <c r="W2879" s="2"/>
      <c r="X2879" s="2"/>
      <c r="Y2879" s="2"/>
      <c r="Z2879" s="2"/>
    </row>
    <row r="2880">
      <c r="A2880" s="23"/>
      <c r="B2880" s="2"/>
      <c r="C2880" s="2"/>
      <c r="D2880" s="2"/>
      <c r="E2880" s="2"/>
      <c r="F2880" s="2"/>
      <c r="G2880" s="2"/>
      <c r="H2880" s="2"/>
      <c r="I2880" s="2"/>
      <c r="J2880" s="2"/>
      <c r="K2880" s="2"/>
      <c r="L2880" s="24"/>
      <c r="M2880" s="24"/>
      <c r="N2880" s="24"/>
      <c r="O2880" s="24"/>
      <c r="P2880" s="24"/>
      <c r="Q2880" s="2"/>
      <c r="R2880" s="2"/>
      <c r="S2880" s="2"/>
      <c r="T2880" s="2"/>
      <c r="U2880" s="24"/>
      <c r="V2880" s="2"/>
      <c r="W2880" s="2"/>
      <c r="X2880" s="2"/>
      <c r="Y2880" s="2"/>
      <c r="Z2880" s="2"/>
    </row>
    <row r="2881">
      <c r="A2881" s="23"/>
      <c r="B2881" s="2"/>
      <c r="C2881" s="2"/>
      <c r="D2881" s="2"/>
      <c r="E2881" s="2"/>
      <c r="F2881" s="2"/>
      <c r="G2881" s="2"/>
      <c r="H2881" s="2"/>
      <c r="I2881" s="2"/>
      <c r="J2881" s="2"/>
      <c r="K2881" s="2"/>
      <c r="L2881" s="24"/>
      <c r="M2881" s="24"/>
      <c r="N2881" s="24"/>
      <c r="O2881" s="24"/>
      <c r="P2881" s="24"/>
      <c r="Q2881" s="2"/>
      <c r="R2881" s="2"/>
      <c r="S2881" s="2"/>
      <c r="T2881" s="2"/>
      <c r="U2881" s="24"/>
      <c r="V2881" s="2"/>
      <c r="W2881" s="2"/>
      <c r="X2881" s="2"/>
      <c r="Y2881" s="2"/>
      <c r="Z2881" s="2"/>
    </row>
    <row r="2882">
      <c r="A2882" s="23"/>
      <c r="B2882" s="2"/>
      <c r="C2882" s="2"/>
      <c r="D2882" s="2"/>
      <c r="E2882" s="2"/>
      <c r="F2882" s="2"/>
      <c r="G2882" s="2"/>
      <c r="H2882" s="2"/>
      <c r="I2882" s="2"/>
      <c r="J2882" s="2"/>
      <c r="K2882" s="2"/>
      <c r="L2882" s="24"/>
      <c r="M2882" s="24"/>
      <c r="N2882" s="24"/>
      <c r="O2882" s="24"/>
      <c r="P2882" s="24"/>
      <c r="Q2882" s="2"/>
      <c r="R2882" s="2"/>
      <c r="S2882" s="2"/>
      <c r="T2882" s="2"/>
      <c r="U2882" s="24"/>
      <c r="V2882" s="2"/>
      <c r="W2882" s="2"/>
      <c r="X2882" s="2"/>
      <c r="Y2882" s="2"/>
      <c r="Z2882" s="2"/>
    </row>
    <row r="2883">
      <c r="A2883" s="23"/>
      <c r="B2883" s="2"/>
      <c r="C2883" s="2"/>
      <c r="D2883" s="2"/>
      <c r="E2883" s="2"/>
      <c r="F2883" s="2"/>
      <c r="G2883" s="2"/>
      <c r="H2883" s="2"/>
      <c r="I2883" s="2"/>
      <c r="J2883" s="2"/>
      <c r="K2883" s="2"/>
      <c r="L2883" s="24"/>
      <c r="M2883" s="24"/>
      <c r="N2883" s="24"/>
      <c r="O2883" s="24"/>
      <c r="P2883" s="24"/>
      <c r="Q2883" s="2"/>
      <c r="R2883" s="2"/>
      <c r="S2883" s="2"/>
      <c r="T2883" s="2"/>
      <c r="U2883" s="24"/>
      <c r="V2883" s="2"/>
      <c r="W2883" s="2"/>
      <c r="X2883" s="2"/>
      <c r="Y2883" s="2"/>
      <c r="Z2883" s="2"/>
    </row>
    <row r="2884">
      <c r="A2884" s="23"/>
      <c r="B2884" s="2"/>
      <c r="C2884" s="2"/>
      <c r="D2884" s="2"/>
      <c r="E2884" s="2"/>
      <c r="F2884" s="2"/>
      <c r="G2884" s="2"/>
      <c r="H2884" s="2"/>
      <c r="I2884" s="2"/>
      <c r="J2884" s="2"/>
      <c r="K2884" s="2"/>
      <c r="L2884" s="24"/>
      <c r="M2884" s="24"/>
      <c r="N2884" s="24"/>
      <c r="O2884" s="24"/>
      <c r="P2884" s="24"/>
      <c r="Q2884" s="2"/>
      <c r="R2884" s="2"/>
      <c r="S2884" s="2"/>
      <c r="T2884" s="2"/>
      <c r="U2884" s="24"/>
      <c r="V2884" s="2"/>
      <c r="W2884" s="2"/>
      <c r="X2884" s="2"/>
      <c r="Y2884" s="2"/>
      <c r="Z2884" s="2"/>
    </row>
    <row r="2885">
      <c r="A2885" s="23"/>
      <c r="B2885" s="2"/>
      <c r="C2885" s="2"/>
      <c r="D2885" s="2"/>
      <c r="E2885" s="2"/>
      <c r="F2885" s="2"/>
      <c r="G2885" s="2"/>
      <c r="H2885" s="2"/>
      <c r="I2885" s="2"/>
      <c r="J2885" s="2"/>
      <c r="K2885" s="2"/>
      <c r="L2885" s="24"/>
      <c r="M2885" s="24"/>
      <c r="N2885" s="24"/>
      <c r="O2885" s="24"/>
      <c r="P2885" s="24"/>
      <c r="Q2885" s="2"/>
      <c r="R2885" s="2"/>
      <c r="S2885" s="2"/>
      <c r="T2885" s="2"/>
      <c r="U2885" s="24"/>
      <c r="V2885" s="2"/>
      <c r="W2885" s="2"/>
      <c r="X2885" s="2"/>
      <c r="Y2885" s="2"/>
      <c r="Z2885" s="2"/>
    </row>
    <row r="2886">
      <c r="A2886" s="23"/>
      <c r="B2886" s="2"/>
      <c r="C2886" s="2"/>
      <c r="D2886" s="2"/>
      <c r="E2886" s="2"/>
      <c r="F2886" s="2"/>
      <c r="G2886" s="2"/>
      <c r="H2886" s="2"/>
      <c r="I2886" s="2"/>
      <c r="J2886" s="2"/>
      <c r="K2886" s="2"/>
      <c r="L2886" s="24"/>
      <c r="M2886" s="24"/>
      <c r="N2886" s="24"/>
      <c r="O2886" s="24"/>
      <c r="P2886" s="24"/>
      <c r="Q2886" s="2"/>
      <c r="R2886" s="2"/>
      <c r="S2886" s="2"/>
      <c r="T2886" s="2"/>
      <c r="U2886" s="24"/>
      <c r="V2886" s="2"/>
      <c r="W2886" s="2"/>
      <c r="X2886" s="2"/>
      <c r="Y2886" s="2"/>
      <c r="Z2886" s="2"/>
    </row>
    <row r="2887">
      <c r="A2887" s="23"/>
      <c r="B2887" s="2"/>
      <c r="C2887" s="2"/>
      <c r="D2887" s="2"/>
      <c r="E2887" s="2"/>
      <c r="F2887" s="2"/>
      <c r="G2887" s="2"/>
      <c r="H2887" s="2"/>
      <c r="I2887" s="2"/>
      <c r="J2887" s="2"/>
      <c r="K2887" s="2"/>
      <c r="L2887" s="24"/>
      <c r="M2887" s="24"/>
      <c r="N2887" s="24"/>
      <c r="O2887" s="24"/>
      <c r="P2887" s="24"/>
      <c r="Q2887" s="2"/>
      <c r="R2887" s="2"/>
      <c r="S2887" s="2"/>
      <c r="T2887" s="2"/>
      <c r="U2887" s="24"/>
      <c r="V2887" s="2"/>
      <c r="W2887" s="2"/>
      <c r="X2887" s="2"/>
      <c r="Y2887" s="2"/>
      <c r="Z2887" s="2"/>
    </row>
    <row r="2888">
      <c r="A2888" s="23"/>
      <c r="B2888" s="2"/>
      <c r="C2888" s="2"/>
      <c r="D2888" s="2"/>
      <c r="E2888" s="2"/>
      <c r="F2888" s="2"/>
      <c r="G2888" s="2"/>
      <c r="H2888" s="2"/>
      <c r="I2888" s="2"/>
      <c r="J2888" s="2"/>
      <c r="K2888" s="2"/>
      <c r="L2888" s="24"/>
      <c r="M2888" s="24"/>
      <c r="N2888" s="24"/>
      <c r="O2888" s="24"/>
      <c r="P2888" s="24"/>
      <c r="Q2888" s="2"/>
      <c r="R2888" s="2"/>
      <c r="S2888" s="2"/>
      <c r="T2888" s="2"/>
      <c r="U2888" s="24"/>
      <c r="V2888" s="2"/>
      <c r="W2888" s="2"/>
      <c r="X2888" s="2"/>
      <c r="Y2888" s="2"/>
      <c r="Z2888" s="2"/>
    </row>
    <row r="2889">
      <c r="A2889" s="23"/>
      <c r="B2889" s="2"/>
      <c r="C2889" s="2"/>
      <c r="D2889" s="2"/>
      <c r="E2889" s="2"/>
      <c r="F2889" s="2"/>
      <c r="G2889" s="2"/>
      <c r="H2889" s="2"/>
      <c r="I2889" s="2"/>
      <c r="J2889" s="2"/>
      <c r="K2889" s="2"/>
      <c r="L2889" s="24"/>
      <c r="M2889" s="24"/>
      <c r="N2889" s="24"/>
      <c r="O2889" s="24"/>
      <c r="P2889" s="24"/>
      <c r="Q2889" s="2"/>
      <c r="R2889" s="2"/>
      <c r="S2889" s="2"/>
      <c r="T2889" s="2"/>
      <c r="U2889" s="24"/>
      <c r="V2889" s="2"/>
      <c r="W2889" s="2"/>
      <c r="X2889" s="2"/>
      <c r="Y2889" s="2"/>
      <c r="Z2889" s="2"/>
    </row>
    <row r="2890">
      <c r="A2890" s="23"/>
      <c r="B2890" s="2"/>
      <c r="C2890" s="2"/>
      <c r="D2890" s="2"/>
      <c r="E2890" s="2"/>
      <c r="F2890" s="2"/>
      <c r="G2890" s="2"/>
      <c r="H2890" s="2"/>
      <c r="I2890" s="2"/>
      <c r="J2890" s="2"/>
      <c r="K2890" s="2"/>
      <c r="L2890" s="24"/>
      <c r="M2890" s="24"/>
      <c r="N2890" s="24"/>
      <c r="O2890" s="24"/>
      <c r="P2890" s="24"/>
      <c r="Q2890" s="2"/>
      <c r="R2890" s="2"/>
      <c r="S2890" s="2"/>
      <c r="T2890" s="2"/>
      <c r="U2890" s="24"/>
      <c r="V2890" s="2"/>
      <c r="W2890" s="2"/>
      <c r="X2890" s="2"/>
      <c r="Y2890" s="2"/>
      <c r="Z2890" s="2"/>
    </row>
    <row r="2891">
      <c r="A2891" s="23"/>
      <c r="B2891" s="2"/>
      <c r="C2891" s="2"/>
      <c r="D2891" s="2"/>
      <c r="E2891" s="2"/>
      <c r="F2891" s="2"/>
      <c r="G2891" s="2"/>
      <c r="H2891" s="2"/>
      <c r="I2891" s="2"/>
      <c r="J2891" s="2"/>
      <c r="K2891" s="2"/>
      <c r="L2891" s="24"/>
      <c r="M2891" s="24"/>
      <c r="N2891" s="24"/>
      <c r="O2891" s="24"/>
      <c r="P2891" s="24"/>
      <c r="Q2891" s="2"/>
      <c r="R2891" s="2"/>
      <c r="S2891" s="2"/>
      <c r="T2891" s="2"/>
      <c r="U2891" s="24"/>
      <c r="V2891" s="2"/>
      <c r="W2891" s="2"/>
      <c r="X2891" s="2"/>
      <c r="Y2891" s="2"/>
      <c r="Z2891" s="2"/>
    </row>
    <row r="2892">
      <c r="A2892" s="23"/>
      <c r="B2892" s="2"/>
      <c r="C2892" s="2"/>
      <c r="D2892" s="2"/>
      <c r="E2892" s="2"/>
      <c r="F2892" s="2"/>
      <c r="G2892" s="2"/>
      <c r="H2892" s="2"/>
      <c r="I2892" s="2"/>
      <c r="J2892" s="2"/>
      <c r="K2892" s="2"/>
      <c r="L2892" s="24"/>
      <c r="M2892" s="24"/>
      <c r="N2892" s="24"/>
      <c r="O2892" s="24"/>
      <c r="P2892" s="24"/>
      <c r="Q2892" s="2"/>
      <c r="R2892" s="2"/>
      <c r="S2892" s="2"/>
      <c r="T2892" s="2"/>
      <c r="U2892" s="24"/>
      <c r="V2892" s="2"/>
      <c r="W2892" s="2"/>
      <c r="X2892" s="2"/>
      <c r="Y2892" s="2"/>
      <c r="Z2892" s="2"/>
    </row>
    <row r="2893">
      <c r="A2893" s="23"/>
      <c r="B2893" s="2"/>
      <c r="C2893" s="2"/>
      <c r="D2893" s="2"/>
      <c r="E2893" s="2"/>
      <c r="F2893" s="2"/>
      <c r="G2893" s="2"/>
      <c r="H2893" s="2"/>
      <c r="I2893" s="2"/>
      <c r="J2893" s="2"/>
      <c r="K2893" s="2"/>
      <c r="L2893" s="24"/>
      <c r="M2893" s="24"/>
      <c r="N2893" s="24"/>
      <c r="O2893" s="24"/>
      <c r="P2893" s="24"/>
      <c r="Q2893" s="2"/>
      <c r="R2893" s="2"/>
      <c r="S2893" s="2"/>
      <c r="T2893" s="2"/>
      <c r="U2893" s="24"/>
      <c r="V2893" s="2"/>
      <c r="W2893" s="2"/>
      <c r="X2893" s="2"/>
      <c r="Y2893" s="2"/>
      <c r="Z2893" s="2"/>
    </row>
    <row r="2894">
      <c r="A2894" s="23"/>
      <c r="B2894" s="2"/>
      <c r="C2894" s="2"/>
      <c r="D2894" s="2"/>
      <c r="E2894" s="2"/>
      <c r="F2894" s="2"/>
      <c r="G2894" s="2"/>
      <c r="H2894" s="2"/>
      <c r="I2894" s="2"/>
      <c r="J2894" s="2"/>
      <c r="K2894" s="2"/>
      <c r="L2894" s="24"/>
      <c r="M2894" s="24"/>
      <c r="N2894" s="24"/>
      <c r="O2894" s="24"/>
      <c r="P2894" s="24"/>
      <c r="Q2894" s="2"/>
      <c r="R2894" s="2"/>
      <c r="S2894" s="2"/>
      <c r="T2894" s="2"/>
      <c r="U2894" s="24"/>
      <c r="V2894" s="2"/>
      <c r="W2894" s="2"/>
      <c r="X2894" s="2"/>
      <c r="Y2894" s="2"/>
      <c r="Z2894" s="2"/>
    </row>
    <row r="2895">
      <c r="A2895" s="23"/>
      <c r="B2895" s="2"/>
      <c r="C2895" s="2"/>
      <c r="D2895" s="2"/>
      <c r="E2895" s="2"/>
      <c r="F2895" s="2"/>
      <c r="G2895" s="2"/>
      <c r="H2895" s="2"/>
      <c r="I2895" s="2"/>
      <c r="J2895" s="2"/>
      <c r="K2895" s="2"/>
      <c r="L2895" s="24"/>
      <c r="M2895" s="24"/>
      <c r="N2895" s="24"/>
      <c r="O2895" s="24"/>
      <c r="P2895" s="24"/>
      <c r="Q2895" s="2"/>
      <c r="R2895" s="2"/>
      <c r="S2895" s="2"/>
      <c r="T2895" s="2"/>
      <c r="U2895" s="24"/>
      <c r="V2895" s="2"/>
      <c r="W2895" s="2"/>
      <c r="X2895" s="2"/>
      <c r="Y2895" s="2"/>
      <c r="Z2895" s="2"/>
    </row>
    <row r="2896">
      <c r="A2896" s="23"/>
      <c r="B2896" s="2"/>
      <c r="C2896" s="2"/>
      <c r="D2896" s="2"/>
      <c r="E2896" s="2"/>
      <c r="F2896" s="2"/>
      <c r="G2896" s="2"/>
      <c r="H2896" s="2"/>
      <c r="I2896" s="2"/>
      <c r="J2896" s="2"/>
      <c r="K2896" s="2"/>
      <c r="L2896" s="24"/>
      <c r="M2896" s="24"/>
      <c r="N2896" s="24"/>
      <c r="O2896" s="24"/>
      <c r="P2896" s="24"/>
      <c r="Q2896" s="2"/>
      <c r="R2896" s="2"/>
      <c r="S2896" s="2"/>
      <c r="T2896" s="2"/>
      <c r="U2896" s="24"/>
      <c r="V2896" s="2"/>
      <c r="W2896" s="2"/>
      <c r="X2896" s="2"/>
      <c r="Y2896" s="2"/>
      <c r="Z2896" s="2"/>
    </row>
    <row r="2897">
      <c r="A2897" s="23"/>
      <c r="B2897" s="2"/>
      <c r="C2897" s="2"/>
      <c r="D2897" s="2"/>
      <c r="E2897" s="2"/>
      <c r="F2897" s="2"/>
      <c r="G2897" s="2"/>
      <c r="H2897" s="2"/>
      <c r="I2897" s="2"/>
      <c r="J2897" s="2"/>
      <c r="K2897" s="2"/>
      <c r="L2897" s="24"/>
      <c r="M2897" s="24"/>
      <c r="N2897" s="24"/>
      <c r="O2897" s="24"/>
      <c r="P2897" s="24"/>
      <c r="Q2897" s="2"/>
      <c r="R2897" s="2"/>
      <c r="S2897" s="2"/>
      <c r="T2897" s="2"/>
      <c r="U2897" s="24"/>
      <c r="V2897" s="2"/>
      <c r="W2897" s="2"/>
      <c r="X2897" s="2"/>
      <c r="Y2897" s="2"/>
      <c r="Z2897" s="2"/>
    </row>
    <row r="2898">
      <c r="A2898" s="23"/>
      <c r="B2898" s="2"/>
      <c r="C2898" s="2"/>
      <c r="D2898" s="2"/>
      <c r="E2898" s="2"/>
      <c r="F2898" s="2"/>
      <c r="G2898" s="2"/>
      <c r="H2898" s="2"/>
      <c r="I2898" s="2"/>
      <c r="J2898" s="2"/>
      <c r="K2898" s="2"/>
      <c r="L2898" s="24"/>
      <c r="M2898" s="24"/>
      <c r="N2898" s="24"/>
      <c r="O2898" s="24"/>
      <c r="P2898" s="24"/>
      <c r="Q2898" s="2"/>
      <c r="R2898" s="2"/>
      <c r="S2898" s="2"/>
      <c r="T2898" s="2"/>
      <c r="U2898" s="24"/>
      <c r="V2898" s="2"/>
      <c r="W2898" s="2"/>
      <c r="X2898" s="2"/>
      <c r="Y2898" s="2"/>
      <c r="Z2898" s="2"/>
    </row>
    <row r="2899">
      <c r="A2899" s="23"/>
      <c r="B2899" s="2"/>
      <c r="C2899" s="2"/>
      <c r="D2899" s="2"/>
      <c r="E2899" s="2"/>
      <c r="F2899" s="2"/>
      <c r="G2899" s="2"/>
      <c r="H2899" s="2"/>
      <c r="I2899" s="2"/>
      <c r="J2899" s="2"/>
      <c r="K2899" s="2"/>
      <c r="L2899" s="24"/>
      <c r="M2899" s="24"/>
      <c r="N2899" s="24"/>
      <c r="O2899" s="24"/>
      <c r="P2899" s="24"/>
      <c r="Q2899" s="2"/>
      <c r="R2899" s="2"/>
      <c r="S2899" s="2"/>
      <c r="T2899" s="2"/>
      <c r="U2899" s="24"/>
      <c r="V2899" s="2"/>
      <c r="W2899" s="2"/>
      <c r="X2899" s="2"/>
      <c r="Y2899" s="2"/>
      <c r="Z2899" s="2"/>
    </row>
    <row r="2900">
      <c r="A2900" s="23"/>
      <c r="B2900" s="2"/>
      <c r="C2900" s="2"/>
      <c r="D2900" s="2"/>
      <c r="E2900" s="2"/>
      <c r="F2900" s="2"/>
      <c r="G2900" s="2"/>
      <c r="H2900" s="2"/>
      <c r="I2900" s="2"/>
      <c r="J2900" s="2"/>
      <c r="K2900" s="2"/>
      <c r="L2900" s="24"/>
      <c r="M2900" s="24"/>
      <c r="N2900" s="24"/>
      <c r="O2900" s="24"/>
      <c r="P2900" s="24"/>
      <c r="Q2900" s="2"/>
      <c r="R2900" s="2"/>
      <c r="S2900" s="2"/>
      <c r="T2900" s="2"/>
      <c r="U2900" s="24"/>
      <c r="V2900" s="2"/>
      <c r="W2900" s="2"/>
      <c r="X2900" s="2"/>
      <c r="Y2900" s="2"/>
      <c r="Z2900" s="2"/>
    </row>
    <row r="2901">
      <c r="A2901" s="23"/>
      <c r="B2901" s="2"/>
      <c r="C2901" s="2"/>
      <c r="D2901" s="2"/>
      <c r="E2901" s="2"/>
      <c r="F2901" s="2"/>
      <c r="G2901" s="2"/>
      <c r="H2901" s="2"/>
      <c r="I2901" s="2"/>
      <c r="J2901" s="2"/>
      <c r="K2901" s="2"/>
      <c r="L2901" s="24"/>
      <c r="M2901" s="24"/>
      <c r="N2901" s="24"/>
      <c r="O2901" s="24"/>
      <c r="P2901" s="24"/>
      <c r="Q2901" s="2"/>
      <c r="R2901" s="2"/>
      <c r="S2901" s="2"/>
      <c r="T2901" s="2"/>
      <c r="U2901" s="24"/>
      <c r="V2901" s="2"/>
      <c r="W2901" s="2"/>
      <c r="X2901" s="2"/>
      <c r="Y2901" s="2"/>
      <c r="Z2901" s="2"/>
    </row>
    <row r="2902">
      <c r="A2902" s="23"/>
      <c r="B2902" s="2"/>
      <c r="C2902" s="2"/>
      <c r="D2902" s="2"/>
      <c r="E2902" s="2"/>
      <c r="F2902" s="2"/>
      <c r="G2902" s="2"/>
      <c r="H2902" s="2"/>
      <c r="I2902" s="2"/>
      <c r="J2902" s="2"/>
      <c r="K2902" s="2"/>
      <c r="L2902" s="24"/>
      <c r="M2902" s="24"/>
      <c r="N2902" s="24"/>
      <c r="O2902" s="24"/>
      <c r="P2902" s="24"/>
      <c r="Q2902" s="2"/>
      <c r="R2902" s="2"/>
      <c r="S2902" s="2"/>
      <c r="T2902" s="2"/>
      <c r="U2902" s="24"/>
      <c r="V2902" s="2"/>
      <c r="W2902" s="2"/>
      <c r="X2902" s="2"/>
      <c r="Y2902" s="2"/>
      <c r="Z2902" s="2"/>
    </row>
    <row r="2903">
      <c r="A2903" s="23"/>
      <c r="B2903" s="2"/>
      <c r="C2903" s="2"/>
      <c r="D2903" s="2"/>
      <c r="E2903" s="2"/>
      <c r="F2903" s="2"/>
      <c r="G2903" s="2"/>
      <c r="H2903" s="2"/>
      <c r="I2903" s="2"/>
      <c r="J2903" s="2"/>
      <c r="K2903" s="2"/>
      <c r="L2903" s="24"/>
      <c r="M2903" s="24"/>
      <c r="N2903" s="24"/>
      <c r="O2903" s="24"/>
      <c r="P2903" s="24"/>
      <c r="Q2903" s="2"/>
      <c r="R2903" s="2"/>
      <c r="S2903" s="2"/>
      <c r="T2903" s="2"/>
      <c r="U2903" s="24"/>
      <c r="V2903" s="2"/>
      <c r="W2903" s="2"/>
      <c r="X2903" s="2"/>
      <c r="Y2903" s="2"/>
      <c r="Z2903" s="2"/>
    </row>
    <row r="2904">
      <c r="A2904" s="23"/>
      <c r="B2904" s="2"/>
      <c r="C2904" s="2"/>
      <c r="D2904" s="2"/>
      <c r="E2904" s="2"/>
      <c r="F2904" s="2"/>
      <c r="G2904" s="2"/>
      <c r="H2904" s="2"/>
      <c r="I2904" s="2"/>
      <c r="J2904" s="2"/>
      <c r="K2904" s="2"/>
      <c r="L2904" s="24"/>
      <c r="M2904" s="24"/>
      <c r="N2904" s="24"/>
      <c r="O2904" s="24"/>
      <c r="P2904" s="24"/>
      <c r="Q2904" s="2"/>
      <c r="R2904" s="2"/>
      <c r="S2904" s="2"/>
      <c r="T2904" s="2"/>
      <c r="U2904" s="24"/>
      <c r="V2904" s="2"/>
      <c r="W2904" s="2"/>
      <c r="X2904" s="2"/>
      <c r="Y2904" s="2"/>
      <c r="Z2904" s="2"/>
    </row>
    <row r="2905">
      <c r="A2905" s="23"/>
      <c r="B2905" s="2"/>
      <c r="C2905" s="2"/>
      <c r="D2905" s="2"/>
      <c r="E2905" s="2"/>
      <c r="F2905" s="2"/>
      <c r="G2905" s="2"/>
      <c r="H2905" s="2"/>
      <c r="I2905" s="2"/>
      <c r="J2905" s="2"/>
      <c r="K2905" s="2"/>
      <c r="L2905" s="24"/>
      <c r="M2905" s="24"/>
      <c r="N2905" s="24"/>
      <c r="O2905" s="24"/>
      <c r="P2905" s="24"/>
      <c r="Q2905" s="2"/>
      <c r="R2905" s="2"/>
      <c r="S2905" s="2"/>
      <c r="T2905" s="2"/>
      <c r="U2905" s="24"/>
      <c r="V2905" s="2"/>
      <c r="W2905" s="2"/>
      <c r="X2905" s="2"/>
      <c r="Y2905" s="2"/>
      <c r="Z2905" s="2"/>
    </row>
    <row r="2906">
      <c r="A2906" s="23"/>
      <c r="B2906" s="2"/>
      <c r="C2906" s="2"/>
      <c r="D2906" s="2"/>
      <c r="E2906" s="2"/>
      <c r="F2906" s="2"/>
      <c r="G2906" s="2"/>
      <c r="H2906" s="2"/>
      <c r="I2906" s="2"/>
      <c r="J2906" s="2"/>
      <c r="K2906" s="2"/>
      <c r="L2906" s="24"/>
      <c r="M2906" s="24"/>
      <c r="N2906" s="24"/>
      <c r="O2906" s="24"/>
      <c r="P2906" s="24"/>
      <c r="Q2906" s="2"/>
      <c r="R2906" s="2"/>
      <c r="S2906" s="2"/>
      <c r="T2906" s="2"/>
      <c r="U2906" s="24"/>
      <c r="V2906" s="2"/>
      <c r="W2906" s="2"/>
      <c r="X2906" s="2"/>
      <c r="Y2906" s="2"/>
      <c r="Z2906" s="2"/>
    </row>
    <row r="2907">
      <c r="A2907" s="23"/>
      <c r="B2907" s="2"/>
      <c r="C2907" s="2"/>
      <c r="D2907" s="2"/>
      <c r="E2907" s="2"/>
      <c r="F2907" s="2"/>
      <c r="G2907" s="2"/>
      <c r="H2907" s="2"/>
      <c r="I2907" s="2"/>
      <c r="J2907" s="2"/>
      <c r="K2907" s="2"/>
      <c r="L2907" s="24"/>
      <c r="M2907" s="24"/>
      <c r="N2907" s="24"/>
      <c r="O2907" s="24"/>
      <c r="P2907" s="24"/>
      <c r="Q2907" s="2"/>
      <c r="R2907" s="2"/>
      <c r="S2907" s="2"/>
      <c r="T2907" s="2"/>
      <c r="U2907" s="24"/>
      <c r="V2907" s="2"/>
      <c r="W2907" s="2"/>
      <c r="X2907" s="2"/>
      <c r="Y2907" s="2"/>
      <c r="Z2907" s="2"/>
    </row>
    <row r="2908">
      <c r="A2908" s="23"/>
      <c r="B2908" s="2"/>
      <c r="C2908" s="2"/>
      <c r="D2908" s="2"/>
      <c r="E2908" s="2"/>
      <c r="F2908" s="2"/>
      <c r="G2908" s="2"/>
      <c r="H2908" s="2"/>
      <c r="I2908" s="2"/>
      <c r="J2908" s="2"/>
      <c r="K2908" s="2"/>
      <c r="L2908" s="24"/>
      <c r="M2908" s="24"/>
      <c r="N2908" s="24"/>
      <c r="O2908" s="24"/>
      <c r="P2908" s="24"/>
      <c r="Q2908" s="2"/>
      <c r="R2908" s="2"/>
      <c r="S2908" s="2"/>
      <c r="T2908" s="2"/>
      <c r="U2908" s="24"/>
      <c r="V2908" s="2"/>
      <c r="W2908" s="2"/>
      <c r="X2908" s="2"/>
      <c r="Y2908" s="2"/>
      <c r="Z2908" s="2"/>
    </row>
    <row r="2909">
      <c r="A2909" s="23"/>
      <c r="B2909" s="2"/>
      <c r="C2909" s="2"/>
      <c r="D2909" s="2"/>
      <c r="E2909" s="2"/>
      <c r="F2909" s="2"/>
      <c r="G2909" s="2"/>
      <c r="H2909" s="2"/>
      <c r="I2909" s="2"/>
      <c r="J2909" s="2"/>
      <c r="K2909" s="2"/>
      <c r="L2909" s="24"/>
      <c r="M2909" s="24"/>
      <c r="N2909" s="24"/>
      <c r="O2909" s="24"/>
      <c r="P2909" s="24"/>
      <c r="Q2909" s="2"/>
      <c r="R2909" s="2"/>
      <c r="S2909" s="2"/>
      <c r="T2909" s="2"/>
      <c r="U2909" s="24"/>
      <c r="V2909" s="2"/>
      <c r="W2909" s="2"/>
      <c r="X2909" s="2"/>
      <c r="Y2909" s="2"/>
      <c r="Z2909" s="2"/>
    </row>
    <row r="2910">
      <c r="A2910" s="23"/>
      <c r="B2910" s="2"/>
      <c r="C2910" s="2"/>
      <c r="D2910" s="2"/>
      <c r="E2910" s="2"/>
      <c r="F2910" s="2"/>
      <c r="G2910" s="2"/>
      <c r="H2910" s="2"/>
      <c r="I2910" s="2"/>
      <c r="J2910" s="2"/>
      <c r="K2910" s="2"/>
      <c r="L2910" s="24"/>
      <c r="M2910" s="24"/>
      <c r="N2910" s="24"/>
      <c r="O2910" s="24"/>
      <c r="P2910" s="24"/>
      <c r="Q2910" s="2"/>
      <c r="R2910" s="2"/>
      <c r="S2910" s="2"/>
      <c r="T2910" s="2"/>
      <c r="U2910" s="24"/>
      <c r="V2910" s="2"/>
      <c r="W2910" s="2"/>
      <c r="X2910" s="2"/>
      <c r="Y2910" s="2"/>
      <c r="Z2910" s="2"/>
    </row>
    <row r="2911">
      <c r="A2911" s="23"/>
      <c r="B2911" s="2"/>
      <c r="C2911" s="2"/>
      <c r="D2911" s="2"/>
      <c r="E2911" s="2"/>
      <c r="F2911" s="2"/>
      <c r="G2911" s="2"/>
      <c r="H2911" s="2"/>
      <c r="I2911" s="2"/>
      <c r="J2911" s="2"/>
      <c r="K2911" s="2"/>
      <c r="L2911" s="24"/>
      <c r="M2911" s="24"/>
      <c r="N2911" s="24"/>
      <c r="O2911" s="24"/>
      <c r="P2911" s="24"/>
      <c r="Q2911" s="2"/>
      <c r="R2911" s="2"/>
      <c r="S2911" s="2"/>
      <c r="T2911" s="2"/>
      <c r="U2911" s="24"/>
      <c r="V2911" s="2"/>
      <c r="W2911" s="2"/>
      <c r="X2911" s="2"/>
      <c r="Y2911" s="2"/>
      <c r="Z2911" s="2"/>
    </row>
    <row r="2912">
      <c r="A2912" s="23"/>
      <c r="B2912" s="2"/>
      <c r="C2912" s="2"/>
      <c r="D2912" s="2"/>
      <c r="E2912" s="2"/>
      <c r="F2912" s="2"/>
      <c r="G2912" s="2"/>
      <c r="H2912" s="2"/>
      <c r="I2912" s="2"/>
      <c r="J2912" s="2"/>
      <c r="K2912" s="2"/>
      <c r="L2912" s="24"/>
      <c r="M2912" s="24"/>
      <c r="N2912" s="24"/>
      <c r="O2912" s="24"/>
      <c r="P2912" s="24"/>
      <c r="Q2912" s="2"/>
      <c r="R2912" s="2"/>
      <c r="S2912" s="2"/>
      <c r="T2912" s="2"/>
      <c r="U2912" s="24"/>
      <c r="V2912" s="2"/>
      <c r="W2912" s="2"/>
      <c r="X2912" s="2"/>
      <c r="Y2912" s="2"/>
      <c r="Z2912" s="2"/>
    </row>
    <row r="2913">
      <c r="A2913" s="23"/>
      <c r="B2913" s="2"/>
      <c r="C2913" s="2"/>
      <c r="D2913" s="2"/>
      <c r="E2913" s="2"/>
      <c r="F2913" s="2"/>
      <c r="G2913" s="2"/>
      <c r="H2913" s="2"/>
      <c r="I2913" s="2"/>
      <c r="J2913" s="2"/>
      <c r="K2913" s="2"/>
      <c r="L2913" s="24"/>
      <c r="M2913" s="24"/>
      <c r="N2913" s="24"/>
      <c r="O2913" s="24"/>
      <c r="P2913" s="24"/>
      <c r="Q2913" s="2"/>
      <c r="R2913" s="2"/>
      <c r="S2913" s="2"/>
      <c r="T2913" s="2"/>
      <c r="U2913" s="24"/>
      <c r="V2913" s="2"/>
      <c r="W2913" s="2"/>
      <c r="X2913" s="2"/>
      <c r="Y2913" s="2"/>
      <c r="Z2913" s="2"/>
    </row>
    <row r="2914">
      <c r="A2914" s="23"/>
      <c r="B2914" s="2"/>
      <c r="C2914" s="2"/>
      <c r="D2914" s="2"/>
      <c r="E2914" s="2"/>
      <c r="F2914" s="2"/>
      <c r="G2914" s="2"/>
      <c r="H2914" s="2"/>
      <c r="I2914" s="2"/>
      <c r="J2914" s="2"/>
      <c r="K2914" s="2"/>
      <c r="L2914" s="24"/>
      <c r="M2914" s="24"/>
      <c r="N2914" s="24"/>
      <c r="O2914" s="24"/>
      <c r="P2914" s="24"/>
      <c r="Q2914" s="2"/>
      <c r="R2914" s="2"/>
      <c r="S2914" s="2"/>
      <c r="T2914" s="2"/>
      <c r="U2914" s="24"/>
      <c r="V2914" s="2"/>
      <c r="W2914" s="2"/>
      <c r="X2914" s="2"/>
      <c r="Y2914" s="2"/>
      <c r="Z2914" s="2"/>
    </row>
    <row r="2915">
      <c r="A2915" s="23"/>
      <c r="B2915" s="2"/>
      <c r="C2915" s="2"/>
      <c r="D2915" s="2"/>
      <c r="E2915" s="2"/>
      <c r="F2915" s="2"/>
      <c r="G2915" s="2"/>
      <c r="H2915" s="2"/>
      <c r="I2915" s="2"/>
      <c r="J2915" s="2"/>
      <c r="K2915" s="2"/>
      <c r="L2915" s="24"/>
      <c r="M2915" s="24"/>
      <c r="N2915" s="24"/>
      <c r="O2915" s="24"/>
      <c r="P2915" s="24"/>
      <c r="Q2915" s="2"/>
      <c r="R2915" s="2"/>
      <c r="S2915" s="2"/>
      <c r="T2915" s="2"/>
      <c r="U2915" s="24"/>
      <c r="V2915" s="2"/>
      <c r="W2915" s="2"/>
      <c r="X2915" s="2"/>
      <c r="Y2915" s="2"/>
      <c r="Z2915" s="2"/>
    </row>
    <row r="2916">
      <c r="A2916" s="23"/>
      <c r="B2916" s="2"/>
      <c r="C2916" s="2"/>
      <c r="D2916" s="2"/>
      <c r="E2916" s="2"/>
      <c r="F2916" s="2"/>
      <c r="G2916" s="2"/>
      <c r="H2916" s="2"/>
      <c r="I2916" s="2"/>
      <c r="J2916" s="2"/>
      <c r="K2916" s="2"/>
      <c r="L2916" s="24"/>
      <c r="M2916" s="24"/>
      <c r="N2916" s="24"/>
      <c r="O2916" s="24"/>
      <c r="P2916" s="24"/>
      <c r="Q2916" s="2"/>
      <c r="R2916" s="2"/>
      <c r="S2916" s="2"/>
      <c r="T2916" s="2"/>
      <c r="U2916" s="24"/>
      <c r="V2916" s="2"/>
      <c r="W2916" s="2"/>
      <c r="X2916" s="2"/>
      <c r="Y2916" s="2"/>
      <c r="Z2916" s="2"/>
    </row>
    <row r="2917">
      <c r="A2917" s="23"/>
      <c r="B2917" s="2"/>
      <c r="C2917" s="2"/>
      <c r="D2917" s="2"/>
      <c r="E2917" s="2"/>
      <c r="F2917" s="2"/>
      <c r="G2917" s="2"/>
      <c r="H2917" s="2"/>
      <c r="I2917" s="2"/>
      <c r="J2917" s="2"/>
      <c r="K2917" s="2"/>
      <c r="L2917" s="24"/>
      <c r="M2917" s="24"/>
      <c r="N2917" s="24"/>
      <c r="O2917" s="24"/>
      <c r="P2917" s="24"/>
      <c r="Q2917" s="2"/>
      <c r="R2917" s="2"/>
      <c r="S2917" s="2"/>
      <c r="T2917" s="2"/>
      <c r="U2917" s="24"/>
      <c r="V2917" s="2"/>
      <c r="W2917" s="2"/>
      <c r="X2917" s="2"/>
      <c r="Y2917" s="2"/>
      <c r="Z2917" s="2"/>
    </row>
    <row r="2918">
      <c r="A2918" s="23"/>
      <c r="B2918" s="2"/>
      <c r="C2918" s="2"/>
      <c r="D2918" s="2"/>
      <c r="E2918" s="2"/>
      <c r="F2918" s="2"/>
      <c r="G2918" s="2"/>
      <c r="H2918" s="2"/>
      <c r="I2918" s="2"/>
      <c r="J2918" s="2"/>
      <c r="K2918" s="2"/>
      <c r="L2918" s="24"/>
      <c r="M2918" s="24"/>
      <c r="N2918" s="24"/>
      <c r="O2918" s="24"/>
      <c r="P2918" s="24"/>
      <c r="Q2918" s="2"/>
      <c r="R2918" s="2"/>
      <c r="S2918" s="2"/>
      <c r="T2918" s="2"/>
      <c r="U2918" s="24"/>
      <c r="V2918" s="2"/>
      <c r="W2918" s="2"/>
      <c r="X2918" s="2"/>
      <c r="Y2918" s="2"/>
      <c r="Z2918" s="2"/>
    </row>
    <row r="2919">
      <c r="A2919" s="23"/>
      <c r="B2919" s="2"/>
      <c r="C2919" s="2"/>
      <c r="D2919" s="2"/>
      <c r="E2919" s="2"/>
      <c r="F2919" s="2"/>
      <c r="G2919" s="2"/>
      <c r="H2919" s="2"/>
      <c r="I2919" s="2"/>
      <c r="J2919" s="2"/>
      <c r="K2919" s="2"/>
      <c r="L2919" s="24"/>
      <c r="M2919" s="24"/>
      <c r="N2919" s="24"/>
      <c r="O2919" s="24"/>
      <c r="P2919" s="24"/>
      <c r="Q2919" s="2"/>
      <c r="R2919" s="2"/>
      <c r="S2919" s="2"/>
      <c r="T2919" s="2"/>
      <c r="U2919" s="24"/>
      <c r="V2919" s="2"/>
      <c r="W2919" s="2"/>
      <c r="X2919" s="2"/>
      <c r="Y2919" s="2"/>
      <c r="Z2919" s="2"/>
    </row>
    <row r="2920">
      <c r="A2920" s="23"/>
      <c r="B2920" s="2"/>
      <c r="C2920" s="2"/>
      <c r="D2920" s="2"/>
      <c r="E2920" s="2"/>
      <c r="F2920" s="2"/>
      <c r="G2920" s="2"/>
      <c r="H2920" s="2"/>
      <c r="I2920" s="2"/>
      <c r="J2920" s="2"/>
      <c r="K2920" s="2"/>
      <c r="L2920" s="24"/>
      <c r="M2920" s="24"/>
      <c r="N2920" s="24"/>
      <c r="O2920" s="24"/>
      <c r="P2920" s="24"/>
      <c r="Q2920" s="2"/>
      <c r="R2920" s="2"/>
      <c r="S2920" s="2"/>
      <c r="T2920" s="2"/>
      <c r="U2920" s="24"/>
      <c r="V2920" s="2"/>
      <c r="W2920" s="2"/>
      <c r="X2920" s="2"/>
      <c r="Y2920" s="2"/>
      <c r="Z2920" s="2"/>
    </row>
    <row r="2921">
      <c r="A2921" s="23"/>
      <c r="B2921" s="2"/>
      <c r="C2921" s="2"/>
      <c r="D2921" s="2"/>
      <c r="E2921" s="2"/>
      <c r="F2921" s="2"/>
      <c r="G2921" s="2"/>
      <c r="H2921" s="2"/>
      <c r="I2921" s="2"/>
      <c r="J2921" s="2"/>
      <c r="K2921" s="2"/>
      <c r="L2921" s="24"/>
      <c r="M2921" s="24"/>
      <c r="N2921" s="24"/>
      <c r="O2921" s="24"/>
      <c r="P2921" s="24"/>
      <c r="Q2921" s="2"/>
      <c r="R2921" s="2"/>
      <c r="S2921" s="2"/>
      <c r="T2921" s="2"/>
      <c r="U2921" s="24"/>
      <c r="V2921" s="2"/>
      <c r="W2921" s="2"/>
      <c r="X2921" s="2"/>
      <c r="Y2921" s="2"/>
      <c r="Z2921" s="2"/>
    </row>
    <row r="2922">
      <c r="A2922" s="23"/>
      <c r="B2922" s="2"/>
      <c r="C2922" s="2"/>
      <c r="D2922" s="2"/>
      <c r="E2922" s="2"/>
      <c r="F2922" s="2"/>
      <c r="G2922" s="2"/>
      <c r="H2922" s="2"/>
      <c r="I2922" s="2"/>
      <c r="J2922" s="2"/>
      <c r="K2922" s="2"/>
      <c r="L2922" s="24"/>
      <c r="M2922" s="24"/>
      <c r="N2922" s="24"/>
      <c r="O2922" s="24"/>
      <c r="P2922" s="24"/>
      <c r="Q2922" s="2"/>
      <c r="R2922" s="2"/>
      <c r="S2922" s="2"/>
      <c r="T2922" s="2"/>
      <c r="U2922" s="24"/>
      <c r="V2922" s="2"/>
      <c r="W2922" s="2"/>
      <c r="X2922" s="2"/>
      <c r="Y2922" s="2"/>
      <c r="Z2922" s="2"/>
    </row>
    <row r="2923">
      <c r="A2923" s="23"/>
      <c r="B2923" s="2"/>
      <c r="C2923" s="2"/>
      <c r="D2923" s="2"/>
      <c r="E2923" s="2"/>
      <c r="F2923" s="2"/>
      <c r="G2923" s="2"/>
      <c r="H2923" s="2"/>
      <c r="I2923" s="2"/>
      <c r="J2923" s="2"/>
      <c r="K2923" s="2"/>
      <c r="L2923" s="24"/>
      <c r="M2923" s="24"/>
      <c r="N2923" s="24"/>
      <c r="O2923" s="24"/>
      <c r="P2923" s="24"/>
      <c r="Q2923" s="2"/>
      <c r="R2923" s="2"/>
      <c r="S2923" s="2"/>
      <c r="T2923" s="2"/>
      <c r="U2923" s="24"/>
      <c r="V2923" s="2"/>
      <c r="W2923" s="2"/>
      <c r="X2923" s="2"/>
      <c r="Y2923" s="2"/>
      <c r="Z2923" s="2"/>
    </row>
    <row r="2924">
      <c r="A2924" s="23"/>
      <c r="B2924" s="2"/>
      <c r="C2924" s="2"/>
      <c r="D2924" s="2"/>
      <c r="E2924" s="2"/>
      <c r="F2924" s="2"/>
      <c r="G2924" s="2"/>
      <c r="H2924" s="2"/>
      <c r="I2924" s="2"/>
      <c r="J2924" s="2"/>
      <c r="K2924" s="2"/>
      <c r="L2924" s="24"/>
      <c r="M2924" s="24"/>
      <c r="N2924" s="24"/>
      <c r="O2924" s="24"/>
      <c r="P2924" s="24"/>
      <c r="Q2924" s="2"/>
      <c r="R2924" s="2"/>
      <c r="S2924" s="2"/>
      <c r="T2924" s="2"/>
      <c r="U2924" s="24"/>
      <c r="V2924" s="2"/>
      <c r="W2924" s="2"/>
      <c r="X2924" s="2"/>
      <c r="Y2924" s="2"/>
      <c r="Z2924" s="2"/>
    </row>
    <row r="2925">
      <c r="A2925" s="23"/>
      <c r="B2925" s="2"/>
      <c r="C2925" s="2"/>
      <c r="D2925" s="2"/>
      <c r="E2925" s="2"/>
      <c r="F2925" s="2"/>
      <c r="G2925" s="2"/>
      <c r="H2925" s="2"/>
      <c r="I2925" s="2"/>
      <c r="J2925" s="2"/>
      <c r="K2925" s="2"/>
      <c r="L2925" s="24"/>
      <c r="M2925" s="24"/>
      <c r="N2925" s="24"/>
      <c r="O2925" s="24"/>
      <c r="P2925" s="24"/>
      <c r="Q2925" s="2"/>
      <c r="R2925" s="2"/>
      <c r="S2925" s="2"/>
      <c r="T2925" s="2"/>
      <c r="U2925" s="24"/>
      <c r="V2925" s="2"/>
      <c r="W2925" s="2"/>
      <c r="X2925" s="2"/>
      <c r="Y2925" s="2"/>
      <c r="Z2925" s="2"/>
    </row>
    <row r="2926">
      <c r="A2926" s="23"/>
      <c r="B2926" s="2"/>
      <c r="C2926" s="2"/>
      <c r="D2926" s="2"/>
      <c r="E2926" s="2"/>
      <c r="F2926" s="2"/>
      <c r="G2926" s="2"/>
      <c r="H2926" s="2"/>
      <c r="I2926" s="2"/>
      <c r="J2926" s="2"/>
      <c r="K2926" s="2"/>
      <c r="L2926" s="24"/>
      <c r="M2926" s="24"/>
      <c r="N2926" s="24"/>
      <c r="O2926" s="24"/>
      <c r="P2926" s="24"/>
      <c r="Q2926" s="2"/>
      <c r="R2926" s="2"/>
      <c r="S2926" s="2"/>
      <c r="T2926" s="2"/>
      <c r="U2926" s="24"/>
      <c r="V2926" s="2"/>
      <c r="W2926" s="2"/>
      <c r="X2926" s="2"/>
      <c r="Y2926" s="2"/>
      <c r="Z2926" s="2"/>
    </row>
    <row r="2927">
      <c r="A2927" s="23"/>
      <c r="B2927" s="2"/>
      <c r="C2927" s="2"/>
      <c r="D2927" s="2"/>
      <c r="E2927" s="2"/>
      <c r="F2927" s="2"/>
      <c r="G2927" s="2"/>
      <c r="H2927" s="2"/>
      <c r="I2927" s="2"/>
      <c r="J2927" s="2"/>
      <c r="K2927" s="2"/>
      <c r="L2927" s="24"/>
      <c r="M2927" s="24"/>
      <c r="N2927" s="24"/>
      <c r="O2927" s="24"/>
      <c r="P2927" s="24"/>
      <c r="Q2927" s="2"/>
      <c r="R2927" s="2"/>
      <c r="S2927" s="2"/>
      <c r="T2927" s="2"/>
      <c r="U2927" s="24"/>
      <c r="V2927" s="2"/>
      <c r="W2927" s="2"/>
      <c r="X2927" s="2"/>
      <c r="Y2927" s="2"/>
      <c r="Z2927" s="2"/>
    </row>
    <row r="2928">
      <c r="A2928" s="23"/>
      <c r="B2928" s="2"/>
      <c r="C2928" s="2"/>
      <c r="D2928" s="2"/>
      <c r="E2928" s="2"/>
      <c r="F2928" s="2"/>
      <c r="G2928" s="2"/>
      <c r="H2928" s="2"/>
      <c r="I2928" s="2"/>
      <c r="J2928" s="2"/>
      <c r="K2928" s="2"/>
      <c r="L2928" s="24"/>
      <c r="M2928" s="24"/>
      <c r="N2928" s="24"/>
      <c r="O2928" s="24"/>
      <c r="P2928" s="24"/>
      <c r="Q2928" s="2"/>
      <c r="R2928" s="2"/>
      <c r="S2928" s="2"/>
      <c r="T2928" s="2"/>
      <c r="U2928" s="24"/>
      <c r="V2928" s="2"/>
      <c r="W2928" s="2"/>
      <c r="X2928" s="2"/>
      <c r="Y2928" s="2"/>
      <c r="Z2928" s="2"/>
    </row>
    <row r="2929">
      <c r="A2929" s="23"/>
      <c r="B2929" s="2"/>
      <c r="C2929" s="2"/>
      <c r="D2929" s="2"/>
      <c r="E2929" s="2"/>
      <c r="F2929" s="2"/>
      <c r="G2929" s="2"/>
      <c r="H2929" s="2"/>
      <c r="I2929" s="2"/>
      <c r="J2929" s="2"/>
      <c r="K2929" s="2"/>
      <c r="L2929" s="24"/>
      <c r="M2929" s="24"/>
      <c r="N2929" s="24"/>
      <c r="O2929" s="24"/>
      <c r="P2929" s="24"/>
      <c r="Q2929" s="2"/>
      <c r="R2929" s="2"/>
      <c r="S2929" s="2"/>
      <c r="T2929" s="2"/>
      <c r="U2929" s="24"/>
      <c r="V2929" s="2"/>
      <c r="W2929" s="2"/>
      <c r="X2929" s="2"/>
      <c r="Y2929" s="2"/>
      <c r="Z2929" s="2"/>
    </row>
    <row r="2930">
      <c r="A2930" s="23"/>
      <c r="B2930" s="2"/>
      <c r="C2930" s="2"/>
      <c r="D2930" s="2"/>
      <c r="E2930" s="2"/>
      <c r="F2930" s="2"/>
      <c r="G2930" s="2"/>
      <c r="H2930" s="2"/>
      <c r="I2930" s="2"/>
      <c r="J2930" s="2"/>
      <c r="K2930" s="2"/>
      <c r="L2930" s="24"/>
      <c r="M2930" s="24"/>
      <c r="N2930" s="24"/>
      <c r="O2930" s="24"/>
      <c r="P2930" s="24"/>
      <c r="Q2930" s="2"/>
      <c r="R2930" s="2"/>
      <c r="S2930" s="2"/>
      <c r="T2930" s="2"/>
      <c r="U2930" s="24"/>
      <c r="V2930" s="2"/>
      <c r="W2930" s="2"/>
      <c r="X2930" s="2"/>
      <c r="Y2930" s="2"/>
      <c r="Z2930" s="2"/>
    </row>
    <row r="2931">
      <c r="A2931" s="23"/>
      <c r="B2931" s="2"/>
      <c r="C2931" s="2"/>
      <c r="D2931" s="2"/>
      <c r="E2931" s="2"/>
      <c r="F2931" s="2"/>
      <c r="G2931" s="2"/>
      <c r="H2931" s="2"/>
      <c r="I2931" s="2"/>
      <c r="J2931" s="2"/>
      <c r="K2931" s="2"/>
      <c r="L2931" s="24"/>
      <c r="M2931" s="24"/>
      <c r="N2931" s="24"/>
      <c r="O2931" s="24"/>
      <c r="P2931" s="24"/>
      <c r="Q2931" s="2"/>
      <c r="R2931" s="2"/>
      <c r="S2931" s="2"/>
      <c r="T2931" s="2"/>
      <c r="U2931" s="24"/>
      <c r="V2931" s="2"/>
      <c r="W2931" s="2"/>
      <c r="X2931" s="2"/>
      <c r="Y2931" s="2"/>
      <c r="Z2931" s="2"/>
    </row>
    <row r="2932">
      <c r="A2932" s="23"/>
      <c r="B2932" s="2"/>
      <c r="C2932" s="2"/>
      <c r="D2932" s="2"/>
      <c r="E2932" s="2"/>
      <c r="F2932" s="2"/>
      <c r="G2932" s="2"/>
      <c r="H2932" s="2"/>
      <c r="I2932" s="2"/>
      <c r="J2932" s="2"/>
      <c r="K2932" s="2"/>
      <c r="L2932" s="24"/>
      <c r="M2932" s="24"/>
      <c r="N2932" s="24"/>
      <c r="O2932" s="24"/>
      <c r="P2932" s="24"/>
      <c r="Q2932" s="2"/>
      <c r="R2932" s="2"/>
      <c r="S2932" s="2"/>
      <c r="T2932" s="2"/>
      <c r="U2932" s="24"/>
      <c r="V2932" s="2"/>
      <c r="W2932" s="2"/>
      <c r="X2932" s="2"/>
      <c r="Y2932" s="2"/>
      <c r="Z2932" s="2"/>
    </row>
    <row r="2933">
      <c r="A2933" s="23"/>
      <c r="B2933" s="2"/>
      <c r="C2933" s="2"/>
      <c r="D2933" s="2"/>
      <c r="E2933" s="2"/>
      <c r="F2933" s="2"/>
      <c r="G2933" s="2"/>
      <c r="H2933" s="2"/>
      <c r="I2933" s="2"/>
      <c r="J2933" s="2"/>
      <c r="K2933" s="2"/>
      <c r="L2933" s="24"/>
      <c r="M2933" s="24"/>
      <c r="N2933" s="24"/>
      <c r="O2933" s="24"/>
      <c r="P2933" s="24"/>
      <c r="Q2933" s="2"/>
      <c r="R2933" s="2"/>
      <c r="S2933" s="2"/>
      <c r="T2933" s="2"/>
      <c r="U2933" s="24"/>
      <c r="V2933" s="2"/>
      <c r="W2933" s="2"/>
      <c r="X2933" s="2"/>
      <c r="Y2933" s="2"/>
      <c r="Z2933" s="2"/>
    </row>
    <row r="2934">
      <c r="A2934" s="23"/>
      <c r="B2934" s="2"/>
      <c r="C2934" s="2"/>
      <c r="D2934" s="2"/>
      <c r="E2934" s="2"/>
      <c r="F2934" s="2"/>
      <c r="G2934" s="2"/>
      <c r="H2934" s="2"/>
      <c r="I2934" s="2"/>
      <c r="J2934" s="2"/>
      <c r="K2934" s="2"/>
      <c r="L2934" s="24"/>
      <c r="M2934" s="24"/>
      <c r="N2934" s="24"/>
      <c r="O2934" s="24"/>
      <c r="P2934" s="24"/>
      <c r="Q2934" s="2"/>
      <c r="R2934" s="2"/>
      <c r="S2934" s="2"/>
      <c r="T2934" s="2"/>
      <c r="U2934" s="24"/>
      <c r="V2934" s="2"/>
      <c r="W2934" s="2"/>
      <c r="X2934" s="2"/>
      <c r="Y2934" s="2"/>
      <c r="Z2934" s="2"/>
    </row>
    <row r="2935">
      <c r="A2935" s="23"/>
      <c r="B2935" s="2"/>
      <c r="C2935" s="2"/>
      <c r="D2935" s="2"/>
      <c r="E2935" s="2"/>
      <c r="F2935" s="2"/>
      <c r="G2935" s="2"/>
      <c r="H2935" s="2"/>
      <c r="I2935" s="2"/>
      <c r="J2935" s="2"/>
      <c r="K2935" s="2"/>
      <c r="L2935" s="24"/>
      <c r="M2935" s="24"/>
      <c r="N2935" s="24"/>
      <c r="O2935" s="24"/>
      <c r="P2935" s="24"/>
      <c r="Q2935" s="2"/>
      <c r="R2935" s="2"/>
      <c r="S2935" s="2"/>
      <c r="T2935" s="2"/>
      <c r="U2935" s="24"/>
      <c r="V2935" s="2"/>
      <c r="W2935" s="2"/>
      <c r="X2935" s="2"/>
      <c r="Y2935" s="2"/>
      <c r="Z2935" s="2"/>
    </row>
    <row r="2936">
      <c r="A2936" s="23"/>
      <c r="B2936" s="2"/>
      <c r="C2936" s="2"/>
      <c r="D2936" s="2"/>
      <c r="E2936" s="2"/>
      <c r="F2936" s="2"/>
      <c r="G2936" s="2"/>
      <c r="H2936" s="2"/>
      <c r="I2936" s="2"/>
      <c r="J2936" s="2"/>
      <c r="K2936" s="2"/>
      <c r="L2936" s="24"/>
      <c r="M2936" s="24"/>
      <c r="N2936" s="24"/>
      <c r="O2936" s="24"/>
      <c r="P2936" s="24"/>
      <c r="Q2936" s="2"/>
      <c r="R2936" s="2"/>
      <c r="S2936" s="2"/>
      <c r="T2936" s="2"/>
      <c r="U2936" s="24"/>
      <c r="V2936" s="2"/>
      <c r="W2936" s="2"/>
      <c r="X2936" s="2"/>
      <c r="Y2936" s="2"/>
      <c r="Z2936" s="2"/>
    </row>
    <row r="2937">
      <c r="A2937" s="23"/>
      <c r="B2937" s="2"/>
      <c r="C2937" s="2"/>
      <c r="D2937" s="2"/>
      <c r="E2937" s="2"/>
      <c r="F2937" s="2"/>
      <c r="G2937" s="2"/>
      <c r="H2937" s="2"/>
      <c r="I2937" s="2"/>
      <c r="J2937" s="2"/>
      <c r="K2937" s="2"/>
      <c r="L2937" s="24"/>
      <c r="M2937" s="24"/>
      <c r="N2937" s="24"/>
      <c r="O2937" s="24"/>
      <c r="P2937" s="24"/>
      <c r="Q2937" s="2"/>
      <c r="R2937" s="2"/>
      <c r="S2937" s="2"/>
      <c r="T2937" s="2"/>
      <c r="U2937" s="24"/>
      <c r="V2937" s="2"/>
      <c r="W2937" s="2"/>
      <c r="X2937" s="2"/>
      <c r="Y2937" s="2"/>
      <c r="Z2937" s="2"/>
    </row>
    <row r="2938">
      <c r="A2938" s="23"/>
      <c r="B2938" s="2"/>
      <c r="C2938" s="2"/>
      <c r="D2938" s="2"/>
      <c r="E2938" s="2"/>
      <c r="F2938" s="2"/>
      <c r="G2938" s="2"/>
      <c r="H2938" s="2"/>
      <c r="I2938" s="2"/>
      <c r="J2938" s="2"/>
      <c r="K2938" s="2"/>
      <c r="L2938" s="24"/>
      <c r="M2938" s="24"/>
      <c r="N2938" s="24"/>
      <c r="O2938" s="24"/>
      <c r="P2938" s="24"/>
      <c r="Q2938" s="2"/>
      <c r="R2938" s="2"/>
      <c r="S2938" s="2"/>
      <c r="T2938" s="2"/>
      <c r="U2938" s="24"/>
      <c r="V2938" s="2"/>
      <c r="W2938" s="2"/>
      <c r="X2938" s="2"/>
      <c r="Y2938" s="2"/>
      <c r="Z2938" s="2"/>
    </row>
    <row r="2939">
      <c r="A2939" s="23"/>
      <c r="B2939" s="2"/>
      <c r="C2939" s="2"/>
      <c r="D2939" s="2"/>
      <c r="E2939" s="2"/>
      <c r="F2939" s="2"/>
      <c r="G2939" s="2"/>
      <c r="H2939" s="2"/>
      <c r="I2939" s="2"/>
      <c r="J2939" s="2"/>
      <c r="K2939" s="2"/>
      <c r="L2939" s="24"/>
      <c r="M2939" s="24"/>
      <c r="N2939" s="24"/>
      <c r="O2939" s="24"/>
      <c r="P2939" s="24"/>
      <c r="Q2939" s="2"/>
      <c r="R2939" s="2"/>
      <c r="S2939" s="2"/>
      <c r="T2939" s="2"/>
      <c r="U2939" s="24"/>
      <c r="V2939" s="2"/>
      <c r="W2939" s="2"/>
      <c r="X2939" s="2"/>
      <c r="Y2939" s="2"/>
      <c r="Z2939" s="2"/>
    </row>
    <row r="2940">
      <c r="A2940" s="23"/>
      <c r="B2940" s="2"/>
      <c r="C2940" s="2"/>
      <c r="D2940" s="2"/>
      <c r="E2940" s="2"/>
      <c r="F2940" s="2"/>
      <c r="G2940" s="2"/>
      <c r="H2940" s="2"/>
      <c r="I2940" s="2"/>
      <c r="J2940" s="2"/>
      <c r="K2940" s="2"/>
      <c r="L2940" s="24"/>
      <c r="M2940" s="24"/>
      <c r="N2940" s="24"/>
      <c r="O2940" s="24"/>
      <c r="P2940" s="24"/>
      <c r="Q2940" s="2"/>
      <c r="R2940" s="2"/>
      <c r="S2940" s="2"/>
      <c r="T2940" s="2"/>
      <c r="U2940" s="24"/>
      <c r="V2940" s="2"/>
      <c r="W2940" s="2"/>
      <c r="X2940" s="2"/>
      <c r="Y2940" s="2"/>
      <c r="Z2940" s="2"/>
    </row>
    <row r="2941">
      <c r="A2941" s="23"/>
      <c r="B2941" s="2"/>
      <c r="C2941" s="2"/>
      <c r="D2941" s="2"/>
      <c r="E2941" s="2"/>
      <c r="F2941" s="2"/>
      <c r="G2941" s="2"/>
      <c r="H2941" s="2"/>
      <c r="I2941" s="2"/>
      <c r="J2941" s="2"/>
      <c r="K2941" s="2"/>
      <c r="L2941" s="24"/>
      <c r="M2941" s="24"/>
      <c r="N2941" s="24"/>
      <c r="O2941" s="24"/>
      <c r="P2941" s="24"/>
      <c r="Q2941" s="2"/>
      <c r="R2941" s="2"/>
      <c r="S2941" s="2"/>
      <c r="T2941" s="2"/>
      <c r="U2941" s="24"/>
      <c r="V2941" s="2"/>
      <c r="W2941" s="2"/>
      <c r="X2941" s="2"/>
      <c r="Y2941" s="2"/>
      <c r="Z2941" s="2"/>
    </row>
    <row r="2942">
      <c r="A2942" s="23"/>
      <c r="B2942" s="2"/>
      <c r="C2942" s="2"/>
      <c r="D2942" s="2"/>
      <c r="E2942" s="2"/>
      <c r="F2942" s="2"/>
      <c r="G2942" s="2"/>
      <c r="H2942" s="2"/>
      <c r="I2942" s="2"/>
      <c r="J2942" s="2"/>
      <c r="K2942" s="2"/>
      <c r="L2942" s="24"/>
      <c r="M2942" s="24"/>
      <c r="N2942" s="24"/>
      <c r="O2942" s="24"/>
      <c r="P2942" s="24"/>
      <c r="Q2942" s="2"/>
      <c r="R2942" s="2"/>
      <c r="S2942" s="2"/>
      <c r="T2942" s="2"/>
      <c r="U2942" s="24"/>
      <c r="V2942" s="2"/>
      <c r="W2942" s="2"/>
      <c r="X2942" s="2"/>
      <c r="Y2942" s="2"/>
      <c r="Z2942" s="2"/>
    </row>
    <row r="2943">
      <c r="A2943" s="23"/>
      <c r="B2943" s="2"/>
      <c r="C2943" s="2"/>
      <c r="D2943" s="2"/>
      <c r="E2943" s="2"/>
      <c r="F2943" s="2"/>
      <c r="G2943" s="2"/>
      <c r="H2943" s="2"/>
      <c r="I2943" s="2"/>
      <c r="J2943" s="2"/>
      <c r="K2943" s="2"/>
      <c r="L2943" s="24"/>
      <c r="M2943" s="24"/>
      <c r="N2943" s="24"/>
      <c r="O2943" s="24"/>
      <c r="P2943" s="24"/>
      <c r="Q2943" s="2"/>
      <c r="R2943" s="2"/>
      <c r="S2943" s="2"/>
      <c r="T2943" s="2"/>
      <c r="U2943" s="24"/>
      <c r="V2943" s="2"/>
      <c r="W2943" s="2"/>
      <c r="X2943" s="2"/>
      <c r="Y2943" s="2"/>
      <c r="Z2943" s="2"/>
    </row>
    <row r="2944">
      <c r="A2944" s="23"/>
      <c r="B2944" s="2"/>
      <c r="C2944" s="2"/>
      <c r="D2944" s="2"/>
      <c r="E2944" s="2"/>
      <c r="F2944" s="2"/>
      <c r="G2944" s="2"/>
      <c r="H2944" s="2"/>
      <c r="I2944" s="2"/>
      <c r="J2944" s="2"/>
      <c r="K2944" s="2"/>
      <c r="L2944" s="24"/>
      <c r="M2944" s="24"/>
      <c r="N2944" s="24"/>
      <c r="O2944" s="24"/>
      <c r="P2944" s="24"/>
      <c r="Q2944" s="2"/>
      <c r="R2944" s="2"/>
      <c r="S2944" s="2"/>
      <c r="T2944" s="2"/>
      <c r="U2944" s="24"/>
      <c r="V2944" s="2"/>
      <c r="W2944" s="2"/>
      <c r="X2944" s="2"/>
      <c r="Y2944" s="2"/>
      <c r="Z2944" s="2"/>
    </row>
    <row r="2945">
      <c r="A2945" s="23"/>
      <c r="B2945" s="2"/>
      <c r="C2945" s="2"/>
      <c r="D2945" s="2"/>
      <c r="E2945" s="2"/>
      <c r="F2945" s="2"/>
      <c r="G2945" s="2"/>
      <c r="H2945" s="2"/>
      <c r="I2945" s="2"/>
      <c r="J2945" s="2"/>
      <c r="K2945" s="2"/>
      <c r="L2945" s="24"/>
      <c r="M2945" s="24"/>
      <c r="N2945" s="24"/>
      <c r="O2945" s="24"/>
      <c r="P2945" s="24"/>
      <c r="Q2945" s="2"/>
      <c r="R2945" s="2"/>
      <c r="S2945" s="2"/>
      <c r="T2945" s="2"/>
      <c r="U2945" s="24"/>
      <c r="V2945" s="2"/>
      <c r="W2945" s="2"/>
      <c r="X2945" s="2"/>
      <c r="Y2945" s="2"/>
      <c r="Z2945" s="2"/>
    </row>
    <row r="2946">
      <c r="A2946" s="23"/>
      <c r="B2946" s="2"/>
      <c r="C2946" s="2"/>
      <c r="D2946" s="2"/>
      <c r="E2946" s="2"/>
      <c r="F2946" s="2"/>
      <c r="G2946" s="2"/>
      <c r="H2946" s="2"/>
      <c r="I2946" s="2"/>
      <c r="J2946" s="2"/>
      <c r="K2946" s="2"/>
      <c r="L2946" s="24"/>
      <c r="M2946" s="24"/>
      <c r="N2946" s="24"/>
      <c r="O2946" s="24"/>
      <c r="P2946" s="24"/>
      <c r="Q2946" s="2"/>
      <c r="R2946" s="2"/>
      <c r="S2946" s="2"/>
      <c r="T2946" s="2"/>
      <c r="U2946" s="24"/>
      <c r="V2946" s="2"/>
      <c r="W2946" s="2"/>
      <c r="X2946" s="2"/>
      <c r="Y2946" s="2"/>
      <c r="Z2946" s="2"/>
    </row>
    <row r="2947">
      <c r="A2947" s="23"/>
      <c r="B2947" s="2"/>
      <c r="C2947" s="2"/>
      <c r="D2947" s="2"/>
      <c r="E2947" s="2"/>
      <c r="F2947" s="2"/>
      <c r="G2947" s="2"/>
      <c r="H2947" s="2"/>
      <c r="I2947" s="2"/>
      <c r="J2947" s="2"/>
      <c r="K2947" s="2"/>
      <c r="L2947" s="24"/>
      <c r="M2947" s="24"/>
      <c r="N2947" s="24"/>
      <c r="O2947" s="24"/>
      <c r="P2947" s="24"/>
      <c r="Q2947" s="2"/>
      <c r="R2947" s="2"/>
      <c r="S2947" s="2"/>
      <c r="T2947" s="2"/>
      <c r="U2947" s="24"/>
      <c r="V2947" s="2"/>
      <c r="W2947" s="2"/>
      <c r="X2947" s="2"/>
      <c r="Y2947" s="2"/>
      <c r="Z2947" s="2"/>
    </row>
    <row r="2948">
      <c r="A2948" s="23"/>
      <c r="B2948" s="2"/>
      <c r="C2948" s="2"/>
      <c r="D2948" s="2"/>
      <c r="E2948" s="2"/>
      <c r="F2948" s="2"/>
      <c r="G2948" s="2"/>
      <c r="H2948" s="2"/>
      <c r="I2948" s="2"/>
      <c r="J2948" s="2"/>
      <c r="K2948" s="2"/>
      <c r="L2948" s="24"/>
      <c r="M2948" s="24"/>
      <c r="N2948" s="24"/>
      <c r="O2948" s="24"/>
      <c r="P2948" s="24"/>
      <c r="Q2948" s="2"/>
      <c r="R2948" s="2"/>
      <c r="S2948" s="2"/>
      <c r="T2948" s="2"/>
      <c r="U2948" s="24"/>
      <c r="V2948" s="2"/>
      <c r="W2948" s="2"/>
      <c r="X2948" s="2"/>
      <c r="Y2948" s="2"/>
      <c r="Z2948" s="2"/>
    </row>
    <row r="2949">
      <c r="A2949" s="23"/>
      <c r="B2949" s="2"/>
      <c r="C2949" s="2"/>
      <c r="D2949" s="2"/>
      <c r="E2949" s="2"/>
      <c r="F2949" s="2"/>
      <c r="G2949" s="2"/>
      <c r="H2949" s="2"/>
      <c r="I2949" s="2"/>
      <c r="J2949" s="2"/>
      <c r="K2949" s="2"/>
      <c r="L2949" s="24"/>
      <c r="M2949" s="24"/>
      <c r="N2949" s="24"/>
      <c r="O2949" s="24"/>
      <c r="P2949" s="24"/>
      <c r="Q2949" s="2"/>
      <c r="R2949" s="2"/>
      <c r="S2949" s="2"/>
      <c r="T2949" s="2"/>
      <c r="U2949" s="24"/>
      <c r="V2949" s="2"/>
      <c r="W2949" s="2"/>
      <c r="X2949" s="2"/>
      <c r="Y2949" s="2"/>
      <c r="Z2949" s="2"/>
    </row>
    <row r="2950">
      <c r="A2950" s="23"/>
      <c r="B2950" s="2"/>
      <c r="C2950" s="2"/>
      <c r="D2950" s="2"/>
      <c r="E2950" s="2"/>
      <c r="F2950" s="2"/>
      <c r="G2950" s="2"/>
      <c r="H2950" s="2"/>
      <c r="I2950" s="2"/>
      <c r="J2950" s="2"/>
      <c r="K2950" s="2"/>
      <c r="L2950" s="24"/>
      <c r="M2950" s="24"/>
      <c r="N2950" s="24"/>
      <c r="O2950" s="24"/>
      <c r="P2950" s="24"/>
      <c r="Q2950" s="2"/>
      <c r="R2950" s="2"/>
      <c r="S2950" s="2"/>
      <c r="T2950" s="2"/>
      <c r="U2950" s="24"/>
      <c r="V2950" s="2"/>
      <c r="W2950" s="2"/>
      <c r="X2950" s="2"/>
      <c r="Y2950" s="2"/>
      <c r="Z2950" s="2"/>
    </row>
    <row r="2951">
      <c r="A2951" s="23"/>
      <c r="B2951" s="2"/>
      <c r="C2951" s="2"/>
      <c r="D2951" s="2"/>
      <c r="E2951" s="2"/>
      <c r="F2951" s="2"/>
      <c r="G2951" s="2"/>
      <c r="H2951" s="2"/>
      <c r="I2951" s="2"/>
      <c r="J2951" s="2"/>
      <c r="K2951" s="2"/>
      <c r="L2951" s="24"/>
      <c r="M2951" s="24"/>
      <c r="N2951" s="24"/>
      <c r="O2951" s="24"/>
      <c r="P2951" s="24"/>
      <c r="Q2951" s="2"/>
      <c r="R2951" s="2"/>
      <c r="S2951" s="2"/>
      <c r="T2951" s="2"/>
      <c r="U2951" s="24"/>
      <c r="V2951" s="2"/>
      <c r="W2951" s="2"/>
      <c r="X2951" s="2"/>
      <c r="Y2951" s="2"/>
      <c r="Z2951" s="2"/>
    </row>
    <row r="2952">
      <c r="A2952" s="23"/>
      <c r="B2952" s="2"/>
      <c r="C2952" s="2"/>
      <c r="D2952" s="2"/>
      <c r="E2952" s="2"/>
      <c r="F2952" s="2"/>
      <c r="G2952" s="2"/>
      <c r="H2952" s="2"/>
      <c r="I2952" s="2"/>
      <c r="J2952" s="2"/>
      <c r="K2952" s="2"/>
      <c r="L2952" s="24"/>
      <c r="M2952" s="24"/>
      <c r="N2952" s="24"/>
      <c r="O2952" s="24"/>
      <c r="P2952" s="24"/>
      <c r="Q2952" s="2"/>
      <c r="R2952" s="2"/>
      <c r="S2952" s="2"/>
      <c r="T2952" s="2"/>
      <c r="U2952" s="24"/>
      <c r="V2952" s="2"/>
      <c r="W2952" s="2"/>
      <c r="X2952" s="2"/>
      <c r="Y2952" s="2"/>
      <c r="Z2952" s="2"/>
    </row>
    <row r="2953">
      <c r="A2953" s="23"/>
      <c r="B2953" s="2"/>
      <c r="C2953" s="2"/>
      <c r="D2953" s="2"/>
      <c r="E2953" s="2"/>
      <c r="F2953" s="2"/>
      <c r="G2953" s="2"/>
      <c r="H2953" s="2"/>
      <c r="I2953" s="2"/>
      <c r="J2953" s="2"/>
      <c r="K2953" s="2"/>
      <c r="L2953" s="24"/>
      <c r="M2953" s="24"/>
      <c r="N2953" s="24"/>
      <c r="O2953" s="24"/>
      <c r="P2953" s="24"/>
      <c r="Q2953" s="2"/>
      <c r="R2953" s="2"/>
      <c r="S2953" s="2"/>
      <c r="T2953" s="2"/>
      <c r="U2953" s="24"/>
      <c r="V2953" s="2"/>
      <c r="W2953" s="2"/>
      <c r="X2953" s="2"/>
      <c r="Y2953" s="2"/>
      <c r="Z2953" s="2"/>
    </row>
    <row r="2954">
      <c r="A2954" s="23"/>
      <c r="B2954" s="2"/>
      <c r="C2954" s="2"/>
      <c r="D2954" s="2"/>
      <c r="E2954" s="2"/>
      <c r="F2954" s="2"/>
      <c r="G2954" s="2"/>
      <c r="H2954" s="2"/>
      <c r="I2954" s="2"/>
      <c r="J2954" s="2"/>
      <c r="K2954" s="2"/>
      <c r="L2954" s="24"/>
      <c r="M2954" s="24"/>
      <c r="N2954" s="24"/>
      <c r="O2954" s="24"/>
      <c r="P2954" s="24"/>
      <c r="Q2954" s="2"/>
      <c r="R2954" s="2"/>
      <c r="S2954" s="2"/>
      <c r="T2954" s="2"/>
      <c r="U2954" s="24"/>
      <c r="V2954" s="2"/>
      <c r="W2954" s="2"/>
      <c r="X2954" s="2"/>
      <c r="Y2954" s="2"/>
      <c r="Z2954" s="2"/>
    </row>
    <row r="2955">
      <c r="A2955" s="23"/>
      <c r="B2955" s="2"/>
      <c r="C2955" s="2"/>
      <c r="D2955" s="2"/>
      <c r="E2955" s="2"/>
      <c r="F2955" s="2"/>
      <c r="G2955" s="2"/>
      <c r="H2955" s="2"/>
      <c r="I2955" s="2"/>
      <c r="J2955" s="2"/>
      <c r="K2955" s="2"/>
      <c r="L2955" s="24"/>
      <c r="M2955" s="24"/>
      <c r="N2955" s="24"/>
      <c r="O2955" s="24"/>
      <c r="P2955" s="24"/>
      <c r="Q2955" s="2"/>
      <c r="R2955" s="2"/>
      <c r="S2955" s="2"/>
      <c r="T2955" s="2"/>
      <c r="U2955" s="24"/>
      <c r="V2955" s="2"/>
      <c r="W2955" s="2"/>
      <c r="X2955" s="2"/>
      <c r="Y2955" s="2"/>
      <c r="Z2955" s="2"/>
    </row>
    <row r="2956">
      <c r="A2956" s="23"/>
      <c r="B2956" s="2"/>
      <c r="C2956" s="2"/>
      <c r="D2956" s="2"/>
      <c r="E2956" s="2"/>
      <c r="F2956" s="2"/>
      <c r="G2956" s="2"/>
      <c r="H2956" s="2"/>
      <c r="I2956" s="2"/>
      <c r="J2956" s="2"/>
      <c r="K2956" s="2"/>
      <c r="L2956" s="24"/>
      <c r="M2956" s="24"/>
      <c r="N2956" s="24"/>
      <c r="O2956" s="24"/>
      <c r="P2956" s="24"/>
      <c r="Q2956" s="2"/>
      <c r="R2956" s="2"/>
      <c r="S2956" s="2"/>
      <c r="T2956" s="2"/>
      <c r="U2956" s="24"/>
      <c r="V2956" s="2"/>
      <c r="W2956" s="2"/>
      <c r="X2956" s="2"/>
      <c r="Y2956" s="2"/>
      <c r="Z2956" s="2"/>
    </row>
    <row r="2957">
      <c r="A2957" s="23"/>
      <c r="B2957" s="2"/>
      <c r="C2957" s="2"/>
      <c r="D2957" s="2"/>
      <c r="E2957" s="2"/>
      <c r="F2957" s="2"/>
      <c r="G2957" s="2"/>
      <c r="H2957" s="2"/>
      <c r="I2957" s="2"/>
      <c r="J2957" s="2"/>
      <c r="K2957" s="2"/>
      <c r="L2957" s="24"/>
      <c r="M2957" s="24"/>
      <c r="N2957" s="24"/>
      <c r="O2957" s="24"/>
      <c r="P2957" s="24"/>
      <c r="Q2957" s="2"/>
      <c r="R2957" s="2"/>
      <c r="S2957" s="2"/>
      <c r="T2957" s="2"/>
      <c r="U2957" s="24"/>
      <c r="V2957" s="2"/>
      <c r="W2957" s="2"/>
      <c r="X2957" s="2"/>
      <c r="Y2957" s="2"/>
      <c r="Z2957" s="2"/>
    </row>
    <row r="2958">
      <c r="A2958" s="23"/>
      <c r="B2958" s="2"/>
      <c r="C2958" s="2"/>
      <c r="D2958" s="2"/>
      <c r="E2958" s="2"/>
      <c r="F2958" s="2"/>
      <c r="G2958" s="2"/>
      <c r="H2958" s="2"/>
      <c r="I2958" s="2"/>
      <c r="J2958" s="2"/>
      <c r="K2958" s="2"/>
      <c r="L2958" s="24"/>
      <c r="M2958" s="24"/>
      <c r="N2958" s="24"/>
      <c r="O2958" s="24"/>
      <c r="P2958" s="24"/>
      <c r="Q2958" s="2"/>
      <c r="R2958" s="2"/>
      <c r="S2958" s="2"/>
      <c r="T2958" s="2"/>
      <c r="U2958" s="24"/>
      <c r="V2958" s="2"/>
      <c r="W2958" s="2"/>
      <c r="X2958" s="2"/>
      <c r="Y2958" s="2"/>
      <c r="Z2958" s="2"/>
    </row>
    <row r="2959">
      <c r="A2959" s="23"/>
      <c r="B2959" s="2"/>
      <c r="C2959" s="2"/>
      <c r="D2959" s="2"/>
      <c r="E2959" s="2"/>
      <c r="F2959" s="2"/>
      <c r="G2959" s="2"/>
      <c r="H2959" s="2"/>
      <c r="I2959" s="2"/>
      <c r="J2959" s="2"/>
      <c r="K2959" s="2"/>
      <c r="L2959" s="24"/>
      <c r="M2959" s="24"/>
      <c r="N2959" s="24"/>
      <c r="O2959" s="24"/>
      <c r="P2959" s="24"/>
      <c r="Q2959" s="2"/>
      <c r="R2959" s="2"/>
      <c r="S2959" s="2"/>
      <c r="T2959" s="2"/>
      <c r="U2959" s="24"/>
      <c r="V2959" s="2"/>
      <c r="W2959" s="2"/>
      <c r="X2959" s="2"/>
      <c r="Y2959" s="2"/>
      <c r="Z2959" s="2"/>
    </row>
    <row r="2960">
      <c r="A2960" s="23"/>
      <c r="B2960" s="2"/>
      <c r="C2960" s="2"/>
      <c r="D2960" s="2"/>
      <c r="E2960" s="2"/>
      <c r="F2960" s="2"/>
      <c r="G2960" s="2"/>
      <c r="H2960" s="2"/>
      <c r="I2960" s="2"/>
      <c r="J2960" s="2"/>
      <c r="K2960" s="2"/>
      <c r="L2960" s="24"/>
      <c r="M2960" s="24"/>
      <c r="N2960" s="24"/>
      <c r="O2960" s="24"/>
      <c r="P2960" s="24"/>
      <c r="Q2960" s="2"/>
      <c r="R2960" s="2"/>
      <c r="S2960" s="2"/>
      <c r="T2960" s="2"/>
      <c r="U2960" s="24"/>
      <c r="V2960" s="2"/>
      <c r="W2960" s="2"/>
      <c r="X2960" s="2"/>
      <c r="Y2960" s="2"/>
      <c r="Z2960" s="2"/>
    </row>
    <row r="2961">
      <c r="A2961" s="23"/>
      <c r="B2961" s="2"/>
      <c r="C2961" s="2"/>
      <c r="D2961" s="2"/>
      <c r="E2961" s="2"/>
      <c r="F2961" s="2"/>
      <c r="G2961" s="2"/>
      <c r="H2961" s="2"/>
      <c r="I2961" s="2"/>
      <c r="J2961" s="2"/>
      <c r="K2961" s="2"/>
      <c r="L2961" s="24"/>
      <c r="M2961" s="24"/>
      <c r="N2961" s="24"/>
      <c r="O2961" s="24"/>
      <c r="P2961" s="24"/>
      <c r="Q2961" s="2"/>
      <c r="R2961" s="2"/>
      <c r="S2961" s="2"/>
      <c r="T2961" s="2"/>
      <c r="U2961" s="24"/>
      <c r="V2961" s="2"/>
      <c r="W2961" s="2"/>
      <c r="X2961" s="2"/>
      <c r="Y2961" s="2"/>
      <c r="Z2961" s="2"/>
    </row>
    <row r="2962">
      <c r="A2962" s="23"/>
      <c r="B2962" s="2"/>
      <c r="C2962" s="2"/>
      <c r="D2962" s="2"/>
      <c r="E2962" s="2"/>
      <c r="F2962" s="2"/>
      <c r="G2962" s="2"/>
      <c r="H2962" s="2"/>
      <c r="I2962" s="2"/>
      <c r="J2962" s="2"/>
      <c r="K2962" s="2"/>
      <c r="L2962" s="24"/>
      <c r="M2962" s="24"/>
      <c r="N2962" s="24"/>
      <c r="O2962" s="24"/>
      <c r="P2962" s="24"/>
      <c r="Q2962" s="2"/>
      <c r="R2962" s="2"/>
      <c r="S2962" s="2"/>
      <c r="T2962" s="2"/>
      <c r="U2962" s="24"/>
      <c r="V2962" s="2"/>
      <c r="W2962" s="2"/>
      <c r="X2962" s="2"/>
      <c r="Y2962" s="2"/>
      <c r="Z2962" s="2"/>
    </row>
    <row r="2963">
      <c r="A2963" s="23"/>
      <c r="B2963" s="2"/>
      <c r="C2963" s="2"/>
      <c r="D2963" s="2"/>
      <c r="E2963" s="2"/>
      <c r="F2963" s="2"/>
      <c r="G2963" s="2"/>
      <c r="H2963" s="2"/>
      <c r="I2963" s="2"/>
      <c r="J2963" s="2"/>
      <c r="K2963" s="2"/>
      <c r="L2963" s="24"/>
      <c r="M2963" s="24"/>
      <c r="N2963" s="24"/>
      <c r="O2963" s="24"/>
      <c r="P2963" s="24"/>
      <c r="Q2963" s="2"/>
      <c r="R2963" s="2"/>
      <c r="S2963" s="2"/>
      <c r="T2963" s="2"/>
      <c r="U2963" s="24"/>
      <c r="V2963" s="2"/>
      <c r="W2963" s="2"/>
      <c r="X2963" s="2"/>
      <c r="Y2963" s="2"/>
      <c r="Z2963" s="2"/>
    </row>
    <row r="2964">
      <c r="A2964" s="23"/>
      <c r="B2964" s="2"/>
      <c r="C2964" s="2"/>
      <c r="D2964" s="2"/>
      <c r="E2964" s="2"/>
      <c r="F2964" s="2"/>
      <c r="G2964" s="2"/>
      <c r="H2964" s="2"/>
      <c r="I2964" s="2"/>
      <c r="J2964" s="2"/>
      <c r="K2964" s="2"/>
      <c r="L2964" s="24"/>
      <c r="M2964" s="24"/>
      <c r="N2964" s="24"/>
      <c r="O2964" s="24"/>
      <c r="P2964" s="24"/>
      <c r="Q2964" s="2"/>
      <c r="R2964" s="2"/>
      <c r="S2964" s="2"/>
      <c r="T2964" s="2"/>
      <c r="U2964" s="24"/>
      <c r="V2964" s="2"/>
      <c r="W2964" s="2"/>
      <c r="X2964" s="2"/>
      <c r="Y2964" s="2"/>
      <c r="Z2964" s="2"/>
    </row>
    <row r="2965">
      <c r="A2965" s="23"/>
      <c r="B2965" s="2"/>
      <c r="C2965" s="2"/>
      <c r="D2965" s="2"/>
      <c r="E2965" s="2"/>
      <c r="F2965" s="2"/>
      <c r="G2965" s="2"/>
      <c r="H2965" s="2"/>
      <c r="I2965" s="2"/>
      <c r="J2965" s="2"/>
      <c r="K2965" s="2"/>
      <c r="L2965" s="24"/>
      <c r="M2965" s="24"/>
      <c r="N2965" s="24"/>
      <c r="O2965" s="24"/>
      <c r="P2965" s="24"/>
      <c r="Q2965" s="2"/>
      <c r="R2965" s="2"/>
      <c r="S2965" s="2"/>
      <c r="T2965" s="2"/>
      <c r="U2965" s="24"/>
      <c r="V2965" s="2"/>
      <c r="W2965" s="2"/>
      <c r="X2965" s="2"/>
      <c r="Y2965" s="2"/>
      <c r="Z2965" s="2"/>
    </row>
    <row r="2966">
      <c r="A2966" s="23"/>
      <c r="B2966" s="2"/>
      <c r="C2966" s="2"/>
      <c r="D2966" s="2"/>
      <c r="E2966" s="2"/>
      <c r="F2966" s="2"/>
      <c r="G2966" s="2"/>
      <c r="H2966" s="2"/>
      <c r="I2966" s="2"/>
      <c r="J2966" s="2"/>
      <c r="K2966" s="2"/>
      <c r="L2966" s="24"/>
      <c r="M2966" s="24"/>
      <c r="N2966" s="24"/>
      <c r="O2966" s="24"/>
      <c r="P2966" s="24"/>
      <c r="Q2966" s="2"/>
      <c r="R2966" s="2"/>
      <c r="S2966" s="2"/>
      <c r="T2966" s="2"/>
      <c r="U2966" s="24"/>
      <c r="V2966" s="2"/>
      <c r="W2966" s="2"/>
      <c r="X2966" s="2"/>
      <c r="Y2966" s="2"/>
      <c r="Z2966" s="2"/>
    </row>
    <row r="2967">
      <c r="A2967" s="23"/>
      <c r="B2967" s="2"/>
      <c r="C2967" s="2"/>
      <c r="D2967" s="2"/>
      <c r="E2967" s="2"/>
      <c r="F2967" s="2"/>
      <c r="G2967" s="2"/>
      <c r="H2967" s="2"/>
      <c r="I2967" s="2"/>
      <c r="J2967" s="2"/>
      <c r="K2967" s="2"/>
      <c r="L2967" s="24"/>
      <c r="M2967" s="24"/>
      <c r="N2967" s="24"/>
      <c r="O2967" s="24"/>
      <c r="P2967" s="24"/>
      <c r="Q2967" s="2"/>
      <c r="R2967" s="2"/>
      <c r="S2967" s="2"/>
      <c r="T2967" s="2"/>
      <c r="U2967" s="24"/>
      <c r="V2967" s="2"/>
      <c r="W2967" s="2"/>
      <c r="X2967" s="2"/>
      <c r="Y2967" s="2"/>
      <c r="Z2967" s="2"/>
    </row>
    <row r="2968">
      <c r="A2968" s="23"/>
      <c r="B2968" s="2"/>
      <c r="C2968" s="2"/>
      <c r="D2968" s="2"/>
      <c r="E2968" s="2"/>
      <c r="F2968" s="2"/>
      <c r="G2968" s="2"/>
      <c r="H2968" s="2"/>
      <c r="I2968" s="2"/>
      <c r="J2968" s="2"/>
      <c r="K2968" s="2"/>
      <c r="L2968" s="24"/>
      <c r="M2968" s="24"/>
      <c r="N2968" s="24"/>
      <c r="O2968" s="24"/>
      <c r="P2968" s="24"/>
      <c r="Q2968" s="2"/>
      <c r="R2968" s="2"/>
      <c r="S2968" s="2"/>
      <c r="T2968" s="2"/>
      <c r="U2968" s="24"/>
      <c r="V2968" s="2"/>
      <c r="W2968" s="2"/>
      <c r="X2968" s="2"/>
      <c r="Y2968" s="2"/>
      <c r="Z2968" s="2"/>
    </row>
    <row r="2969">
      <c r="A2969" s="23"/>
      <c r="B2969" s="2"/>
      <c r="C2969" s="2"/>
      <c r="D2969" s="2"/>
      <c r="E2969" s="2"/>
      <c r="F2969" s="2"/>
      <c r="G2969" s="2"/>
      <c r="H2969" s="2"/>
      <c r="I2969" s="2"/>
      <c r="J2969" s="2"/>
      <c r="K2969" s="2"/>
      <c r="L2969" s="24"/>
      <c r="M2969" s="24"/>
      <c r="N2969" s="24"/>
      <c r="O2969" s="24"/>
      <c r="P2969" s="24"/>
      <c r="Q2969" s="2"/>
      <c r="R2969" s="2"/>
      <c r="S2969" s="2"/>
      <c r="T2969" s="2"/>
      <c r="U2969" s="24"/>
      <c r="V2969" s="2"/>
      <c r="W2969" s="2"/>
      <c r="X2969" s="2"/>
      <c r="Y2969" s="2"/>
      <c r="Z2969" s="2"/>
    </row>
    <row r="2970">
      <c r="A2970" s="23"/>
      <c r="B2970" s="2"/>
      <c r="C2970" s="2"/>
      <c r="D2970" s="2"/>
      <c r="E2970" s="2"/>
      <c r="F2970" s="2"/>
      <c r="G2970" s="2"/>
      <c r="H2970" s="2"/>
      <c r="I2970" s="2"/>
      <c r="J2970" s="2"/>
      <c r="K2970" s="2"/>
      <c r="L2970" s="24"/>
      <c r="M2970" s="24"/>
      <c r="N2970" s="24"/>
      <c r="O2970" s="24"/>
      <c r="P2970" s="24"/>
      <c r="Q2970" s="2"/>
      <c r="R2970" s="2"/>
      <c r="S2970" s="2"/>
      <c r="T2970" s="2"/>
      <c r="U2970" s="24"/>
      <c r="V2970" s="2"/>
      <c r="W2970" s="2"/>
      <c r="X2970" s="2"/>
      <c r="Y2970" s="2"/>
      <c r="Z2970" s="2"/>
    </row>
    <row r="2971">
      <c r="A2971" s="23"/>
      <c r="B2971" s="2"/>
      <c r="C2971" s="2"/>
      <c r="D2971" s="2"/>
      <c r="E2971" s="2"/>
      <c r="F2971" s="2"/>
      <c r="G2971" s="2"/>
      <c r="H2971" s="2"/>
      <c r="I2971" s="2"/>
      <c r="J2971" s="2"/>
      <c r="K2971" s="2"/>
      <c r="L2971" s="24"/>
      <c r="M2971" s="24"/>
      <c r="N2971" s="24"/>
      <c r="O2971" s="24"/>
      <c r="P2971" s="24"/>
      <c r="Q2971" s="2"/>
      <c r="R2971" s="2"/>
      <c r="S2971" s="2"/>
      <c r="T2971" s="2"/>
      <c r="U2971" s="24"/>
      <c r="V2971" s="2"/>
      <c r="W2971" s="2"/>
      <c r="X2971" s="2"/>
      <c r="Y2971" s="2"/>
      <c r="Z2971" s="2"/>
    </row>
    <row r="2972">
      <c r="A2972" s="23"/>
      <c r="B2972" s="2"/>
      <c r="C2972" s="2"/>
      <c r="D2972" s="2"/>
      <c r="E2972" s="2"/>
      <c r="F2972" s="2"/>
      <c r="G2972" s="2"/>
      <c r="H2972" s="2"/>
      <c r="I2972" s="2"/>
      <c r="J2972" s="2"/>
      <c r="K2972" s="2"/>
      <c r="L2972" s="24"/>
      <c r="M2972" s="24"/>
      <c r="N2972" s="24"/>
      <c r="O2972" s="24"/>
      <c r="P2972" s="24"/>
      <c r="Q2972" s="2"/>
      <c r="R2972" s="2"/>
      <c r="S2972" s="2"/>
      <c r="T2972" s="2"/>
      <c r="U2972" s="24"/>
      <c r="V2972" s="2"/>
      <c r="W2972" s="2"/>
      <c r="X2972" s="2"/>
      <c r="Y2972" s="2"/>
      <c r="Z2972" s="2"/>
    </row>
    <row r="2973">
      <c r="A2973" s="23"/>
      <c r="B2973" s="2"/>
      <c r="C2973" s="2"/>
      <c r="D2973" s="2"/>
      <c r="E2973" s="2"/>
      <c r="F2973" s="2"/>
      <c r="G2973" s="2"/>
      <c r="H2973" s="2"/>
      <c r="I2973" s="2"/>
      <c r="J2973" s="2"/>
      <c r="K2973" s="2"/>
      <c r="L2973" s="24"/>
      <c r="M2973" s="24"/>
      <c r="N2973" s="24"/>
      <c r="O2973" s="24"/>
      <c r="P2973" s="24"/>
      <c r="Q2973" s="2"/>
      <c r="R2973" s="2"/>
      <c r="S2973" s="2"/>
      <c r="T2973" s="2"/>
      <c r="U2973" s="24"/>
      <c r="V2973" s="2"/>
      <c r="W2973" s="2"/>
      <c r="X2973" s="2"/>
      <c r="Y2973" s="2"/>
      <c r="Z2973" s="2"/>
    </row>
    <row r="2974">
      <c r="A2974" s="23"/>
      <c r="B2974" s="2"/>
      <c r="C2974" s="2"/>
      <c r="D2974" s="2"/>
      <c r="E2974" s="2"/>
      <c r="F2974" s="2"/>
      <c r="G2974" s="2"/>
      <c r="H2974" s="2"/>
      <c r="I2974" s="2"/>
      <c r="J2974" s="2"/>
      <c r="K2974" s="2"/>
      <c r="L2974" s="24"/>
      <c r="M2974" s="24"/>
      <c r="N2974" s="24"/>
      <c r="O2974" s="24"/>
      <c r="P2974" s="24"/>
      <c r="Q2974" s="2"/>
      <c r="R2974" s="2"/>
      <c r="S2974" s="2"/>
      <c r="T2974" s="2"/>
      <c r="U2974" s="24"/>
      <c r="V2974" s="2"/>
      <c r="W2974" s="2"/>
      <c r="X2974" s="2"/>
      <c r="Y2974" s="2"/>
      <c r="Z2974" s="2"/>
    </row>
    <row r="2975">
      <c r="A2975" s="23"/>
      <c r="B2975" s="2"/>
      <c r="C2975" s="2"/>
      <c r="D2975" s="2"/>
      <c r="E2975" s="2"/>
      <c r="F2975" s="2"/>
      <c r="G2975" s="2"/>
      <c r="H2975" s="2"/>
      <c r="I2975" s="2"/>
      <c r="J2975" s="2"/>
      <c r="K2975" s="2"/>
      <c r="L2975" s="24"/>
      <c r="M2975" s="24"/>
      <c r="N2975" s="24"/>
      <c r="O2975" s="24"/>
      <c r="P2975" s="24"/>
      <c r="Q2975" s="2"/>
      <c r="R2975" s="2"/>
      <c r="S2975" s="2"/>
      <c r="T2975" s="2"/>
      <c r="U2975" s="24"/>
      <c r="V2975" s="2"/>
      <c r="W2975" s="2"/>
      <c r="X2975" s="2"/>
      <c r="Y2975" s="2"/>
      <c r="Z2975" s="2"/>
    </row>
    <row r="2976">
      <c r="A2976" s="23"/>
      <c r="B2976" s="2"/>
      <c r="C2976" s="2"/>
      <c r="D2976" s="2"/>
      <c r="E2976" s="2"/>
      <c r="F2976" s="2"/>
      <c r="G2976" s="2"/>
      <c r="H2976" s="2"/>
      <c r="I2976" s="2"/>
      <c r="J2976" s="2"/>
      <c r="K2976" s="2"/>
      <c r="L2976" s="24"/>
      <c r="M2976" s="24"/>
      <c r="N2976" s="24"/>
      <c r="O2976" s="24"/>
      <c r="P2976" s="24"/>
      <c r="Q2976" s="2"/>
      <c r="R2976" s="2"/>
      <c r="S2976" s="2"/>
      <c r="T2976" s="2"/>
      <c r="U2976" s="24"/>
      <c r="V2976" s="2"/>
      <c r="W2976" s="2"/>
      <c r="X2976" s="2"/>
      <c r="Y2976" s="2"/>
      <c r="Z2976" s="2"/>
    </row>
    <row r="2977">
      <c r="A2977" s="23"/>
      <c r="B2977" s="2"/>
      <c r="C2977" s="2"/>
      <c r="D2977" s="2"/>
      <c r="E2977" s="2"/>
      <c r="F2977" s="2"/>
      <c r="G2977" s="2"/>
      <c r="H2977" s="2"/>
      <c r="I2977" s="2"/>
      <c r="J2977" s="2"/>
      <c r="K2977" s="2"/>
      <c r="L2977" s="24"/>
      <c r="M2977" s="24"/>
      <c r="N2977" s="24"/>
      <c r="O2977" s="24"/>
      <c r="P2977" s="24"/>
      <c r="Q2977" s="2"/>
      <c r="R2977" s="2"/>
      <c r="S2977" s="2"/>
      <c r="T2977" s="2"/>
      <c r="U2977" s="24"/>
      <c r="V2977" s="2"/>
      <c r="W2977" s="2"/>
      <c r="X2977" s="2"/>
      <c r="Y2977" s="2"/>
      <c r="Z2977" s="2"/>
    </row>
    <row r="2978">
      <c r="A2978" s="23"/>
      <c r="B2978" s="2"/>
      <c r="C2978" s="2"/>
      <c r="D2978" s="2"/>
      <c r="E2978" s="2"/>
      <c r="F2978" s="2"/>
      <c r="G2978" s="2"/>
      <c r="H2978" s="2"/>
      <c r="I2978" s="2"/>
      <c r="J2978" s="2"/>
      <c r="K2978" s="2"/>
      <c r="L2978" s="24"/>
      <c r="M2978" s="24"/>
      <c r="N2978" s="24"/>
      <c r="O2978" s="24"/>
      <c r="P2978" s="24"/>
      <c r="Q2978" s="2"/>
      <c r="R2978" s="2"/>
      <c r="S2978" s="2"/>
      <c r="T2978" s="2"/>
      <c r="U2978" s="24"/>
      <c r="V2978" s="2"/>
      <c r="W2978" s="2"/>
      <c r="X2978" s="2"/>
      <c r="Y2978" s="2"/>
      <c r="Z2978" s="2"/>
    </row>
    <row r="2979">
      <c r="A2979" s="23"/>
      <c r="B2979" s="2"/>
      <c r="C2979" s="2"/>
      <c r="D2979" s="2"/>
      <c r="E2979" s="2"/>
      <c r="F2979" s="2"/>
      <c r="G2979" s="2"/>
      <c r="H2979" s="2"/>
      <c r="I2979" s="2"/>
      <c r="J2979" s="2"/>
      <c r="K2979" s="2"/>
      <c r="L2979" s="24"/>
      <c r="M2979" s="24"/>
      <c r="N2979" s="24"/>
      <c r="O2979" s="24"/>
      <c r="P2979" s="24"/>
      <c r="Q2979" s="2"/>
      <c r="R2979" s="2"/>
      <c r="S2979" s="2"/>
      <c r="T2979" s="2"/>
      <c r="U2979" s="24"/>
      <c r="V2979" s="2"/>
      <c r="W2979" s="2"/>
      <c r="X2979" s="2"/>
      <c r="Y2979" s="2"/>
      <c r="Z2979" s="2"/>
    </row>
    <row r="2980">
      <c r="A2980" s="23"/>
      <c r="B2980" s="2"/>
      <c r="C2980" s="2"/>
      <c r="D2980" s="2"/>
      <c r="E2980" s="2"/>
      <c r="F2980" s="2"/>
      <c r="G2980" s="2"/>
      <c r="H2980" s="2"/>
      <c r="I2980" s="2"/>
      <c r="J2980" s="2"/>
      <c r="K2980" s="2"/>
      <c r="L2980" s="24"/>
      <c r="M2980" s="24"/>
      <c r="N2980" s="24"/>
      <c r="O2980" s="24"/>
      <c r="P2980" s="24"/>
      <c r="Q2980" s="2"/>
      <c r="R2980" s="2"/>
      <c r="S2980" s="2"/>
      <c r="T2980" s="2"/>
      <c r="U2980" s="24"/>
      <c r="V2980" s="2"/>
      <c r="W2980" s="2"/>
      <c r="X2980" s="2"/>
      <c r="Y2980" s="2"/>
      <c r="Z2980" s="2"/>
    </row>
    <row r="2981">
      <c r="A2981" s="23"/>
      <c r="B2981" s="2"/>
      <c r="C2981" s="2"/>
      <c r="D2981" s="2"/>
      <c r="E2981" s="2"/>
      <c r="F2981" s="2"/>
      <c r="G2981" s="2"/>
      <c r="H2981" s="2"/>
      <c r="I2981" s="2"/>
      <c r="J2981" s="2"/>
      <c r="K2981" s="2"/>
      <c r="L2981" s="24"/>
      <c r="M2981" s="24"/>
      <c r="N2981" s="24"/>
      <c r="O2981" s="24"/>
      <c r="P2981" s="24"/>
      <c r="Q2981" s="2"/>
      <c r="R2981" s="2"/>
      <c r="S2981" s="2"/>
      <c r="T2981" s="2"/>
      <c r="U2981" s="24"/>
      <c r="V2981" s="2"/>
      <c r="W2981" s="2"/>
      <c r="X2981" s="2"/>
      <c r="Y2981" s="2"/>
      <c r="Z2981" s="2"/>
    </row>
    <row r="2982">
      <c r="A2982" s="23"/>
      <c r="B2982" s="2"/>
      <c r="C2982" s="2"/>
      <c r="D2982" s="2"/>
      <c r="E2982" s="2"/>
      <c r="F2982" s="2"/>
      <c r="G2982" s="2"/>
      <c r="H2982" s="2"/>
      <c r="I2982" s="2"/>
      <c r="J2982" s="2"/>
      <c r="K2982" s="2"/>
      <c r="L2982" s="24"/>
      <c r="M2982" s="24"/>
      <c r="N2982" s="24"/>
      <c r="O2982" s="24"/>
      <c r="P2982" s="24"/>
      <c r="Q2982" s="2"/>
      <c r="R2982" s="2"/>
      <c r="S2982" s="2"/>
      <c r="T2982" s="2"/>
      <c r="U2982" s="24"/>
      <c r="V2982" s="2"/>
      <c r="W2982" s="2"/>
      <c r="X2982" s="2"/>
      <c r="Y2982" s="2"/>
      <c r="Z2982" s="2"/>
    </row>
    <row r="2983">
      <c r="A2983" s="23"/>
      <c r="B2983" s="2"/>
      <c r="C2983" s="2"/>
      <c r="D2983" s="2"/>
      <c r="E2983" s="2"/>
      <c r="F2983" s="2"/>
      <c r="G2983" s="2"/>
      <c r="H2983" s="2"/>
      <c r="I2983" s="2"/>
      <c r="J2983" s="2"/>
      <c r="K2983" s="2"/>
      <c r="L2983" s="24"/>
      <c r="M2983" s="24"/>
      <c r="N2983" s="24"/>
      <c r="O2983" s="24"/>
      <c r="P2983" s="24"/>
      <c r="Q2983" s="2"/>
      <c r="R2983" s="2"/>
      <c r="S2983" s="2"/>
      <c r="T2983" s="2"/>
      <c r="U2983" s="24"/>
      <c r="V2983" s="2"/>
      <c r="W2983" s="2"/>
      <c r="X2983" s="2"/>
      <c r="Y2983" s="2"/>
      <c r="Z2983" s="2"/>
    </row>
    <row r="2984">
      <c r="A2984" s="23"/>
      <c r="B2984" s="2"/>
      <c r="C2984" s="2"/>
      <c r="D2984" s="2"/>
      <c r="E2984" s="2"/>
      <c r="F2984" s="2"/>
      <c r="G2984" s="2"/>
      <c r="H2984" s="2"/>
      <c r="I2984" s="2"/>
      <c r="J2984" s="2"/>
      <c r="K2984" s="2"/>
      <c r="L2984" s="24"/>
      <c r="M2984" s="24"/>
      <c r="N2984" s="24"/>
      <c r="O2984" s="24"/>
      <c r="P2984" s="24"/>
      <c r="Q2984" s="2"/>
      <c r="R2984" s="2"/>
      <c r="S2984" s="2"/>
      <c r="T2984" s="2"/>
      <c r="U2984" s="24"/>
      <c r="V2984" s="2"/>
      <c r="W2984" s="2"/>
      <c r="X2984" s="2"/>
      <c r="Y2984" s="2"/>
      <c r="Z2984" s="2"/>
    </row>
    <row r="2985">
      <c r="A2985" s="23"/>
      <c r="B2985" s="2"/>
      <c r="C2985" s="2"/>
      <c r="D2985" s="2"/>
      <c r="E2985" s="2"/>
      <c r="F2985" s="2"/>
      <c r="G2985" s="2"/>
      <c r="H2985" s="2"/>
      <c r="I2985" s="2"/>
      <c r="J2985" s="2"/>
      <c r="K2985" s="2"/>
      <c r="L2985" s="24"/>
      <c r="M2985" s="24"/>
      <c r="N2985" s="24"/>
      <c r="O2985" s="24"/>
      <c r="P2985" s="24"/>
      <c r="Q2985" s="2"/>
      <c r="R2985" s="2"/>
      <c r="S2985" s="2"/>
      <c r="T2985" s="2"/>
      <c r="U2985" s="24"/>
      <c r="V2985" s="2"/>
      <c r="W2985" s="2"/>
      <c r="X2985" s="2"/>
      <c r="Y2985" s="2"/>
      <c r="Z2985" s="2"/>
    </row>
    <row r="2986">
      <c r="A2986" s="23"/>
      <c r="B2986" s="2"/>
      <c r="C2986" s="2"/>
      <c r="D2986" s="2"/>
      <c r="E2986" s="2"/>
      <c r="F2986" s="2"/>
      <c r="G2986" s="2"/>
      <c r="H2986" s="2"/>
      <c r="I2986" s="2"/>
      <c r="J2986" s="2"/>
      <c r="K2986" s="2"/>
      <c r="L2986" s="24"/>
      <c r="M2986" s="24"/>
      <c r="N2986" s="24"/>
      <c r="O2986" s="24"/>
      <c r="P2986" s="24"/>
      <c r="Q2986" s="2"/>
      <c r="R2986" s="2"/>
      <c r="S2986" s="2"/>
      <c r="T2986" s="2"/>
      <c r="U2986" s="24"/>
      <c r="V2986" s="2"/>
      <c r="W2986" s="2"/>
      <c r="X2986" s="2"/>
      <c r="Y2986" s="2"/>
      <c r="Z2986" s="2"/>
    </row>
    <row r="2987">
      <c r="A2987" s="23"/>
      <c r="B2987" s="2"/>
      <c r="C2987" s="2"/>
      <c r="D2987" s="2"/>
      <c r="E2987" s="2"/>
      <c r="F2987" s="2"/>
      <c r="G2987" s="2"/>
      <c r="H2987" s="2"/>
      <c r="I2987" s="2"/>
      <c r="J2987" s="2"/>
      <c r="K2987" s="2"/>
      <c r="L2987" s="24"/>
      <c r="M2987" s="24"/>
      <c r="N2987" s="24"/>
      <c r="O2987" s="24"/>
      <c r="P2987" s="24"/>
      <c r="Q2987" s="2"/>
      <c r="R2987" s="2"/>
      <c r="S2987" s="2"/>
      <c r="T2987" s="2"/>
      <c r="U2987" s="24"/>
      <c r="V2987" s="2"/>
      <c r="W2987" s="2"/>
      <c r="X2987" s="2"/>
      <c r="Y2987" s="2"/>
      <c r="Z2987" s="2"/>
    </row>
    <row r="2988">
      <c r="A2988" s="23"/>
      <c r="B2988" s="2"/>
      <c r="C2988" s="2"/>
      <c r="D2988" s="2"/>
      <c r="E2988" s="2"/>
      <c r="F2988" s="2"/>
      <c r="G2988" s="2"/>
      <c r="H2988" s="2"/>
      <c r="I2988" s="2"/>
      <c r="J2988" s="2"/>
      <c r="K2988" s="2"/>
      <c r="L2988" s="24"/>
      <c r="M2988" s="24"/>
      <c r="N2988" s="24"/>
      <c r="O2988" s="24"/>
      <c r="P2988" s="24"/>
      <c r="Q2988" s="2"/>
      <c r="R2988" s="2"/>
      <c r="S2988" s="2"/>
      <c r="T2988" s="2"/>
      <c r="U2988" s="24"/>
      <c r="V2988" s="2"/>
      <c r="W2988" s="2"/>
      <c r="X2988" s="2"/>
      <c r="Y2988" s="2"/>
      <c r="Z2988" s="2"/>
    </row>
    <row r="2989">
      <c r="A2989" s="23"/>
      <c r="B2989" s="2"/>
      <c r="C2989" s="2"/>
      <c r="D2989" s="2"/>
      <c r="E2989" s="2"/>
      <c r="F2989" s="2"/>
      <c r="G2989" s="2"/>
      <c r="H2989" s="2"/>
      <c r="I2989" s="2"/>
      <c r="J2989" s="2"/>
      <c r="K2989" s="2"/>
      <c r="L2989" s="24"/>
      <c r="M2989" s="24"/>
      <c r="N2989" s="24"/>
      <c r="O2989" s="24"/>
      <c r="P2989" s="24"/>
      <c r="Q2989" s="2"/>
      <c r="R2989" s="2"/>
      <c r="S2989" s="2"/>
      <c r="T2989" s="2"/>
      <c r="U2989" s="24"/>
      <c r="V2989" s="2"/>
      <c r="W2989" s="2"/>
      <c r="X2989" s="2"/>
      <c r="Y2989" s="2"/>
      <c r="Z2989" s="2"/>
    </row>
    <row r="2990">
      <c r="A2990" s="23"/>
      <c r="B2990" s="2"/>
      <c r="C2990" s="2"/>
      <c r="D2990" s="2"/>
      <c r="E2990" s="2"/>
      <c r="F2990" s="2"/>
      <c r="G2990" s="2"/>
      <c r="H2990" s="2"/>
      <c r="I2990" s="2"/>
      <c r="J2990" s="2"/>
      <c r="K2990" s="2"/>
      <c r="L2990" s="24"/>
      <c r="M2990" s="24"/>
      <c r="N2990" s="24"/>
      <c r="O2990" s="24"/>
      <c r="P2990" s="24"/>
      <c r="Q2990" s="2"/>
      <c r="R2990" s="2"/>
      <c r="S2990" s="2"/>
      <c r="T2990" s="2"/>
      <c r="U2990" s="24"/>
      <c r="V2990" s="2"/>
      <c r="W2990" s="2"/>
      <c r="X2990" s="2"/>
      <c r="Y2990" s="2"/>
      <c r="Z2990" s="2"/>
    </row>
    <row r="2991">
      <c r="A2991" s="23"/>
      <c r="B2991" s="2"/>
      <c r="C2991" s="2"/>
      <c r="D2991" s="2"/>
      <c r="E2991" s="2"/>
      <c r="F2991" s="2"/>
      <c r="G2991" s="2"/>
      <c r="H2991" s="2"/>
      <c r="I2991" s="2"/>
      <c r="J2991" s="2"/>
      <c r="K2991" s="2"/>
      <c r="L2991" s="24"/>
      <c r="M2991" s="24"/>
      <c r="N2991" s="24"/>
      <c r="O2991" s="24"/>
      <c r="P2991" s="24"/>
      <c r="Q2991" s="2"/>
      <c r="R2991" s="2"/>
      <c r="S2991" s="2"/>
      <c r="T2991" s="2"/>
      <c r="U2991" s="24"/>
      <c r="V2991" s="2"/>
      <c r="W2991" s="2"/>
      <c r="X2991" s="2"/>
      <c r="Y2991" s="2"/>
      <c r="Z2991" s="2"/>
    </row>
    <row r="2992">
      <c r="A2992" s="23"/>
      <c r="B2992" s="2"/>
      <c r="C2992" s="2"/>
      <c r="D2992" s="2"/>
      <c r="E2992" s="2"/>
      <c r="F2992" s="2"/>
      <c r="G2992" s="2"/>
      <c r="H2992" s="2"/>
      <c r="I2992" s="2"/>
      <c r="J2992" s="2"/>
      <c r="K2992" s="2"/>
      <c r="L2992" s="24"/>
      <c r="M2992" s="24"/>
      <c r="N2992" s="24"/>
      <c r="O2992" s="24"/>
      <c r="P2992" s="24"/>
      <c r="Q2992" s="2"/>
      <c r="R2992" s="2"/>
      <c r="S2992" s="2"/>
      <c r="T2992" s="2"/>
      <c r="U2992" s="24"/>
      <c r="V2992" s="2"/>
      <c r="W2992" s="2"/>
      <c r="X2992" s="2"/>
      <c r="Y2992" s="2"/>
      <c r="Z2992" s="2"/>
    </row>
    <row r="2993">
      <c r="A2993" s="23"/>
      <c r="B2993" s="2"/>
      <c r="C2993" s="2"/>
      <c r="D2993" s="2"/>
      <c r="E2993" s="2"/>
      <c r="F2993" s="2"/>
      <c r="G2993" s="2"/>
      <c r="H2993" s="2"/>
      <c r="I2993" s="2"/>
      <c r="J2993" s="2"/>
      <c r="K2993" s="2"/>
      <c r="L2993" s="24"/>
      <c r="M2993" s="24"/>
      <c r="N2993" s="24"/>
      <c r="O2993" s="24"/>
      <c r="P2993" s="24"/>
      <c r="Q2993" s="2"/>
      <c r="R2993" s="2"/>
      <c r="S2993" s="2"/>
      <c r="T2993" s="2"/>
      <c r="U2993" s="24"/>
      <c r="V2993" s="2"/>
      <c r="W2993" s="2"/>
      <c r="X2993" s="2"/>
      <c r="Y2993" s="2"/>
      <c r="Z2993" s="2"/>
    </row>
    <row r="2994">
      <c r="A2994" s="23"/>
      <c r="B2994" s="2"/>
      <c r="C2994" s="2"/>
      <c r="D2994" s="2"/>
      <c r="E2994" s="2"/>
      <c r="F2994" s="2"/>
      <c r="G2994" s="2"/>
      <c r="H2994" s="2"/>
      <c r="I2994" s="2"/>
      <c r="J2994" s="2"/>
      <c r="K2994" s="2"/>
      <c r="L2994" s="24"/>
      <c r="M2994" s="24"/>
      <c r="N2994" s="24"/>
      <c r="O2994" s="24"/>
      <c r="P2994" s="24"/>
      <c r="Q2994" s="2"/>
      <c r="R2994" s="2"/>
      <c r="S2994" s="2"/>
      <c r="T2994" s="2"/>
      <c r="U2994" s="24"/>
      <c r="V2994" s="2"/>
      <c r="W2994" s="2"/>
      <c r="X2994" s="2"/>
      <c r="Y2994" s="2"/>
      <c r="Z2994" s="2"/>
    </row>
    <row r="2995">
      <c r="A2995" s="23"/>
      <c r="B2995" s="2"/>
      <c r="C2995" s="2"/>
      <c r="D2995" s="2"/>
      <c r="E2995" s="2"/>
      <c r="F2995" s="2"/>
      <c r="G2995" s="2"/>
      <c r="H2995" s="2"/>
      <c r="I2995" s="2"/>
      <c r="J2995" s="2"/>
      <c r="K2995" s="2"/>
      <c r="L2995" s="24"/>
      <c r="M2995" s="24"/>
      <c r="N2995" s="24"/>
      <c r="O2995" s="24"/>
      <c r="P2995" s="24"/>
      <c r="Q2995" s="2"/>
      <c r="R2995" s="2"/>
      <c r="S2995" s="2"/>
      <c r="T2995" s="2"/>
      <c r="U2995" s="24"/>
      <c r="V2995" s="2"/>
      <c r="W2995" s="2"/>
      <c r="X2995" s="2"/>
      <c r="Y2995" s="2"/>
      <c r="Z2995" s="2"/>
    </row>
    <row r="2996">
      <c r="A2996" s="23"/>
      <c r="B2996" s="2"/>
      <c r="C2996" s="2"/>
      <c r="D2996" s="2"/>
      <c r="E2996" s="2"/>
      <c r="F2996" s="2"/>
      <c r="G2996" s="2"/>
      <c r="H2996" s="2"/>
      <c r="I2996" s="2"/>
      <c r="J2996" s="2"/>
      <c r="K2996" s="2"/>
      <c r="L2996" s="24"/>
      <c r="M2996" s="24"/>
      <c r="N2996" s="24"/>
      <c r="O2996" s="24"/>
      <c r="P2996" s="24"/>
      <c r="Q2996" s="2"/>
      <c r="R2996" s="2"/>
      <c r="S2996" s="2"/>
      <c r="T2996" s="2"/>
      <c r="U2996" s="24"/>
      <c r="V2996" s="2"/>
      <c r="W2996" s="2"/>
      <c r="X2996" s="2"/>
      <c r="Y2996" s="2"/>
      <c r="Z2996" s="2"/>
    </row>
    <row r="2997">
      <c r="A2997" s="23"/>
      <c r="B2997" s="2"/>
      <c r="C2997" s="2"/>
      <c r="D2997" s="2"/>
      <c r="E2997" s="2"/>
      <c r="F2997" s="2"/>
      <c r="G2997" s="2"/>
      <c r="H2997" s="2"/>
      <c r="I2997" s="2"/>
      <c r="J2997" s="2"/>
      <c r="K2997" s="2"/>
      <c r="L2997" s="24"/>
      <c r="M2997" s="24"/>
      <c r="N2997" s="24"/>
      <c r="O2997" s="24"/>
      <c r="P2997" s="24"/>
      <c r="Q2997" s="2"/>
      <c r="R2997" s="2"/>
      <c r="S2997" s="2"/>
      <c r="T2997" s="2"/>
      <c r="U2997" s="24"/>
      <c r="V2997" s="2"/>
      <c r="W2997" s="2"/>
      <c r="X2997" s="2"/>
      <c r="Y2997" s="2"/>
      <c r="Z2997" s="2"/>
    </row>
    <row r="2998">
      <c r="A2998" s="23"/>
      <c r="B2998" s="2"/>
      <c r="C2998" s="2"/>
      <c r="D2998" s="2"/>
      <c r="E2998" s="2"/>
      <c r="F2998" s="2"/>
      <c r="G2998" s="2"/>
      <c r="H2998" s="2"/>
      <c r="I2998" s="2"/>
      <c r="J2998" s="2"/>
      <c r="K2998" s="2"/>
      <c r="L2998" s="24"/>
      <c r="M2998" s="24"/>
      <c r="N2998" s="24"/>
      <c r="O2998" s="24"/>
      <c r="P2998" s="24"/>
      <c r="Q2998" s="2"/>
      <c r="R2998" s="2"/>
      <c r="S2998" s="2"/>
      <c r="T2998" s="2"/>
      <c r="U2998" s="24"/>
      <c r="V2998" s="2"/>
      <c r="W2998" s="2"/>
      <c r="X2998" s="2"/>
      <c r="Y2998" s="2"/>
      <c r="Z2998" s="2"/>
    </row>
    <row r="2999">
      <c r="A2999" s="23"/>
      <c r="B2999" s="2"/>
      <c r="C2999" s="2"/>
      <c r="D2999" s="2"/>
      <c r="E2999" s="2"/>
      <c r="F2999" s="2"/>
      <c r="G2999" s="2"/>
      <c r="H2999" s="2"/>
      <c r="I2999" s="2"/>
      <c r="J2999" s="2"/>
      <c r="K2999" s="2"/>
      <c r="L2999" s="24"/>
      <c r="M2999" s="24"/>
      <c r="N2999" s="24"/>
      <c r="O2999" s="24"/>
      <c r="P2999" s="24"/>
      <c r="Q2999" s="2"/>
      <c r="R2999" s="2"/>
      <c r="S2999" s="2"/>
      <c r="T2999" s="2"/>
      <c r="U2999" s="24"/>
      <c r="V2999" s="2"/>
      <c r="W2999" s="2"/>
      <c r="X2999" s="2"/>
      <c r="Y2999" s="2"/>
      <c r="Z2999" s="2"/>
    </row>
    <row r="3000">
      <c r="A3000" s="23"/>
      <c r="B3000" s="2"/>
      <c r="C3000" s="2"/>
      <c r="D3000" s="2"/>
      <c r="E3000" s="2"/>
      <c r="F3000" s="2"/>
      <c r="G3000" s="2"/>
      <c r="H3000" s="2"/>
      <c r="I3000" s="2"/>
      <c r="J3000" s="2"/>
      <c r="K3000" s="2"/>
      <c r="L3000" s="24"/>
      <c r="M3000" s="24"/>
      <c r="N3000" s="24"/>
      <c r="O3000" s="24"/>
      <c r="P3000" s="24"/>
      <c r="Q3000" s="2"/>
      <c r="R3000" s="2"/>
      <c r="S3000" s="2"/>
      <c r="T3000" s="2"/>
      <c r="U3000" s="24"/>
      <c r="V3000" s="2"/>
      <c r="W3000" s="2"/>
      <c r="X3000" s="2"/>
      <c r="Y3000" s="2"/>
      <c r="Z3000" s="2"/>
    </row>
    <row r="3001">
      <c r="A3001" s="23"/>
      <c r="B3001" s="2"/>
      <c r="C3001" s="2"/>
      <c r="D3001" s="2"/>
      <c r="E3001" s="2"/>
      <c r="F3001" s="2"/>
      <c r="G3001" s="2"/>
      <c r="H3001" s="2"/>
      <c r="I3001" s="2"/>
      <c r="J3001" s="2"/>
      <c r="K3001" s="2"/>
      <c r="L3001" s="24"/>
      <c r="M3001" s="24"/>
      <c r="N3001" s="24"/>
      <c r="O3001" s="24"/>
      <c r="P3001" s="24"/>
      <c r="Q3001" s="2"/>
      <c r="R3001" s="2"/>
      <c r="S3001" s="2"/>
      <c r="T3001" s="2"/>
      <c r="U3001" s="24"/>
      <c r="V3001" s="2"/>
      <c r="W3001" s="2"/>
      <c r="X3001" s="2"/>
      <c r="Y3001" s="2"/>
      <c r="Z3001" s="2"/>
    </row>
    <row r="3002">
      <c r="A3002" s="23"/>
      <c r="B3002" s="2"/>
      <c r="C3002" s="2"/>
      <c r="D3002" s="2"/>
      <c r="E3002" s="2"/>
      <c r="F3002" s="2"/>
      <c r="G3002" s="2"/>
      <c r="H3002" s="2"/>
      <c r="I3002" s="2"/>
      <c r="J3002" s="2"/>
      <c r="K3002" s="2"/>
      <c r="L3002" s="24"/>
      <c r="M3002" s="24"/>
      <c r="N3002" s="24"/>
      <c r="O3002" s="24"/>
      <c r="P3002" s="24"/>
      <c r="Q3002" s="2"/>
      <c r="R3002" s="2"/>
      <c r="S3002" s="2"/>
      <c r="T3002" s="2"/>
      <c r="U3002" s="24"/>
      <c r="V3002" s="2"/>
      <c r="W3002" s="2"/>
      <c r="X3002" s="2"/>
      <c r="Y3002" s="2"/>
      <c r="Z3002" s="2"/>
    </row>
    <row r="3003">
      <c r="A3003" s="23"/>
      <c r="B3003" s="2"/>
      <c r="C3003" s="2"/>
      <c r="D3003" s="2"/>
      <c r="E3003" s="2"/>
      <c r="F3003" s="2"/>
      <c r="G3003" s="2"/>
      <c r="H3003" s="2"/>
      <c r="I3003" s="2"/>
      <c r="J3003" s="2"/>
      <c r="K3003" s="2"/>
      <c r="L3003" s="24"/>
      <c r="M3003" s="24"/>
      <c r="N3003" s="24"/>
      <c r="O3003" s="24"/>
      <c r="P3003" s="24"/>
      <c r="Q3003" s="2"/>
      <c r="R3003" s="2"/>
      <c r="S3003" s="2"/>
      <c r="T3003" s="2"/>
      <c r="U3003" s="24"/>
      <c r="V3003" s="2"/>
      <c r="W3003" s="2"/>
      <c r="X3003" s="2"/>
      <c r="Y3003" s="2"/>
      <c r="Z3003" s="2"/>
    </row>
    <row r="3004">
      <c r="A3004" s="23"/>
      <c r="B3004" s="2"/>
      <c r="C3004" s="2"/>
      <c r="D3004" s="2"/>
      <c r="E3004" s="2"/>
      <c r="F3004" s="2"/>
      <c r="G3004" s="2"/>
      <c r="H3004" s="2"/>
      <c r="I3004" s="2"/>
      <c r="J3004" s="2"/>
      <c r="K3004" s="2"/>
      <c r="L3004" s="24"/>
      <c r="M3004" s="24"/>
      <c r="N3004" s="24"/>
      <c r="O3004" s="24"/>
      <c r="P3004" s="24"/>
      <c r="Q3004" s="2"/>
      <c r="R3004" s="2"/>
      <c r="S3004" s="2"/>
      <c r="T3004" s="2"/>
      <c r="U3004" s="24"/>
      <c r="V3004" s="2"/>
      <c r="W3004" s="2"/>
      <c r="X3004" s="2"/>
      <c r="Y3004" s="2"/>
      <c r="Z3004" s="2"/>
    </row>
    <row r="3005">
      <c r="A3005" s="23"/>
      <c r="B3005" s="2"/>
      <c r="C3005" s="2"/>
      <c r="D3005" s="2"/>
      <c r="E3005" s="2"/>
      <c r="F3005" s="2"/>
      <c r="G3005" s="2"/>
      <c r="H3005" s="2"/>
      <c r="I3005" s="2"/>
      <c r="J3005" s="2"/>
      <c r="K3005" s="2"/>
      <c r="L3005" s="24"/>
      <c r="M3005" s="24"/>
      <c r="N3005" s="24"/>
      <c r="O3005" s="24"/>
      <c r="P3005" s="24"/>
      <c r="Q3005" s="2"/>
      <c r="R3005" s="2"/>
      <c r="S3005" s="2"/>
      <c r="T3005" s="2"/>
      <c r="U3005" s="24"/>
      <c r="V3005" s="2"/>
      <c r="W3005" s="2"/>
      <c r="X3005" s="2"/>
      <c r="Y3005" s="2"/>
      <c r="Z3005" s="2"/>
    </row>
    <row r="3006">
      <c r="A3006" s="23"/>
      <c r="B3006" s="2"/>
      <c r="C3006" s="2"/>
      <c r="D3006" s="2"/>
      <c r="E3006" s="2"/>
      <c r="F3006" s="2"/>
      <c r="G3006" s="2"/>
      <c r="H3006" s="2"/>
      <c r="I3006" s="2"/>
      <c r="J3006" s="2"/>
      <c r="K3006" s="2"/>
      <c r="L3006" s="24"/>
      <c r="M3006" s="24"/>
      <c r="N3006" s="24"/>
      <c r="O3006" s="24"/>
      <c r="P3006" s="24"/>
      <c r="Q3006" s="2"/>
      <c r="R3006" s="2"/>
      <c r="S3006" s="2"/>
      <c r="T3006" s="2"/>
      <c r="U3006" s="24"/>
      <c r="V3006" s="2"/>
      <c r="W3006" s="2"/>
      <c r="X3006" s="2"/>
      <c r="Y3006" s="2"/>
      <c r="Z3006" s="2"/>
    </row>
    <row r="3007">
      <c r="A3007" s="23"/>
      <c r="B3007" s="2"/>
      <c r="C3007" s="2"/>
      <c r="D3007" s="2"/>
      <c r="E3007" s="2"/>
      <c r="F3007" s="2"/>
      <c r="G3007" s="2"/>
      <c r="H3007" s="2"/>
      <c r="I3007" s="2"/>
      <c r="J3007" s="2"/>
      <c r="K3007" s="2"/>
      <c r="L3007" s="24"/>
      <c r="M3007" s="24"/>
      <c r="N3007" s="24"/>
      <c r="O3007" s="24"/>
      <c r="P3007" s="24"/>
      <c r="Q3007" s="2"/>
      <c r="R3007" s="2"/>
      <c r="S3007" s="2"/>
      <c r="T3007" s="2"/>
      <c r="U3007" s="24"/>
      <c r="V3007" s="2"/>
      <c r="W3007" s="2"/>
      <c r="X3007" s="2"/>
      <c r="Y3007" s="2"/>
      <c r="Z3007" s="2"/>
    </row>
    <row r="3008">
      <c r="A3008" s="23"/>
      <c r="B3008" s="2"/>
      <c r="C3008" s="2"/>
      <c r="D3008" s="2"/>
      <c r="E3008" s="2"/>
      <c r="F3008" s="2"/>
      <c r="G3008" s="2"/>
      <c r="H3008" s="2"/>
      <c r="I3008" s="2"/>
      <c r="J3008" s="2"/>
      <c r="K3008" s="2"/>
      <c r="L3008" s="24"/>
      <c r="M3008" s="24"/>
      <c r="N3008" s="24"/>
      <c r="O3008" s="24"/>
      <c r="P3008" s="24"/>
      <c r="Q3008" s="2"/>
      <c r="R3008" s="2"/>
      <c r="S3008" s="2"/>
      <c r="T3008" s="2"/>
      <c r="U3008" s="24"/>
      <c r="V3008" s="2"/>
      <c r="W3008" s="2"/>
      <c r="X3008" s="2"/>
      <c r="Y3008" s="2"/>
      <c r="Z3008" s="2"/>
    </row>
    <row r="3009">
      <c r="A3009" s="23"/>
      <c r="B3009" s="2"/>
      <c r="C3009" s="2"/>
      <c r="D3009" s="2"/>
      <c r="E3009" s="2"/>
      <c r="F3009" s="2"/>
      <c r="G3009" s="2"/>
      <c r="H3009" s="2"/>
      <c r="I3009" s="2"/>
      <c r="J3009" s="2"/>
      <c r="K3009" s="2"/>
      <c r="L3009" s="24"/>
      <c r="M3009" s="24"/>
      <c r="N3009" s="24"/>
      <c r="O3009" s="24"/>
      <c r="P3009" s="24"/>
      <c r="Q3009" s="2"/>
      <c r="R3009" s="2"/>
      <c r="S3009" s="2"/>
      <c r="T3009" s="2"/>
      <c r="U3009" s="24"/>
      <c r="V3009" s="2"/>
      <c r="W3009" s="2"/>
      <c r="X3009" s="2"/>
      <c r="Y3009" s="2"/>
      <c r="Z3009" s="2"/>
    </row>
    <row r="3010">
      <c r="A3010" s="23"/>
      <c r="B3010" s="2"/>
      <c r="C3010" s="2"/>
      <c r="D3010" s="2"/>
      <c r="E3010" s="2"/>
      <c r="F3010" s="2"/>
      <c r="G3010" s="2"/>
      <c r="H3010" s="2"/>
      <c r="I3010" s="2"/>
      <c r="J3010" s="2"/>
      <c r="K3010" s="2"/>
      <c r="L3010" s="24"/>
      <c r="M3010" s="24"/>
      <c r="N3010" s="24"/>
      <c r="O3010" s="24"/>
      <c r="P3010" s="24"/>
      <c r="Q3010" s="2"/>
      <c r="R3010" s="2"/>
      <c r="S3010" s="2"/>
      <c r="T3010" s="2"/>
      <c r="U3010" s="24"/>
      <c r="V3010" s="2"/>
      <c r="W3010" s="2"/>
      <c r="X3010" s="2"/>
      <c r="Y3010" s="2"/>
      <c r="Z3010" s="2"/>
    </row>
    <row r="3011">
      <c r="A3011" s="23"/>
      <c r="B3011" s="2"/>
      <c r="C3011" s="2"/>
      <c r="D3011" s="2"/>
      <c r="E3011" s="2"/>
      <c r="F3011" s="2"/>
      <c r="G3011" s="2"/>
      <c r="H3011" s="2"/>
      <c r="I3011" s="2"/>
      <c r="J3011" s="2"/>
      <c r="K3011" s="2"/>
      <c r="L3011" s="24"/>
      <c r="M3011" s="24"/>
      <c r="N3011" s="24"/>
      <c r="O3011" s="24"/>
      <c r="P3011" s="24"/>
      <c r="Q3011" s="2"/>
      <c r="R3011" s="2"/>
      <c r="S3011" s="2"/>
      <c r="T3011" s="2"/>
      <c r="U3011" s="24"/>
      <c r="V3011" s="2"/>
      <c r="W3011" s="2"/>
      <c r="X3011" s="2"/>
      <c r="Y3011" s="2"/>
      <c r="Z3011" s="2"/>
    </row>
    <row r="3012">
      <c r="A3012" s="23"/>
      <c r="B3012" s="2"/>
      <c r="C3012" s="2"/>
      <c r="D3012" s="2"/>
      <c r="E3012" s="2"/>
      <c r="F3012" s="2"/>
      <c r="G3012" s="2"/>
      <c r="H3012" s="2"/>
      <c r="I3012" s="2"/>
      <c r="J3012" s="2"/>
      <c r="K3012" s="2"/>
      <c r="L3012" s="24"/>
      <c r="M3012" s="24"/>
      <c r="N3012" s="24"/>
      <c r="O3012" s="24"/>
      <c r="P3012" s="24"/>
      <c r="Q3012" s="2"/>
      <c r="R3012" s="2"/>
      <c r="S3012" s="2"/>
      <c r="T3012" s="2"/>
      <c r="U3012" s="24"/>
      <c r="V3012" s="2"/>
      <c r="W3012" s="2"/>
      <c r="X3012" s="2"/>
      <c r="Y3012" s="2"/>
      <c r="Z3012" s="2"/>
    </row>
    <row r="3013">
      <c r="A3013" s="23"/>
      <c r="B3013" s="2"/>
      <c r="C3013" s="2"/>
      <c r="D3013" s="2"/>
      <c r="E3013" s="2"/>
      <c r="F3013" s="2"/>
      <c r="G3013" s="2"/>
      <c r="H3013" s="2"/>
      <c r="I3013" s="2"/>
      <c r="J3013" s="2"/>
      <c r="K3013" s="2"/>
      <c r="L3013" s="24"/>
      <c r="M3013" s="24"/>
      <c r="N3013" s="24"/>
      <c r="O3013" s="24"/>
      <c r="P3013" s="24"/>
      <c r="Q3013" s="2"/>
      <c r="R3013" s="2"/>
      <c r="S3013" s="2"/>
      <c r="T3013" s="2"/>
      <c r="U3013" s="24"/>
      <c r="V3013" s="2"/>
      <c r="W3013" s="2"/>
      <c r="X3013" s="2"/>
      <c r="Y3013" s="2"/>
      <c r="Z3013" s="2"/>
    </row>
    <row r="3014">
      <c r="A3014" s="23"/>
      <c r="B3014" s="2"/>
      <c r="C3014" s="2"/>
      <c r="D3014" s="2"/>
      <c r="E3014" s="2"/>
      <c r="F3014" s="2"/>
      <c r="G3014" s="2"/>
      <c r="H3014" s="2"/>
      <c r="I3014" s="2"/>
      <c r="J3014" s="2"/>
      <c r="K3014" s="2"/>
      <c r="L3014" s="24"/>
      <c r="M3014" s="24"/>
      <c r="N3014" s="24"/>
      <c r="O3014" s="24"/>
      <c r="P3014" s="24"/>
      <c r="Q3014" s="2"/>
      <c r="R3014" s="2"/>
      <c r="S3014" s="2"/>
      <c r="T3014" s="2"/>
      <c r="U3014" s="24"/>
      <c r="V3014" s="2"/>
      <c r="W3014" s="2"/>
      <c r="X3014" s="2"/>
      <c r="Y3014" s="2"/>
      <c r="Z3014" s="2"/>
    </row>
    <row r="3015">
      <c r="A3015" s="23"/>
      <c r="B3015" s="2"/>
      <c r="C3015" s="2"/>
      <c r="D3015" s="2"/>
      <c r="E3015" s="2"/>
      <c r="F3015" s="2"/>
      <c r="G3015" s="2"/>
      <c r="H3015" s="2"/>
      <c r="I3015" s="2"/>
      <c r="J3015" s="2"/>
      <c r="K3015" s="2"/>
      <c r="L3015" s="24"/>
      <c r="M3015" s="24"/>
      <c r="N3015" s="24"/>
      <c r="O3015" s="24"/>
      <c r="P3015" s="24"/>
      <c r="Q3015" s="2"/>
      <c r="R3015" s="2"/>
      <c r="S3015" s="2"/>
      <c r="T3015" s="2"/>
      <c r="U3015" s="24"/>
      <c r="V3015" s="2"/>
      <c r="W3015" s="2"/>
      <c r="X3015" s="2"/>
      <c r="Y3015" s="2"/>
      <c r="Z3015" s="2"/>
    </row>
    <row r="3016">
      <c r="A3016" s="23"/>
      <c r="B3016" s="2"/>
      <c r="C3016" s="2"/>
      <c r="D3016" s="2"/>
      <c r="E3016" s="2"/>
      <c r="F3016" s="2"/>
      <c r="G3016" s="2"/>
      <c r="H3016" s="2"/>
      <c r="I3016" s="2"/>
      <c r="J3016" s="2"/>
      <c r="K3016" s="2"/>
      <c r="L3016" s="24"/>
      <c r="M3016" s="24"/>
      <c r="N3016" s="24"/>
      <c r="O3016" s="24"/>
      <c r="P3016" s="24"/>
      <c r="Q3016" s="2"/>
      <c r="R3016" s="2"/>
      <c r="S3016" s="2"/>
      <c r="T3016" s="2"/>
      <c r="U3016" s="24"/>
      <c r="V3016" s="2"/>
      <c r="W3016" s="2"/>
      <c r="X3016" s="2"/>
      <c r="Y3016" s="2"/>
      <c r="Z3016" s="2"/>
    </row>
    <row r="3017">
      <c r="A3017" s="23"/>
      <c r="B3017" s="2"/>
      <c r="C3017" s="2"/>
      <c r="D3017" s="2"/>
      <c r="E3017" s="2"/>
      <c r="F3017" s="2"/>
      <c r="G3017" s="2"/>
      <c r="H3017" s="2"/>
      <c r="I3017" s="2"/>
      <c r="J3017" s="2"/>
      <c r="K3017" s="2"/>
      <c r="L3017" s="24"/>
      <c r="M3017" s="24"/>
      <c r="N3017" s="24"/>
      <c r="O3017" s="24"/>
      <c r="P3017" s="24"/>
      <c r="Q3017" s="2"/>
      <c r="R3017" s="2"/>
      <c r="S3017" s="2"/>
      <c r="T3017" s="2"/>
      <c r="U3017" s="24"/>
      <c r="V3017" s="2"/>
      <c r="W3017" s="2"/>
      <c r="X3017" s="2"/>
      <c r="Y3017" s="2"/>
      <c r="Z3017" s="2"/>
    </row>
    <row r="3018">
      <c r="A3018" s="23"/>
      <c r="B3018" s="2"/>
      <c r="C3018" s="2"/>
      <c r="D3018" s="2"/>
      <c r="E3018" s="2"/>
      <c r="F3018" s="2"/>
      <c r="G3018" s="2"/>
      <c r="H3018" s="2"/>
      <c r="I3018" s="2"/>
      <c r="J3018" s="2"/>
      <c r="K3018" s="2"/>
      <c r="L3018" s="24"/>
      <c r="M3018" s="24"/>
      <c r="N3018" s="24"/>
      <c r="O3018" s="24"/>
      <c r="P3018" s="24"/>
      <c r="Q3018" s="2"/>
      <c r="R3018" s="2"/>
      <c r="S3018" s="2"/>
      <c r="T3018" s="2"/>
      <c r="U3018" s="24"/>
      <c r="V3018" s="2"/>
      <c r="W3018" s="2"/>
      <c r="X3018" s="2"/>
      <c r="Y3018" s="2"/>
      <c r="Z3018" s="2"/>
    </row>
    <row r="3019">
      <c r="A3019" s="23"/>
      <c r="B3019" s="2"/>
      <c r="C3019" s="2"/>
      <c r="D3019" s="2"/>
      <c r="E3019" s="2"/>
      <c r="F3019" s="2"/>
      <c r="G3019" s="2"/>
      <c r="H3019" s="2"/>
      <c r="I3019" s="2"/>
      <c r="J3019" s="2"/>
      <c r="K3019" s="2"/>
      <c r="L3019" s="24"/>
      <c r="M3019" s="24"/>
      <c r="N3019" s="24"/>
      <c r="O3019" s="24"/>
      <c r="P3019" s="24"/>
      <c r="Q3019" s="2"/>
      <c r="R3019" s="2"/>
      <c r="S3019" s="2"/>
      <c r="T3019" s="2"/>
      <c r="U3019" s="24"/>
      <c r="V3019" s="2"/>
      <c r="W3019" s="2"/>
      <c r="X3019" s="2"/>
      <c r="Y3019" s="2"/>
      <c r="Z3019" s="2"/>
    </row>
    <row r="3020">
      <c r="A3020" s="23"/>
      <c r="B3020" s="2"/>
      <c r="C3020" s="2"/>
      <c r="D3020" s="2"/>
      <c r="E3020" s="2"/>
      <c r="F3020" s="2"/>
      <c r="G3020" s="2"/>
      <c r="H3020" s="2"/>
      <c r="I3020" s="2"/>
      <c r="J3020" s="2"/>
      <c r="K3020" s="2"/>
      <c r="L3020" s="24"/>
      <c r="M3020" s="24"/>
      <c r="N3020" s="24"/>
      <c r="O3020" s="24"/>
      <c r="P3020" s="24"/>
      <c r="Q3020" s="2"/>
      <c r="R3020" s="2"/>
      <c r="S3020" s="2"/>
      <c r="T3020" s="2"/>
      <c r="U3020" s="24"/>
      <c r="V3020" s="2"/>
      <c r="W3020" s="2"/>
      <c r="X3020" s="2"/>
      <c r="Y3020" s="2"/>
      <c r="Z3020" s="2"/>
    </row>
    <row r="3021">
      <c r="A3021" s="23"/>
      <c r="B3021" s="2"/>
      <c r="C3021" s="2"/>
      <c r="D3021" s="2"/>
      <c r="E3021" s="2"/>
      <c r="F3021" s="2"/>
      <c r="G3021" s="2"/>
      <c r="H3021" s="2"/>
      <c r="I3021" s="2"/>
      <c r="J3021" s="2"/>
      <c r="K3021" s="2"/>
      <c r="L3021" s="24"/>
      <c r="M3021" s="24"/>
      <c r="N3021" s="24"/>
      <c r="O3021" s="24"/>
      <c r="P3021" s="24"/>
      <c r="Q3021" s="2"/>
      <c r="R3021" s="2"/>
      <c r="S3021" s="2"/>
      <c r="T3021" s="2"/>
      <c r="U3021" s="24"/>
      <c r="V3021" s="2"/>
      <c r="W3021" s="2"/>
      <c r="X3021" s="2"/>
      <c r="Y3021" s="2"/>
      <c r="Z3021" s="2"/>
    </row>
    <row r="3022">
      <c r="A3022" s="23"/>
      <c r="B3022" s="2"/>
      <c r="C3022" s="2"/>
      <c r="D3022" s="2"/>
      <c r="E3022" s="2"/>
      <c r="F3022" s="2"/>
      <c r="G3022" s="2"/>
      <c r="H3022" s="2"/>
      <c r="I3022" s="2"/>
      <c r="J3022" s="2"/>
      <c r="K3022" s="2"/>
      <c r="L3022" s="24"/>
      <c r="M3022" s="24"/>
      <c r="N3022" s="24"/>
      <c r="O3022" s="24"/>
      <c r="P3022" s="24"/>
      <c r="Q3022" s="2"/>
      <c r="R3022" s="2"/>
      <c r="S3022" s="2"/>
      <c r="T3022" s="2"/>
      <c r="U3022" s="24"/>
      <c r="V3022" s="2"/>
      <c r="W3022" s="2"/>
      <c r="X3022" s="2"/>
      <c r="Y3022" s="2"/>
      <c r="Z3022" s="2"/>
    </row>
    <row r="3023">
      <c r="A3023" s="23"/>
      <c r="B3023" s="2"/>
      <c r="C3023" s="2"/>
      <c r="D3023" s="2"/>
      <c r="E3023" s="2"/>
      <c r="F3023" s="2"/>
      <c r="G3023" s="2"/>
      <c r="H3023" s="2"/>
      <c r="I3023" s="2"/>
      <c r="J3023" s="2"/>
      <c r="K3023" s="2"/>
      <c r="L3023" s="24"/>
      <c r="M3023" s="24"/>
      <c r="N3023" s="24"/>
      <c r="O3023" s="24"/>
      <c r="P3023" s="24"/>
      <c r="Q3023" s="2"/>
      <c r="R3023" s="2"/>
      <c r="S3023" s="2"/>
      <c r="T3023" s="2"/>
      <c r="U3023" s="24"/>
      <c r="V3023" s="2"/>
      <c r="W3023" s="2"/>
      <c r="X3023" s="2"/>
      <c r="Y3023" s="2"/>
      <c r="Z3023" s="2"/>
    </row>
    <row r="3024">
      <c r="A3024" s="23"/>
      <c r="B3024" s="2"/>
      <c r="C3024" s="2"/>
      <c r="D3024" s="2"/>
      <c r="E3024" s="2"/>
      <c r="F3024" s="2"/>
      <c r="G3024" s="2"/>
      <c r="H3024" s="2"/>
      <c r="I3024" s="2"/>
      <c r="J3024" s="2"/>
      <c r="K3024" s="2"/>
      <c r="L3024" s="24"/>
      <c r="M3024" s="24"/>
      <c r="N3024" s="24"/>
      <c r="O3024" s="24"/>
      <c r="P3024" s="24"/>
      <c r="Q3024" s="2"/>
      <c r="R3024" s="2"/>
      <c r="S3024" s="2"/>
      <c r="T3024" s="2"/>
      <c r="U3024" s="24"/>
      <c r="V3024" s="2"/>
      <c r="W3024" s="2"/>
      <c r="X3024" s="2"/>
      <c r="Y3024" s="2"/>
      <c r="Z3024" s="2"/>
    </row>
    <row r="3025">
      <c r="A3025" s="23"/>
      <c r="B3025" s="2"/>
      <c r="C3025" s="2"/>
      <c r="D3025" s="2"/>
      <c r="E3025" s="2"/>
      <c r="F3025" s="2"/>
      <c r="G3025" s="2"/>
      <c r="H3025" s="2"/>
      <c r="I3025" s="2"/>
      <c r="J3025" s="2"/>
      <c r="K3025" s="2"/>
      <c r="L3025" s="24"/>
      <c r="M3025" s="24"/>
      <c r="N3025" s="24"/>
      <c r="O3025" s="24"/>
      <c r="P3025" s="24"/>
      <c r="Q3025" s="2"/>
      <c r="R3025" s="2"/>
      <c r="S3025" s="2"/>
      <c r="T3025" s="2"/>
      <c r="U3025" s="24"/>
      <c r="V3025" s="2"/>
      <c r="W3025" s="2"/>
      <c r="X3025" s="2"/>
      <c r="Y3025" s="2"/>
      <c r="Z3025" s="2"/>
    </row>
    <row r="3026">
      <c r="A3026" s="23"/>
      <c r="B3026" s="2"/>
      <c r="C3026" s="2"/>
      <c r="D3026" s="2"/>
      <c r="E3026" s="2"/>
      <c r="F3026" s="2"/>
      <c r="G3026" s="2"/>
      <c r="H3026" s="2"/>
      <c r="I3026" s="2"/>
      <c r="J3026" s="2"/>
      <c r="K3026" s="2"/>
      <c r="L3026" s="24"/>
      <c r="M3026" s="24"/>
      <c r="N3026" s="24"/>
      <c r="O3026" s="24"/>
      <c r="P3026" s="24"/>
      <c r="Q3026" s="2"/>
      <c r="R3026" s="2"/>
      <c r="S3026" s="2"/>
      <c r="T3026" s="2"/>
      <c r="U3026" s="24"/>
      <c r="V3026" s="2"/>
      <c r="W3026" s="2"/>
      <c r="X3026" s="2"/>
      <c r="Y3026" s="2"/>
      <c r="Z3026" s="2"/>
    </row>
    <row r="3027">
      <c r="A3027" s="23"/>
      <c r="B3027" s="2"/>
      <c r="C3027" s="2"/>
      <c r="D3027" s="2"/>
      <c r="E3027" s="2"/>
      <c r="F3027" s="2"/>
      <c r="G3027" s="2"/>
      <c r="H3027" s="2"/>
      <c r="I3027" s="2"/>
      <c r="J3027" s="2"/>
      <c r="K3027" s="2"/>
      <c r="L3027" s="24"/>
      <c r="M3027" s="24"/>
      <c r="N3027" s="24"/>
      <c r="O3027" s="24"/>
      <c r="P3027" s="24"/>
      <c r="Q3027" s="2"/>
      <c r="R3027" s="2"/>
      <c r="S3027" s="2"/>
      <c r="T3027" s="2"/>
      <c r="U3027" s="24"/>
      <c r="V3027" s="2"/>
      <c r="W3027" s="2"/>
      <c r="X3027" s="2"/>
      <c r="Y3027" s="2"/>
      <c r="Z3027" s="2"/>
    </row>
    <row r="3028">
      <c r="A3028" s="23"/>
      <c r="B3028" s="2"/>
      <c r="C3028" s="2"/>
      <c r="D3028" s="2"/>
      <c r="E3028" s="2"/>
      <c r="F3028" s="2"/>
      <c r="G3028" s="2"/>
      <c r="H3028" s="2"/>
      <c r="I3028" s="2"/>
      <c r="J3028" s="2"/>
      <c r="K3028" s="2"/>
      <c r="L3028" s="24"/>
      <c r="M3028" s="24"/>
      <c r="N3028" s="24"/>
      <c r="O3028" s="24"/>
      <c r="P3028" s="24"/>
      <c r="Q3028" s="2"/>
      <c r="R3028" s="2"/>
      <c r="S3028" s="2"/>
      <c r="T3028" s="2"/>
      <c r="U3028" s="24"/>
      <c r="V3028" s="2"/>
      <c r="W3028" s="2"/>
      <c r="X3028" s="2"/>
      <c r="Y3028" s="2"/>
      <c r="Z3028" s="2"/>
    </row>
    <row r="3029">
      <c r="A3029" s="23"/>
      <c r="B3029" s="2"/>
      <c r="C3029" s="2"/>
      <c r="D3029" s="2"/>
      <c r="E3029" s="2"/>
      <c r="F3029" s="2"/>
      <c r="G3029" s="2"/>
      <c r="H3029" s="2"/>
      <c r="I3029" s="2"/>
      <c r="J3029" s="2"/>
      <c r="K3029" s="2"/>
      <c r="L3029" s="24"/>
      <c r="M3029" s="24"/>
      <c r="N3029" s="24"/>
      <c r="O3029" s="24"/>
      <c r="P3029" s="24"/>
      <c r="Q3029" s="2"/>
      <c r="R3029" s="2"/>
      <c r="S3029" s="2"/>
      <c r="T3029" s="2"/>
      <c r="U3029" s="24"/>
      <c r="V3029" s="2"/>
      <c r="W3029" s="2"/>
      <c r="X3029" s="2"/>
      <c r="Y3029" s="2"/>
      <c r="Z3029" s="2"/>
    </row>
    <row r="3030">
      <c r="A3030" s="23"/>
      <c r="B3030" s="2"/>
      <c r="C3030" s="2"/>
      <c r="D3030" s="2"/>
      <c r="E3030" s="2"/>
      <c r="F3030" s="2"/>
      <c r="G3030" s="2"/>
      <c r="H3030" s="2"/>
      <c r="I3030" s="2"/>
      <c r="J3030" s="2"/>
      <c r="K3030" s="2"/>
      <c r="L3030" s="24"/>
      <c r="M3030" s="24"/>
      <c r="N3030" s="24"/>
      <c r="O3030" s="24"/>
      <c r="P3030" s="24"/>
      <c r="Q3030" s="2"/>
      <c r="R3030" s="2"/>
      <c r="S3030" s="2"/>
      <c r="T3030" s="2"/>
      <c r="U3030" s="24"/>
      <c r="V3030" s="2"/>
      <c r="W3030" s="2"/>
      <c r="X3030" s="2"/>
      <c r="Y3030" s="2"/>
      <c r="Z3030" s="2"/>
    </row>
    <row r="3031">
      <c r="A3031" s="23"/>
      <c r="B3031" s="2"/>
      <c r="C3031" s="2"/>
      <c r="D3031" s="2"/>
      <c r="E3031" s="2"/>
      <c r="F3031" s="2"/>
      <c r="G3031" s="2"/>
      <c r="H3031" s="2"/>
      <c r="I3031" s="2"/>
      <c r="J3031" s="2"/>
      <c r="K3031" s="2"/>
      <c r="L3031" s="24"/>
      <c r="M3031" s="24"/>
      <c r="N3031" s="24"/>
      <c r="O3031" s="24"/>
      <c r="P3031" s="24"/>
      <c r="Q3031" s="2"/>
      <c r="R3031" s="2"/>
      <c r="S3031" s="2"/>
      <c r="T3031" s="2"/>
      <c r="U3031" s="24"/>
      <c r="V3031" s="2"/>
      <c r="W3031" s="2"/>
      <c r="X3031" s="2"/>
      <c r="Y3031" s="2"/>
      <c r="Z3031" s="2"/>
    </row>
    <row r="3032">
      <c r="A3032" s="23"/>
      <c r="B3032" s="2"/>
      <c r="C3032" s="2"/>
      <c r="D3032" s="2"/>
      <c r="E3032" s="2"/>
      <c r="F3032" s="2"/>
      <c r="G3032" s="2"/>
      <c r="H3032" s="2"/>
      <c r="I3032" s="2"/>
      <c r="J3032" s="2"/>
      <c r="K3032" s="2"/>
      <c r="L3032" s="24"/>
      <c r="M3032" s="24"/>
      <c r="N3032" s="24"/>
      <c r="O3032" s="24"/>
      <c r="P3032" s="24"/>
      <c r="Q3032" s="2"/>
      <c r="R3032" s="2"/>
      <c r="S3032" s="2"/>
      <c r="T3032" s="2"/>
      <c r="U3032" s="24"/>
      <c r="V3032" s="2"/>
      <c r="W3032" s="2"/>
      <c r="X3032" s="2"/>
      <c r="Y3032" s="2"/>
      <c r="Z3032" s="2"/>
    </row>
    <row r="3033">
      <c r="A3033" s="23"/>
      <c r="B3033" s="2"/>
      <c r="C3033" s="2"/>
      <c r="D3033" s="2"/>
      <c r="E3033" s="2"/>
      <c r="F3033" s="2"/>
      <c r="G3033" s="2"/>
      <c r="H3033" s="2"/>
      <c r="I3033" s="2"/>
      <c r="J3033" s="2"/>
      <c r="K3033" s="2"/>
      <c r="L3033" s="24"/>
      <c r="M3033" s="24"/>
      <c r="N3033" s="24"/>
      <c r="O3033" s="24"/>
      <c r="P3033" s="24"/>
      <c r="Q3033" s="2"/>
      <c r="R3033" s="2"/>
      <c r="S3033" s="2"/>
      <c r="T3033" s="2"/>
      <c r="U3033" s="24"/>
      <c r="V3033" s="2"/>
      <c r="W3033" s="2"/>
      <c r="X3033" s="2"/>
      <c r="Y3033" s="2"/>
      <c r="Z3033" s="2"/>
    </row>
    <row r="3034">
      <c r="A3034" s="23"/>
      <c r="B3034" s="2"/>
      <c r="C3034" s="2"/>
      <c r="D3034" s="2"/>
      <c r="E3034" s="2"/>
      <c r="F3034" s="2"/>
      <c r="G3034" s="2"/>
      <c r="H3034" s="2"/>
      <c r="I3034" s="2"/>
      <c r="J3034" s="2"/>
      <c r="K3034" s="2"/>
      <c r="L3034" s="24"/>
      <c r="M3034" s="24"/>
      <c r="N3034" s="24"/>
      <c r="O3034" s="24"/>
      <c r="P3034" s="24"/>
      <c r="Q3034" s="2"/>
      <c r="R3034" s="2"/>
      <c r="S3034" s="2"/>
      <c r="T3034" s="2"/>
      <c r="U3034" s="24"/>
      <c r="V3034" s="2"/>
      <c r="W3034" s="2"/>
      <c r="X3034" s="2"/>
      <c r="Y3034" s="2"/>
      <c r="Z3034" s="2"/>
    </row>
    <row r="3035">
      <c r="A3035" s="23"/>
      <c r="B3035" s="2"/>
      <c r="C3035" s="2"/>
      <c r="D3035" s="2"/>
      <c r="E3035" s="2"/>
      <c r="F3035" s="2"/>
      <c r="G3035" s="2"/>
      <c r="H3035" s="2"/>
      <c r="I3035" s="2"/>
      <c r="J3035" s="2"/>
      <c r="K3035" s="2"/>
      <c r="L3035" s="24"/>
      <c r="M3035" s="24"/>
      <c r="N3035" s="24"/>
      <c r="O3035" s="24"/>
      <c r="P3035" s="24"/>
      <c r="Q3035" s="2"/>
      <c r="R3035" s="2"/>
      <c r="S3035" s="2"/>
      <c r="T3035" s="2"/>
      <c r="U3035" s="24"/>
      <c r="V3035" s="2"/>
      <c r="W3035" s="2"/>
      <c r="X3035" s="2"/>
      <c r="Y3035" s="2"/>
      <c r="Z3035" s="2"/>
    </row>
    <row r="3036">
      <c r="A3036" s="23"/>
      <c r="B3036" s="2"/>
      <c r="C3036" s="2"/>
      <c r="D3036" s="2"/>
      <c r="E3036" s="2"/>
      <c r="F3036" s="2"/>
      <c r="G3036" s="2"/>
      <c r="H3036" s="2"/>
      <c r="I3036" s="2"/>
      <c r="J3036" s="2"/>
      <c r="K3036" s="2"/>
      <c r="L3036" s="24"/>
      <c r="M3036" s="24"/>
      <c r="N3036" s="24"/>
      <c r="O3036" s="24"/>
      <c r="P3036" s="24"/>
      <c r="Q3036" s="2"/>
      <c r="R3036" s="2"/>
      <c r="S3036" s="2"/>
      <c r="T3036" s="2"/>
      <c r="U3036" s="24"/>
      <c r="V3036" s="2"/>
      <c r="W3036" s="2"/>
      <c r="X3036" s="2"/>
      <c r="Y3036" s="2"/>
      <c r="Z3036" s="2"/>
    </row>
    <row r="3037">
      <c r="A3037" s="23"/>
      <c r="B3037" s="2"/>
      <c r="C3037" s="2"/>
      <c r="D3037" s="2"/>
      <c r="E3037" s="2"/>
      <c r="F3037" s="2"/>
      <c r="G3037" s="2"/>
      <c r="H3037" s="2"/>
      <c r="I3037" s="2"/>
      <c r="J3037" s="2"/>
      <c r="K3037" s="2"/>
      <c r="L3037" s="24"/>
      <c r="M3037" s="24"/>
      <c r="N3037" s="24"/>
      <c r="O3037" s="24"/>
      <c r="P3037" s="24"/>
      <c r="Q3037" s="2"/>
      <c r="R3037" s="2"/>
      <c r="S3037" s="2"/>
      <c r="T3037" s="2"/>
      <c r="U3037" s="24"/>
      <c r="V3037" s="2"/>
      <c r="W3037" s="2"/>
      <c r="X3037" s="2"/>
      <c r="Y3037" s="2"/>
      <c r="Z3037" s="2"/>
    </row>
    <row r="3038">
      <c r="A3038" s="23"/>
      <c r="B3038" s="2"/>
      <c r="C3038" s="2"/>
      <c r="D3038" s="2"/>
      <c r="E3038" s="2"/>
      <c r="F3038" s="2"/>
      <c r="G3038" s="2"/>
      <c r="H3038" s="2"/>
      <c r="I3038" s="2"/>
      <c r="J3038" s="2"/>
      <c r="K3038" s="2"/>
      <c r="L3038" s="24"/>
      <c r="M3038" s="24"/>
      <c r="N3038" s="24"/>
      <c r="O3038" s="24"/>
      <c r="P3038" s="24"/>
      <c r="Q3038" s="2"/>
      <c r="R3038" s="2"/>
      <c r="S3038" s="2"/>
      <c r="T3038" s="2"/>
      <c r="U3038" s="24"/>
      <c r="V3038" s="2"/>
      <c r="W3038" s="2"/>
      <c r="X3038" s="2"/>
      <c r="Y3038" s="2"/>
      <c r="Z3038" s="2"/>
    </row>
    <row r="3039">
      <c r="A3039" s="23"/>
      <c r="B3039" s="2"/>
      <c r="C3039" s="2"/>
      <c r="D3039" s="2"/>
      <c r="E3039" s="2"/>
      <c r="F3039" s="2"/>
      <c r="G3039" s="2"/>
      <c r="H3039" s="2"/>
      <c r="I3039" s="2"/>
      <c r="J3039" s="2"/>
      <c r="K3039" s="2"/>
      <c r="L3039" s="24"/>
      <c r="M3039" s="24"/>
      <c r="N3039" s="24"/>
      <c r="O3039" s="24"/>
      <c r="P3039" s="24"/>
      <c r="Q3039" s="2"/>
      <c r="R3039" s="2"/>
      <c r="S3039" s="2"/>
      <c r="T3039" s="2"/>
      <c r="U3039" s="24"/>
      <c r="V3039" s="2"/>
      <c r="W3039" s="2"/>
      <c r="X3039" s="2"/>
      <c r="Y3039" s="2"/>
      <c r="Z3039" s="2"/>
    </row>
    <row r="3040">
      <c r="A3040" s="23"/>
      <c r="B3040" s="2"/>
      <c r="C3040" s="2"/>
      <c r="D3040" s="2"/>
      <c r="E3040" s="2"/>
      <c r="F3040" s="2"/>
      <c r="G3040" s="2"/>
      <c r="H3040" s="2"/>
      <c r="I3040" s="2"/>
      <c r="J3040" s="2"/>
      <c r="K3040" s="2"/>
      <c r="L3040" s="24"/>
      <c r="M3040" s="24"/>
      <c r="N3040" s="24"/>
      <c r="O3040" s="24"/>
      <c r="P3040" s="24"/>
      <c r="Q3040" s="2"/>
      <c r="R3040" s="2"/>
      <c r="S3040" s="2"/>
      <c r="T3040" s="2"/>
      <c r="U3040" s="24"/>
      <c r="V3040" s="2"/>
      <c r="W3040" s="2"/>
      <c r="X3040" s="2"/>
      <c r="Y3040" s="2"/>
      <c r="Z3040" s="2"/>
    </row>
    <row r="3041">
      <c r="A3041" s="23"/>
      <c r="B3041" s="2"/>
      <c r="C3041" s="2"/>
      <c r="D3041" s="2"/>
      <c r="E3041" s="2"/>
      <c r="F3041" s="2"/>
      <c r="G3041" s="2"/>
      <c r="H3041" s="2"/>
      <c r="I3041" s="2"/>
      <c r="J3041" s="2"/>
      <c r="K3041" s="2"/>
      <c r="L3041" s="24"/>
      <c r="M3041" s="24"/>
      <c r="N3041" s="24"/>
      <c r="O3041" s="24"/>
      <c r="P3041" s="24"/>
      <c r="Q3041" s="2"/>
      <c r="R3041" s="2"/>
      <c r="S3041" s="2"/>
      <c r="T3041" s="2"/>
      <c r="U3041" s="24"/>
      <c r="V3041" s="2"/>
      <c r="W3041" s="2"/>
      <c r="X3041" s="2"/>
      <c r="Y3041" s="2"/>
      <c r="Z3041" s="2"/>
    </row>
    <row r="3042">
      <c r="A3042" s="23"/>
      <c r="B3042" s="2"/>
      <c r="C3042" s="2"/>
      <c r="D3042" s="2"/>
      <c r="E3042" s="2"/>
      <c r="F3042" s="2"/>
      <c r="G3042" s="2"/>
      <c r="H3042" s="2"/>
      <c r="I3042" s="2"/>
      <c r="J3042" s="2"/>
      <c r="K3042" s="2"/>
      <c r="L3042" s="24"/>
      <c r="M3042" s="24"/>
      <c r="N3042" s="24"/>
      <c r="O3042" s="24"/>
      <c r="P3042" s="24"/>
      <c r="Q3042" s="2"/>
      <c r="R3042" s="2"/>
      <c r="S3042" s="2"/>
      <c r="T3042" s="2"/>
      <c r="U3042" s="24"/>
      <c r="V3042" s="2"/>
      <c r="W3042" s="2"/>
      <c r="X3042" s="2"/>
      <c r="Y3042" s="2"/>
      <c r="Z3042" s="2"/>
    </row>
    <row r="3043">
      <c r="A3043" s="23"/>
      <c r="B3043" s="2"/>
      <c r="C3043" s="2"/>
      <c r="D3043" s="2"/>
      <c r="E3043" s="2"/>
      <c r="F3043" s="2"/>
      <c r="G3043" s="2"/>
      <c r="H3043" s="2"/>
      <c r="I3043" s="2"/>
      <c r="J3043" s="2"/>
      <c r="K3043" s="2"/>
      <c r="L3043" s="24"/>
      <c r="M3043" s="24"/>
      <c r="N3043" s="24"/>
      <c r="O3043" s="24"/>
      <c r="P3043" s="24"/>
      <c r="Q3043" s="2"/>
      <c r="R3043" s="2"/>
      <c r="S3043" s="2"/>
      <c r="T3043" s="2"/>
      <c r="U3043" s="24"/>
      <c r="V3043" s="2"/>
      <c r="W3043" s="2"/>
      <c r="X3043" s="2"/>
      <c r="Y3043" s="2"/>
      <c r="Z3043" s="2"/>
    </row>
    <row r="3044">
      <c r="A3044" s="23"/>
      <c r="B3044" s="2"/>
      <c r="C3044" s="2"/>
      <c r="D3044" s="2"/>
      <c r="E3044" s="2"/>
      <c r="F3044" s="2"/>
      <c r="G3044" s="2"/>
      <c r="H3044" s="2"/>
      <c r="I3044" s="2"/>
      <c r="J3044" s="2"/>
      <c r="K3044" s="2"/>
      <c r="L3044" s="24"/>
      <c r="M3044" s="24"/>
      <c r="N3044" s="24"/>
      <c r="O3044" s="24"/>
      <c r="P3044" s="24"/>
      <c r="Q3044" s="2"/>
      <c r="R3044" s="2"/>
      <c r="S3044" s="2"/>
      <c r="T3044" s="2"/>
      <c r="U3044" s="24"/>
      <c r="V3044" s="2"/>
      <c r="W3044" s="2"/>
      <c r="X3044" s="2"/>
      <c r="Y3044" s="2"/>
      <c r="Z3044" s="2"/>
    </row>
    <row r="3045">
      <c r="A3045" s="23"/>
      <c r="B3045" s="2"/>
      <c r="C3045" s="2"/>
      <c r="D3045" s="2"/>
      <c r="E3045" s="2"/>
      <c r="F3045" s="2"/>
      <c r="G3045" s="2"/>
      <c r="H3045" s="2"/>
      <c r="I3045" s="2"/>
      <c r="J3045" s="2"/>
      <c r="K3045" s="2"/>
      <c r="L3045" s="24"/>
      <c r="M3045" s="24"/>
      <c r="N3045" s="24"/>
      <c r="O3045" s="24"/>
      <c r="P3045" s="24"/>
      <c r="Q3045" s="2"/>
      <c r="R3045" s="2"/>
      <c r="S3045" s="2"/>
      <c r="T3045" s="2"/>
      <c r="U3045" s="24"/>
      <c r="V3045" s="2"/>
      <c r="W3045" s="2"/>
      <c r="X3045" s="2"/>
      <c r="Y3045" s="2"/>
      <c r="Z3045" s="2"/>
    </row>
    <row r="3046">
      <c r="A3046" s="23"/>
      <c r="B3046" s="2"/>
      <c r="C3046" s="2"/>
      <c r="D3046" s="2"/>
      <c r="E3046" s="2"/>
      <c r="F3046" s="2"/>
      <c r="G3046" s="2"/>
      <c r="H3046" s="2"/>
      <c r="I3046" s="2"/>
      <c r="J3046" s="2"/>
      <c r="K3046" s="2"/>
      <c r="L3046" s="24"/>
      <c r="M3046" s="24"/>
      <c r="N3046" s="24"/>
      <c r="O3046" s="24"/>
      <c r="P3046" s="24"/>
      <c r="Q3046" s="2"/>
      <c r="R3046" s="2"/>
      <c r="S3046" s="2"/>
      <c r="T3046" s="2"/>
      <c r="U3046" s="24"/>
      <c r="V3046" s="2"/>
      <c r="W3046" s="2"/>
      <c r="X3046" s="2"/>
      <c r="Y3046" s="2"/>
      <c r="Z3046" s="2"/>
    </row>
    <row r="3047">
      <c r="A3047" s="23"/>
      <c r="B3047" s="2"/>
      <c r="C3047" s="2"/>
      <c r="D3047" s="2"/>
      <c r="E3047" s="2"/>
      <c r="F3047" s="2"/>
      <c r="G3047" s="2"/>
      <c r="H3047" s="2"/>
      <c r="I3047" s="2"/>
      <c r="J3047" s="2"/>
      <c r="K3047" s="2"/>
      <c r="L3047" s="24"/>
      <c r="M3047" s="24"/>
      <c r="N3047" s="24"/>
      <c r="O3047" s="24"/>
      <c r="P3047" s="24"/>
      <c r="Q3047" s="2"/>
      <c r="R3047" s="2"/>
      <c r="S3047" s="2"/>
      <c r="T3047" s="2"/>
      <c r="U3047" s="24"/>
      <c r="V3047" s="2"/>
      <c r="W3047" s="2"/>
      <c r="X3047" s="2"/>
      <c r="Y3047" s="2"/>
      <c r="Z3047" s="2"/>
    </row>
    <row r="3048">
      <c r="A3048" s="23"/>
      <c r="B3048" s="2"/>
      <c r="C3048" s="2"/>
      <c r="D3048" s="2"/>
      <c r="E3048" s="2"/>
      <c r="F3048" s="2"/>
      <c r="G3048" s="2"/>
      <c r="H3048" s="2"/>
      <c r="I3048" s="2"/>
      <c r="J3048" s="2"/>
      <c r="K3048" s="2"/>
      <c r="L3048" s="24"/>
      <c r="M3048" s="24"/>
      <c r="N3048" s="24"/>
      <c r="O3048" s="24"/>
      <c r="P3048" s="24"/>
      <c r="Q3048" s="2"/>
      <c r="R3048" s="2"/>
      <c r="S3048" s="2"/>
      <c r="T3048" s="2"/>
      <c r="U3048" s="24"/>
      <c r="V3048" s="2"/>
      <c r="W3048" s="2"/>
      <c r="X3048" s="2"/>
      <c r="Y3048" s="2"/>
      <c r="Z3048" s="2"/>
    </row>
    <row r="3049">
      <c r="A3049" s="23"/>
      <c r="B3049" s="2"/>
      <c r="C3049" s="2"/>
      <c r="D3049" s="2"/>
      <c r="E3049" s="2"/>
      <c r="F3049" s="2"/>
      <c r="G3049" s="2"/>
      <c r="H3049" s="2"/>
      <c r="I3049" s="2"/>
      <c r="J3049" s="2"/>
      <c r="K3049" s="2"/>
      <c r="L3049" s="24"/>
      <c r="M3049" s="24"/>
      <c r="N3049" s="24"/>
      <c r="O3049" s="24"/>
      <c r="P3049" s="24"/>
      <c r="Q3049" s="2"/>
      <c r="R3049" s="2"/>
      <c r="S3049" s="2"/>
      <c r="T3049" s="2"/>
      <c r="U3049" s="24"/>
      <c r="V3049" s="2"/>
      <c r="W3049" s="2"/>
      <c r="X3049" s="2"/>
      <c r="Y3049" s="2"/>
      <c r="Z3049" s="2"/>
    </row>
    <row r="3050">
      <c r="A3050" s="23"/>
      <c r="B3050" s="2"/>
      <c r="C3050" s="2"/>
      <c r="D3050" s="2"/>
      <c r="E3050" s="2"/>
      <c r="F3050" s="2"/>
      <c r="G3050" s="2"/>
      <c r="H3050" s="2"/>
      <c r="I3050" s="2"/>
      <c r="J3050" s="2"/>
      <c r="K3050" s="2"/>
      <c r="L3050" s="24"/>
      <c r="M3050" s="24"/>
      <c r="N3050" s="24"/>
      <c r="O3050" s="24"/>
      <c r="P3050" s="24"/>
      <c r="Q3050" s="2"/>
      <c r="R3050" s="2"/>
      <c r="S3050" s="2"/>
      <c r="T3050" s="2"/>
      <c r="U3050" s="24"/>
      <c r="V3050" s="2"/>
      <c r="W3050" s="2"/>
      <c r="X3050" s="2"/>
      <c r="Y3050" s="2"/>
      <c r="Z3050" s="2"/>
    </row>
    <row r="3051">
      <c r="A3051" s="23"/>
      <c r="B3051" s="2"/>
      <c r="C3051" s="2"/>
      <c r="D3051" s="2"/>
      <c r="E3051" s="2"/>
      <c r="F3051" s="2"/>
      <c r="G3051" s="2"/>
      <c r="H3051" s="2"/>
      <c r="I3051" s="2"/>
      <c r="J3051" s="2"/>
      <c r="K3051" s="2"/>
      <c r="L3051" s="24"/>
      <c r="M3051" s="24"/>
      <c r="N3051" s="24"/>
      <c r="O3051" s="24"/>
      <c r="P3051" s="24"/>
      <c r="Q3051" s="2"/>
      <c r="R3051" s="2"/>
      <c r="S3051" s="2"/>
      <c r="T3051" s="2"/>
      <c r="U3051" s="24"/>
      <c r="V3051" s="2"/>
      <c r="W3051" s="2"/>
      <c r="X3051" s="2"/>
      <c r="Y3051" s="2"/>
      <c r="Z3051" s="2"/>
    </row>
    <row r="3052">
      <c r="A3052" s="23"/>
      <c r="B3052" s="2"/>
      <c r="C3052" s="2"/>
      <c r="D3052" s="2"/>
      <c r="E3052" s="2"/>
      <c r="F3052" s="2"/>
      <c r="G3052" s="2"/>
      <c r="H3052" s="2"/>
      <c r="I3052" s="2"/>
      <c r="J3052" s="2"/>
      <c r="K3052" s="2"/>
      <c r="L3052" s="24"/>
      <c r="M3052" s="24"/>
      <c r="N3052" s="24"/>
      <c r="O3052" s="24"/>
      <c r="P3052" s="24"/>
      <c r="Q3052" s="2"/>
      <c r="R3052" s="2"/>
      <c r="S3052" s="2"/>
      <c r="T3052" s="2"/>
      <c r="U3052" s="24"/>
      <c r="V3052" s="2"/>
      <c r="W3052" s="2"/>
      <c r="X3052" s="2"/>
      <c r="Y3052" s="2"/>
      <c r="Z3052" s="2"/>
    </row>
    <row r="3053">
      <c r="A3053" s="23"/>
      <c r="B3053" s="2"/>
      <c r="C3053" s="2"/>
      <c r="D3053" s="2"/>
      <c r="E3053" s="2"/>
      <c r="F3053" s="2"/>
      <c r="G3053" s="2"/>
      <c r="H3053" s="2"/>
      <c r="I3053" s="2"/>
      <c r="J3053" s="2"/>
      <c r="K3053" s="2"/>
      <c r="L3053" s="24"/>
      <c r="M3053" s="24"/>
      <c r="N3053" s="24"/>
      <c r="O3053" s="24"/>
      <c r="P3053" s="24"/>
      <c r="Q3053" s="2"/>
      <c r="R3053" s="2"/>
      <c r="S3053" s="2"/>
      <c r="T3053" s="2"/>
      <c r="U3053" s="24"/>
      <c r="V3053" s="2"/>
      <c r="W3053" s="2"/>
      <c r="X3053" s="2"/>
      <c r="Y3053" s="2"/>
      <c r="Z3053" s="2"/>
    </row>
    <row r="3054">
      <c r="A3054" s="23"/>
      <c r="B3054" s="2"/>
      <c r="C3054" s="2"/>
      <c r="D3054" s="2"/>
      <c r="E3054" s="2"/>
      <c r="F3054" s="2"/>
      <c r="G3054" s="2"/>
      <c r="H3054" s="2"/>
      <c r="I3054" s="2"/>
      <c r="J3054" s="2"/>
      <c r="K3054" s="2"/>
      <c r="L3054" s="24"/>
      <c r="M3054" s="24"/>
      <c r="N3054" s="24"/>
      <c r="O3054" s="24"/>
      <c r="P3054" s="24"/>
      <c r="Q3054" s="2"/>
      <c r="R3054" s="2"/>
      <c r="S3054" s="2"/>
      <c r="T3054" s="2"/>
      <c r="U3054" s="24"/>
      <c r="V3054" s="2"/>
      <c r="W3054" s="2"/>
      <c r="X3054" s="2"/>
      <c r="Y3054" s="2"/>
      <c r="Z3054" s="2"/>
    </row>
    <row r="3055">
      <c r="A3055" s="23"/>
      <c r="B3055" s="2"/>
      <c r="C3055" s="2"/>
      <c r="D3055" s="2"/>
      <c r="E3055" s="2"/>
      <c r="F3055" s="2"/>
      <c r="G3055" s="2"/>
      <c r="H3055" s="2"/>
      <c r="I3055" s="2"/>
      <c r="J3055" s="2"/>
      <c r="K3055" s="2"/>
      <c r="L3055" s="24"/>
      <c r="M3055" s="24"/>
      <c r="N3055" s="24"/>
      <c r="O3055" s="24"/>
      <c r="P3055" s="24"/>
      <c r="Q3055" s="2"/>
      <c r="R3055" s="2"/>
      <c r="S3055" s="2"/>
      <c r="T3055" s="2"/>
      <c r="U3055" s="24"/>
      <c r="V3055" s="2"/>
      <c r="W3055" s="2"/>
      <c r="X3055" s="2"/>
      <c r="Y3055" s="2"/>
      <c r="Z3055" s="2"/>
    </row>
    <row r="3056">
      <c r="A3056" s="23"/>
      <c r="B3056" s="2"/>
      <c r="C3056" s="2"/>
      <c r="D3056" s="2"/>
      <c r="E3056" s="2"/>
      <c r="F3056" s="2"/>
      <c r="G3056" s="2"/>
      <c r="H3056" s="2"/>
      <c r="I3056" s="2"/>
      <c r="J3056" s="2"/>
      <c r="K3056" s="2"/>
      <c r="L3056" s="24"/>
      <c r="M3056" s="24"/>
      <c r="N3056" s="24"/>
      <c r="O3056" s="24"/>
      <c r="P3056" s="24"/>
      <c r="Q3056" s="2"/>
      <c r="R3056" s="2"/>
      <c r="S3056" s="2"/>
      <c r="T3056" s="2"/>
      <c r="U3056" s="24"/>
      <c r="V3056" s="2"/>
      <c r="W3056" s="2"/>
      <c r="X3056" s="2"/>
      <c r="Y3056" s="2"/>
      <c r="Z3056" s="2"/>
    </row>
    <row r="3057">
      <c r="A3057" s="23"/>
      <c r="B3057" s="2"/>
      <c r="C3057" s="2"/>
      <c r="D3057" s="2"/>
      <c r="E3057" s="2"/>
      <c r="F3057" s="2"/>
      <c r="G3057" s="2"/>
      <c r="H3057" s="2"/>
      <c r="I3057" s="2"/>
      <c r="J3057" s="2"/>
      <c r="K3057" s="2"/>
      <c r="L3057" s="24"/>
      <c r="M3057" s="24"/>
      <c r="N3057" s="24"/>
      <c r="O3057" s="24"/>
      <c r="P3057" s="24"/>
      <c r="Q3057" s="2"/>
      <c r="R3057" s="2"/>
      <c r="S3057" s="2"/>
      <c r="T3057" s="2"/>
      <c r="U3057" s="24"/>
      <c r="V3057" s="2"/>
      <c r="W3057" s="2"/>
      <c r="X3057" s="2"/>
      <c r="Y3057" s="2"/>
      <c r="Z3057" s="2"/>
    </row>
    <row r="3058">
      <c r="A3058" s="23"/>
      <c r="B3058" s="2"/>
      <c r="C3058" s="2"/>
      <c r="D3058" s="2"/>
      <c r="E3058" s="2"/>
      <c r="F3058" s="2"/>
      <c r="G3058" s="2"/>
      <c r="H3058" s="2"/>
      <c r="I3058" s="2"/>
      <c r="J3058" s="2"/>
      <c r="K3058" s="2"/>
      <c r="L3058" s="24"/>
      <c r="M3058" s="24"/>
      <c r="N3058" s="24"/>
      <c r="O3058" s="24"/>
      <c r="P3058" s="24"/>
      <c r="Q3058" s="2"/>
      <c r="R3058" s="2"/>
      <c r="S3058" s="2"/>
      <c r="T3058" s="2"/>
      <c r="U3058" s="24"/>
      <c r="V3058" s="2"/>
      <c r="W3058" s="2"/>
      <c r="X3058" s="2"/>
      <c r="Y3058" s="2"/>
      <c r="Z3058" s="2"/>
    </row>
    <row r="3059">
      <c r="A3059" s="23"/>
      <c r="B3059" s="2"/>
      <c r="C3059" s="2"/>
      <c r="D3059" s="2"/>
      <c r="E3059" s="2"/>
      <c r="F3059" s="2"/>
      <c r="G3059" s="2"/>
      <c r="H3059" s="2"/>
      <c r="I3059" s="2"/>
      <c r="J3059" s="2"/>
      <c r="K3059" s="2"/>
      <c r="L3059" s="24"/>
      <c r="M3059" s="24"/>
      <c r="N3059" s="24"/>
      <c r="O3059" s="24"/>
      <c r="P3059" s="24"/>
      <c r="Q3059" s="2"/>
      <c r="R3059" s="2"/>
      <c r="S3059" s="2"/>
      <c r="T3059" s="2"/>
      <c r="U3059" s="24"/>
      <c r="V3059" s="2"/>
      <c r="W3059" s="2"/>
      <c r="X3059" s="2"/>
      <c r="Y3059" s="2"/>
      <c r="Z3059" s="2"/>
    </row>
    <row r="3060">
      <c r="A3060" s="23"/>
      <c r="B3060" s="2"/>
      <c r="C3060" s="2"/>
      <c r="D3060" s="2"/>
      <c r="E3060" s="2"/>
      <c r="F3060" s="2"/>
      <c r="G3060" s="2"/>
      <c r="H3060" s="2"/>
      <c r="I3060" s="2"/>
      <c r="J3060" s="2"/>
      <c r="K3060" s="2"/>
      <c r="L3060" s="24"/>
      <c r="M3060" s="24"/>
      <c r="N3060" s="24"/>
      <c r="O3060" s="24"/>
      <c r="P3060" s="24"/>
      <c r="Q3060" s="2"/>
      <c r="R3060" s="2"/>
      <c r="S3060" s="2"/>
      <c r="T3060" s="2"/>
      <c r="U3060" s="24"/>
      <c r="V3060" s="2"/>
      <c r="W3060" s="2"/>
      <c r="X3060" s="2"/>
      <c r="Y3060" s="2"/>
      <c r="Z3060" s="2"/>
    </row>
    <row r="3061">
      <c r="A3061" s="23"/>
      <c r="B3061" s="2"/>
      <c r="C3061" s="2"/>
      <c r="D3061" s="2"/>
      <c r="E3061" s="2"/>
      <c r="F3061" s="2"/>
      <c r="G3061" s="2"/>
      <c r="H3061" s="2"/>
      <c r="I3061" s="2"/>
      <c r="J3061" s="2"/>
      <c r="K3061" s="2"/>
      <c r="L3061" s="24"/>
      <c r="M3061" s="24"/>
      <c r="N3061" s="24"/>
      <c r="O3061" s="24"/>
      <c r="P3061" s="24"/>
      <c r="Q3061" s="2"/>
      <c r="R3061" s="2"/>
      <c r="S3061" s="2"/>
      <c r="T3061" s="2"/>
      <c r="U3061" s="24"/>
      <c r="V3061" s="2"/>
      <c r="W3061" s="2"/>
      <c r="X3061" s="2"/>
      <c r="Y3061" s="2"/>
      <c r="Z3061" s="2"/>
    </row>
    <row r="3062">
      <c r="A3062" s="23"/>
      <c r="B3062" s="2"/>
      <c r="C3062" s="2"/>
      <c r="D3062" s="2"/>
      <c r="E3062" s="2"/>
      <c r="F3062" s="2"/>
      <c r="G3062" s="2"/>
      <c r="H3062" s="2"/>
      <c r="I3062" s="2"/>
      <c r="J3062" s="2"/>
      <c r="K3062" s="2"/>
      <c r="L3062" s="24"/>
      <c r="M3062" s="24"/>
      <c r="N3062" s="24"/>
      <c r="O3062" s="24"/>
      <c r="P3062" s="24"/>
      <c r="Q3062" s="2"/>
      <c r="R3062" s="2"/>
      <c r="S3062" s="2"/>
      <c r="T3062" s="2"/>
      <c r="U3062" s="24"/>
      <c r="V3062" s="2"/>
      <c r="W3062" s="2"/>
      <c r="X3062" s="2"/>
      <c r="Y3062" s="2"/>
      <c r="Z3062" s="2"/>
    </row>
    <row r="3063">
      <c r="A3063" s="23"/>
      <c r="B3063" s="2"/>
      <c r="C3063" s="2"/>
      <c r="D3063" s="2"/>
      <c r="E3063" s="2"/>
      <c r="F3063" s="2"/>
      <c r="G3063" s="2"/>
      <c r="H3063" s="2"/>
      <c r="I3063" s="2"/>
      <c r="J3063" s="2"/>
      <c r="K3063" s="2"/>
      <c r="L3063" s="24"/>
      <c r="M3063" s="24"/>
      <c r="N3063" s="24"/>
      <c r="O3063" s="24"/>
      <c r="P3063" s="24"/>
      <c r="Q3063" s="2"/>
      <c r="R3063" s="2"/>
      <c r="S3063" s="2"/>
      <c r="T3063" s="2"/>
      <c r="U3063" s="24"/>
      <c r="V3063" s="2"/>
      <c r="W3063" s="2"/>
      <c r="X3063" s="2"/>
      <c r="Y3063" s="2"/>
      <c r="Z3063" s="2"/>
    </row>
    <row r="3064">
      <c r="A3064" s="23"/>
      <c r="B3064" s="2"/>
      <c r="C3064" s="2"/>
      <c r="D3064" s="2"/>
      <c r="E3064" s="2"/>
      <c r="F3064" s="2"/>
      <c r="G3064" s="2"/>
      <c r="H3064" s="2"/>
      <c r="I3064" s="2"/>
      <c r="J3064" s="2"/>
      <c r="K3064" s="2"/>
      <c r="L3064" s="24"/>
      <c r="M3064" s="24"/>
      <c r="N3064" s="24"/>
      <c r="O3064" s="24"/>
      <c r="P3064" s="24"/>
      <c r="Q3064" s="2"/>
      <c r="R3064" s="2"/>
      <c r="S3064" s="2"/>
      <c r="T3064" s="2"/>
      <c r="U3064" s="24"/>
      <c r="V3064" s="2"/>
      <c r="W3064" s="2"/>
      <c r="X3064" s="2"/>
      <c r="Y3064" s="2"/>
      <c r="Z3064" s="2"/>
    </row>
    <row r="3065">
      <c r="A3065" s="23"/>
      <c r="B3065" s="2"/>
      <c r="C3065" s="2"/>
      <c r="D3065" s="2"/>
      <c r="E3065" s="2"/>
      <c r="F3065" s="2"/>
      <c r="G3065" s="2"/>
      <c r="H3065" s="2"/>
      <c r="I3065" s="2"/>
      <c r="J3065" s="2"/>
      <c r="K3065" s="2"/>
      <c r="L3065" s="24"/>
      <c r="M3065" s="24"/>
      <c r="N3065" s="24"/>
      <c r="O3065" s="24"/>
      <c r="P3065" s="24"/>
      <c r="Q3065" s="2"/>
      <c r="R3065" s="2"/>
      <c r="S3065" s="2"/>
      <c r="T3065" s="2"/>
      <c r="U3065" s="24"/>
      <c r="V3065" s="2"/>
      <c r="W3065" s="2"/>
      <c r="X3065" s="2"/>
      <c r="Y3065" s="2"/>
      <c r="Z3065" s="2"/>
    </row>
    <row r="3066">
      <c r="A3066" s="23"/>
      <c r="B3066" s="2"/>
      <c r="C3066" s="2"/>
      <c r="D3066" s="2"/>
      <c r="E3066" s="2"/>
      <c r="F3066" s="2"/>
      <c r="G3066" s="2"/>
      <c r="H3066" s="2"/>
      <c r="I3066" s="2"/>
      <c r="J3066" s="2"/>
      <c r="K3066" s="2"/>
      <c r="L3066" s="24"/>
      <c r="M3066" s="24"/>
      <c r="N3066" s="24"/>
      <c r="O3066" s="24"/>
      <c r="P3066" s="24"/>
      <c r="Q3066" s="2"/>
      <c r="R3066" s="2"/>
      <c r="S3066" s="2"/>
      <c r="T3066" s="2"/>
      <c r="U3066" s="24"/>
      <c r="V3066" s="2"/>
      <c r="W3066" s="2"/>
      <c r="X3066" s="2"/>
      <c r="Y3066" s="2"/>
      <c r="Z3066" s="2"/>
    </row>
    <row r="3067">
      <c r="A3067" s="23"/>
      <c r="B3067" s="2"/>
      <c r="C3067" s="2"/>
      <c r="D3067" s="2"/>
      <c r="E3067" s="2"/>
      <c r="F3067" s="2"/>
      <c r="G3067" s="2"/>
      <c r="H3067" s="2"/>
      <c r="I3067" s="2"/>
      <c r="J3067" s="2"/>
      <c r="K3067" s="2"/>
      <c r="L3067" s="24"/>
      <c r="M3067" s="24"/>
      <c r="N3067" s="24"/>
      <c r="O3067" s="24"/>
      <c r="P3067" s="24"/>
      <c r="Q3067" s="2"/>
      <c r="R3067" s="2"/>
      <c r="S3067" s="2"/>
      <c r="T3067" s="2"/>
      <c r="U3067" s="24"/>
      <c r="V3067" s="2"/>
      <c r="W3067" s="2"/>
      <c r="X3067" s="2"/>
      <c r="Y3067" s="2"/>
      <c r="Z3067" s="2"/>
    </row>
    <row r="3068">
      <c r="A3068" s="23"/>
      <c r="B3068" s="2"/>
      <c r="C3068" s="2"/>
      <c r="D3068" s="2"/>
      <c r="E3068" s="2"/>
      <c r="F3068" s="2"/>
      <c r="G3068" s="2"/>
      <c r="H3068" s="2"/>
      <c r="I3068" s="2"/>
      <c r="J3068" s="2"/>
      <c r="K3068" s="2"/>
      <c r="L3068" s="24"/>
      <c r="M3068" s="24"/>
      <c r="N3068" s="24"/>
      <c r="O3068" s="24"/>
      <c r="P3068" s="24"/>
      <c r="Q3068" s="2"/>
      <c r="R3068" s="2"/>
      <c r="S3068" s="2"/>
      <c r="T3068" s="2"/>
      <c r="U3068" s="24"/>
      <c r="V3068" s="2"/>
      <c r="W3068" s="2"/>
      <c r="X3068" s="2"/>
      <c r="Y3068" s="2"/>
      <c r="Z3068" s="2"/>
    </row>
    <row r="3069">
      <c r="A3069" s="23"/>
      <c r="B3069" s="2"/>
      <c r="C3069" s="2"/>
      <c r="D3069" s="2"/>
      <c r="E3069" s="2"/>
      <c r="F3069" s="2"/>
      <c r="G3069" s="2"/>
      <c r="H3069" s="2"/>
      <c r="I3069" s="2"/>
      <c r="J3069" s="2"/>
      <c r="K3069" s="2"/>
      <c r="L3069" s="24"/>
      <c r="M3069" s="24"/>
      <c r="N3069" s="24"/>
      <c r="O3069" s="24"/>
      <c r="P3069" s="24"/>
      <c r="Q3069" s="2"/>
      <c r="R3069" s="2"/>
      <c r="S3069" s="2"/>
      <c r="T3069" s="2"/>
      <c r="U3069" s="24"/>
      <c r="V3069" s="2"/>
      <c r="W3069" s="2"/>
      <c r="X3069" s="2"/>
      <c r="Y3069" s="2"/>
      <c r="Z3069" s="2"/>
    </row>
    <row r="3070">
      <c r="A3070" s="23"/>
      <c r="B3070" s="2"/>
      <c r="C3070" s="2"/>
      <c r="D3070" s="2"/>
      <c r="E3070" s="2"/>
      <c r="F3070" s="2"/>
      <c r="G3070" s="2"/>
      <c r="H3070" s="2"/>
      <c r="I3070" s="2"/>
      <c r="J3070" s="2"/>
      <c r="K3070" s="2"/>
      <c r="L3070" s="24"/>
      <c r="M3070" s="24"/>
      <c r="N3070" s="24"/>
      <c r="O3070" s="24"/>
      <c r="P3070" s="24"/>
      <c r="Q3070" s="2"/>
      <c r="R3070" s="2"/>
      <c r="S3070" s="2"/>
      <c r="T3070" s="2"/>
      <c r="U3070" s="24"/>
      <c r="V3070" s="2"/>
      <c r="W3070" s="2"/>
      <c r="X3070" s="2"/>
      <c r="Y3070" s="2"/>
      <c r="Z3070" s="2"/>
    </row>
    <row r="3071">
      <c r="A3071" s="23"/>
      <c r="B3071" s="2"/>
      <c r="C3071" s="2"/>
      <c r="D3071" s="2"/>
      <c r="E3071" s="2"/>
      <c r="F3071" s="2"/>
      <c r="G3071" s="2"/>
      <c r="H3071" s="2"/>
      <c r="I3071" s="2"/>
      <c r="J3071" s="2"/>
      <c r="K3071" s="2"/>
      <c r="L3071" s="24"/>
      <c r="M3071" s="24"/>
      <c r="N3071" s="24"/>
      <c r="O3071" s="24"/>
      <c r="P3071" s="24"/>
      <c r="Q3071" s="2"/>
      <c r="R3071" s="2"/>
      <c r="S3071" s="2"/>
      <c r="T3071" s="2"/>
      <c r="U3071" s="24"/>
      <c r="V3071" s="2"/>
      <c r="W3071" s="2"/>
      <c r="X3071" s="2"/>
      <c r="Y3071" s="2"/>
      <c r="Z3071" s="2"/>
    </row>
    <row r="3072">
      <c r="A3072" s="23"/>
      <c r="B3072" s="2"/>
      <c r="C3072" s="2"/>
      <c r="D3072" s="2"/>
      <c r="E3072" s="2"/>
      <c r="F3072" s="2"/>
      <c r="G3072" s="2"/>
      <c r="H3072" s="2"/>
      <c r="I3072" s="2"/>
      <c r="J3072" s="2"/>
      <c r="K3072" s="2"/>
      <c r="L3072" s="24"/>
      <c r="M3072" s="24"/>
      <c r="N3072" s="24"/>
      <c r="O3072" s="24"/>
      <c r="P3072" s="24"/>
      <c r="Q3072" s="2"/>
      <c r="R3072" s="2"/>
      <c r="S3072" s="2"/>
      <c r="T3072" s="2"/>
      <c r="U3072" s="24"/>
      <c r="V3072" s="2"/>
      <c r="W3072" s="2"/>
      <c r="X3072" s="2"/>
      <c r="Y3072" s="2"/>
      <c r="Z3072" s="2"/>
    </row>
    <row r="3073">
      <c r="A3073" s="23"/>
      <c r="B3073" s="2"/>
      <c r="C3073" s="2"/>
      <c r="D3073" s="2"/>
      <c r="E3073" s="2"/>
      <c r="F3073" s="2"/>
      <c r="G3073" s="2"/>
      <c r="H3073" s="2"/>
      <c r="I3073" s="2"/>
      <c r="J3073" s="2"/>
      <c r="K3073" s="2"/>
      <c r="L3073" s="24"/>
      <c r="M3073" s="24"/>
      <c r="N3073" s="24"/>
      <c r="O3073" s="24"/>
      <c r="P3073" s="24"/>
      <c r="Q3073" s="2"/>
      <c r="R3073" s="2"/>
      <c r="S3073" s="2"/>
      <c r="T3073" s="2"/>
      <c r="U3073" s="24"/>
      <c r="V3073" s="2"/>
      <c r="W3073" s="2"/>
      <c r="X3073" s="2"/>
      <c r="Y3073" s="2"/>
      <c r="Z3073" s="2"/>
    </row>
    <row r="3074">
      <c r="A3074" s="23"/>
      <c r="B3074" s="2"/>
      <c r="C3074" s="2"/>
      <c r="D3074" s="2"/>
      <c r="E3074" s="2"/>
      <c r="F3074" s="2"/>
      <c r="G3074" s="2"/>
      <c r="H3074" s="2"/>
      <c r="I3074" s="2"/>
      <c r="J3074" s="2"/>
      <c r="K3074" s="2"/>
      <c r="L3074" s="24"/>
      <c r="M3074" s="24"/>
      <c r="N3074" s="24"/>
      <c r="O3074" s="24"/>
      <c r="P3074" s="24"/>
      <c r="Q3074" s="2"/>
      <c r="R3074" s="2"/>
      <c r="S3074" s="2"/>
      <c r="T3074" s="2"/>
      <c r="U3074" s="24"/>
      <c r="V3074" s="2"/>
      <c r="W3074" s="2"/>
      <c r="X3074" s="2"/>
      <c r="Y3074" s="2"/>
      <c r="Z3074" s="2"/>
    </row>
    <row r="3075">
      <c r="A3075" s="23"/>
      <c r="B3075" s="2"/>
      <c r="C3075" s="2"/>
      <c r="D3075" s="2"/>
      <c r="E3075" s="2"/>
      <c r="F3075" s="2"/>
      <c r="G3075" s="2"/>
      <c r="H3075" s="2"/>
      <c r="I3075" s="2"/>
      <c r="J3075" s="2"/>
      <c r="K3075" s="2"/>
      <c r="L3075" s="24"/>
      <c r="M3075" s="24"/>
      <c r="N3075" s="24"/>
      <c r="O3075" s="24"/>
      <c r="P3075" s="24"/>
      <c r="Q3075" s="2"/>
      <c r="R3075" s="2"/>
      <c r="S3075" s="2"/>
      <c r="T3075" s="2"/>
      <c r="U3075" s="24"/>
      <c r="V3075" s="2"/>
      <c r="W3075" s="2"/>
      <c r="X3075" s="2"/>
      <c r="Y3075" s="2"/>
      <c r="Z3075" s="2"/>
    </row>
    <row r="3076">
      <c r="A3076" s="23"/>
      <c r="B3076" s="2"/>
      <c r="C3076" s="2"/>
      <c r="D3076" s="2"/>
      <c r="E3076" s="2"/>
      <c r="F3076" s="2"/>
      <c r="G3076" s="2"/>
      <c r="H3076" s="2"/>
      <c r="I3076" s="2"/>
      <c r="J3076" s="2"/>
      <c r="K3076" s="2"/>
      <c r="L3076" s="24"/>
      <c r="M3076" s="24"/>
      <c r="N3076" s="24"/>
      <c r="O3076" s="24"/>
      <c r="P3076" s="24"/>
      <c r="Q3076" s="2"/>
      <c r="R3076" s="2"/>
      <c r="S3076" s="2"/>
      <c r="T3076" s="2"/>
      <c r="U3076" s="24"/>
      <c r="V3076" s="2"/>
      <c r="W3076" s="2"/>
      <c r="X3076" s="2"/>
      <c r="Y3076" s="2"/>
      <c r="Z3076" s="2"/>
    </row>
    <row r="3077">
      <c r="A3077" s="23"/>
      <c r="B3077" s="2"/>
      <c r="C3077" s="2"/>
      <c r="D3077" s="2"/>
      <c r="E3077" s="2"/>
      <c r="F3077" s="2"/>
      <c r="G3077" s="2"/>
      <c r="H3077" s="2"/>
      <c r="I3077" s="2"/>
      <c r="J3077" s="2"/>
      <c r="K3077" s="2"/>
      <c r="L3077" s="24"/>
      <c r="M3077" s="24"/>
      <c r="N3077" s="24"/>
      <c r="O3077" s="24"/>
      <c r="P3077" s="24"/>
      <c r="Q3077" s="2"/>
      <c r="R3077" s="2"/>
      <c r="S3077" s="2"/>
      <c r="T3077" s="2"/>
      <c r="U3077" s="24"/>
      <c r="V3077" s="2"/>
      <c r="W3077" s="2"/>
      <c r="X3077" s="2"/>
      <c r="Y3077" s="2"/>
      <c r="Z3077" s="2"/>
    </row>
    <row r="3078">
      <c r="A3078" s="23"/>
      <c r="B3078" s="2"/>
      <c r="C3078" s="2"/>
      <c r="D3078" s="2"/>
      <c r="E3078" s="2"/>
      <c r="F3078" s="2"/>
      <c r="G3078" s="2"/>
      <c r="H3078" s="2"/>
      <c r="I3078" s="2"/>
      <c r="J3078" s="2"/>
      <c r="K3078" s="2"/>
      <c r="L3078" s="24"/>
      <c r="M3078" s="24"/>
      <c r="N3078" s="24"/>
      <c r="O3078" s="24"/>
      <c r="P3078" s="24"/>
      <c r="Q3078" s="2"/>
      <c r="R3078" s="2"/>
      <c r="S3078" s="2"/>
      <c r="T3078" s="2"/>
      <c r="U3078" s="24"/>
      <c r="V3078" s="2"/>
      <c r="W3078" s="2"/>
      <c r="X3078" s="2"/>
      <c r="Y3078" s="2"/>
      <c r="Z3078" s="2"/>
    </row>
    <row r="3079">
      <c r="A3079" s="23"/>
      <c r="B3079" s="2"/>
      <c r="C3079" s="2"/>
      <c r="D3079" s="2"/>
      <c r="E3079" s="2"/>
      <c r="F3079" s="2"/>
      <c r="G3079" s="2"/>
      <c r="H3079" s="2"/>
      <c r="I3079" s="2"/>
      <c r="J3079" s="2"/>
      <c r="K3079" s="2"/>
      <c r="L3079" s="24"/>
      <c r="M3079" s="24"/>
      <c r="N3079" s="24"/>
      <c r="O3079" s="24"/>
      <c r="P3079" s="24"/>
      <c r="Q3079" s="2"/>
      <c r="R3079" s="2"/>
      <c r="S3079" s="2"/>
      <c r="T3079" s="2"/>
      <c r="U3079" s="24"/>
      <c r="V3079" s="2"/>
      <c r="W3079" s="2"/>
      <c r="X3079" s="2"/>
      <c r="Y3079" s="2"/>
      <c r="Z3079" s="2"/>
    </row>
    <row r="3080">
      <c r="A3080" s="23"/>
      <c r="B3080" s="2"/>
      <c r="C3080" s="2"/>
      <c r="D3080" s="2"/>
      <c r="E3080" s="2"/>
      <c r="F3080" s="2"/>
      <c r="G3080" s="2"/>
      <c r="H3080" s="2"/>
      <c r="I3080" s="2"/>
      <c r="J3080" s="2"/>
      <c r="K3080" s="2"/>
      <c r="L3080" s="24"/>
      <c r="M3080" s="24"/>
      <c r="N3080" s="24"/>
      <c r="O3080" s="24"/>
      <c r="P3080" s="24"/>
      <c r="Q3080" s="2"/>
      <c r="R3080" s="2"/>
      <c r="S3080" s="2"/>
      <c r="T3080" s="2"/>
      <c r="U3080" s="24"/>
      <c r="V3080" s="2"/>
      <c r="W3080" s="2"/>
      <c r="X3080" s="2"/>
      <c r="Y3080" s="2"/>
      <c r="Z3080" s="2"/>
    </row>
    <row r="3081">
      <c r="A3081" s="23"/>
      <c r="B3081" s="2"/>
      <c r="C3081" s="2"/>
      <c r="D3081" s="2"/>
      <c r="E3081" s="2"/>
      <c r="F3081" s="2"/>
      <c r="G3081" s="2"/>
      <c r="H3081" s="2"/>
      <c r="I3081" s="2"/>
      <c r="J3081" s="2"/>
      <c r="K3081" s="2"/>
      <c r="L3081" s="24"/>
      <c r="M3081" s="24"/>
      <c r="N3081" s="24"/>
      <c r="O3081" s="24"/>
      <c r="P3081" s="24"/>
      <c r="Q3081" s="2"/>
      <c r="R3081" s="2"/>
      <c r="S3081" s="2"/>
      <c r="T3081" s="2"/>
      <c r="U3081" s="24"/>
      <c r="V3081" s="2"/>
      <c r="W3081" s="2"/>
      <c r="X3081" s="2"/>
      <c r="Y3081" s="2"/>
      <c r="Z3081" s="2"/>
    </row>
    <row r="3082">
      <c r="A3082" s="23"/>
      <c r="B3082" s="2"/>
      <c r="C3082" s="2"/>
      <c r="D3082" s="2"/>
      <c r="E3082" s="2"/>
      <c r="F3082" s="2"/>
      <c r="G3082" s="2"/>
      <c r="H3082" s="2"/>
      <c r="I3082" s="2"/>
      <c r="J3082" s="2"/>
      <c r="K3082" s="2"/>
      <c r="L3082" s="24"/>
      <c r="M3082" s="24"/>
      <c r="N3082" s="24"/>
      <c r="O3082" s="24"/>
      <c r="P3082" s="24"/>
      <c r="Q3082" s="2"/>
      <c r="R3082" s="2"/>
      <c r="S3082" s="2"/>
      <c r="T3082" s="2"/>
      <c r="U3082" s="24"/>
      <c r="V3082" s="2"/>
      <c r="W3082" s="2"/>
      <c r="X3082" s="2"/>
      <c r="Y3082" s="2"/>
      <c r="Z3082" s="2"/>
    </row>
    <row r="3083">
      <c r="A3083" s="23"/>
      <c r="B3083" s="2"/>
      <c r="C3083" s="2"/>
      <c r="D3083" s="2"/>
      <c r="E3083" s="2"/>
      <c r="F3083" s="2"/>
      <c r="G3083" s="2"/>
      <c r="H3083" s="2"/>
      <c r="I3083" s="2"/>
      <c r="J3083" s="2"/>
      <c r="K3083" s="2"/>
      <c r="L3083" s="24"/>
      <c r="M3083" s="24"/>
      <c r="N3083" s="24"/>
      <c r="O3083" s="24"/>
      <c r="P3083" s="24"/>
      <c r="Q3083" s="2"/>
      <c r="R3083" s="2"/>
      <c r="S3083" s="2"/>
      <c r="T3083" s="2"/>
      <c r="U3083" s="24"/>
      <c r="V3083" s="2"/>
      <c r="W3083" s="2"/>
      <c r="X3083" s="2"/>
      <c r="Y3083" s="2"/>
      <c r="Z3083" s="2"/>
    </row>
    <row r="3084">
      <c r="A3084" s="23"/>
      <c r="B3084" s="2"/>
      <c r="C3084" s="2"/>
      <c r="D3084" s="2"/>
      <c r="E3084" s="2"/>
      <c r="F3084" s="2"/>
      <c r="G3084" s="2"/>
      <c r="H3084" s="2"/>
      <c r="I3084" s="2"/>
      <c r="J3084" s="2"/>
      <c r="K3084" s="2"/>
      <c r="L3084" s="24"/>
      <c r="M3084" s="24"/>
      <c r="N3084" s="24"/>
      <c r="O3084" s="24"/>
      <c r="P3084" s="24"/>
      <c r="Q3084" s="2"/>
      <c r="R3084" s="2"/>
      <c r="S3084" s="2"/>
      <c r="T3084" s="2"/>
      <c r="U3084" s="24"/>
      <c r="V3084" s="2"/>
      <c r="W3084" s="2"/>
      <c r="X3084" s="2"/>
      <c r="Y3084" s="2"/>
      <c r="Z3084" s="2"/>
    </row>
    <row r="3085">
      <c r="A3085" s="23"/>
      <c r="B3085" s="2"/>
      <c r="C3085" s="2"/>
      <c r="D3085" s="2"/>
      <c r="E3085" s="2"/>
      <c r="F3085" s="2"/>
      <c r="G3085" s="2"/>
      <c r="H3085" s="2"/>
      <c r="I3085" s="2"/>
      <c r="J3085" s="2"/>
      <c r="K3085" s="2"/>
      <c r="L3085" s="24"/>
      <c r="M3085" s="24"/>
      <c r="N3085" s="24"/>
      <c r="O3085" s="24"/>
      <c r="P3085" s="24"/>
      <c r="Q3085" s="2"/>
      <c r="R3085" s="2"/>
      <c r="S3085" s="2"/>
      <c r="T3085" s="2"/>
      <c r="U3085" s="24"/>
      <c r="V3085" s="2"/>
      <c r="W3085" s="2"/>
      <c r="X3085" s="2"/>
      <c r="Y3085" s="2"/>
      <c r="Z3085" s="2"/>
    </row>
    <row r="3086">
      <c r="A3086" s="23"/>
      <c r="B3086" s="2"/>
      <c r="C3086" s="2"/>
      <c r="D3086" s="2"/>
      <c r="E3086" s="2"/>
      <c r="F3086" s="2"/>
      <c r="G3086" s="2"/>
      <c r="H3086" s="2"/>
      <c r="I3086" s="2"/>
      <c r="J3086" s="2"/>
      <c r="K3086" s="2"/>
      <c r="L3086" s="24"/>
      <c r="M3086" s="24"/>
      <c r="N3086" s="24"/>
      <c r="O3086" s="24"/>
      <c r="P3086" s="24"/>
      <c r="Q3086" s="2"/>
      <c r="R3086" s="2"/>
      <c r="S3086" s="2"/>
      <c r="T3086" s="2"/>
      <c r="U3086" s="24"/>
      <c r="V3086" s="2"/>
      <c r="W3086" s="2"/>
      <c r="X3086" s="2"/>
      <c r="Y3086" s="2"/>
      <c r="Z3086" s="2"/>
    </row>
    <row r="3087">
      <c r="A3087" s="23"/>
      <c r="B3087" s="2"/>
      <c r="C3087" s="2"/>
      <c r="D3087" s="2"/>
      <c r="E3087" s="2"/>
      <c r="F3087" s="2"/>
      <c r="G3087" s="2"/>
      <c r="H3087" s="2"/>
      <c r="I3087" s="2"/>
      <c r="J3087" s="2"/>
      <c r="K3087" s="2"/>
      <c r="L3087" s="24"/>
      <c r="M3087" s="24"/>
      <c r="N3087" s="24"/>
      <c r="O3087" s="24"/>
      <c r="P3087" s="24"/>
      <c r="Q3087" s="2"/>
      <c r="R3087" s="2"/>
      <c r="S3087" s="2"/>
      <c r="T3087" s="2"/>
      <c r="U3087" s="24"/>
      <c r="V3087" s="2"/>
      <c r="W3087" s="2"/>
      <c r="X3087" s="2"/>
      <c r="Y3087" s="2"/>
      <c r="Z3087" s="2"/>
    </row>
    <row r="3088">
      <c r="A3088" s="23"/>
      <c r="B3088" s="2"/>
      <c r="C3088" s="2"/>
      <c r="D3088" s="2"/>
      <c r="E3088" s="2"/>
      <c r="F3088" s="2"/>
      <c r="G3088" s="2"/>
      <c r="H3088" s="2"/>
      <c r="I3088" s="2"/>
      <c r="J3088" s="2"/>
      <c r="K3088" s="2"/>
      <c r="L3088" s="24"/>
      <c r="M3088" s="24"/>
      <c r="N3088" s="24"/>
      <c r="O3088" s="24"/>
      <c r="P3088" s="24"/>
      <c r="Q3088" s="2"/>
      <c r="R3088" s="2"/>
      <c r="S3088" s="2"/>
      <c r="T3088" s="2"/>
      <c r="U3088" s="24"/>
      <c r="V3088" s="2"/>
      <c r="W3088" s="2"/>
      <c r="X3088" s="2"/>
      <c r="Y3088" s="2"/>
      <c r="Z3088" s="2"/>
    </row>
    <row r="3089">
      <c r="A3089" s="23"/>
      <c r="B3089" s="2"/>
      <c r="C3089" s="2"/>
      <c r="D3089" s="2"/>
      <c r="E3089" s="2"/>
      <c r="F3089" s="2"/>
      <c r="G3089" s="2"/>
      <c r="H3089" s="2"/>
      <c r="I3089" s="2"/>
      <c r="J3089" s="2"/>
      <c r="K3089" s="2"/>
      <c r="L3089" s="24"/>
      <c r="M3089" s="24"/>
      <c r="N3089" s="24"/>
      <c r="O3089" s="24"/>
      <c r="P3089" s="24"/>
      <c r="Q3089" s="2"/>
      <c r="R3089" s="2"/>
      <c r="S3089" s="2"/>
      <c r="T3089" s="2"/>
      <c r="U3089" s="24"/>
      <c r="V3089" s="2"/>
      <c r="W3089" s="2"/>
      <c r="X3089" s="2"/>
      <c r="Y3089" s="2"/>
      <c r="Z3089" s="2"/>
    </row>
    <row r="3090">
      <c r="A3090" s="23"/>
      <c r="B3090" s="2"/>
      <c r="C3090" s="2"/>
      <c r="D3090" s="2"/>
      <c r="E3090" s="2"/>
      <c r="F3090" s="2"/>
      <c r="G3090" s="2"/>
      <c r="H3090" s="2"/>
      <c r="I3090" s="2"/>
      <c r="J3090" s="2"/>
      <c r="K3090" s="2"/>
      <c r="L3090" s="24"/>
      <c r="M3090" s="24"/>
      <c r="N3090" s="24"/>
      <c r="O3090" s="24"/>
      <c r="P3090" s="24"/>
      <c r="Q3090" s="2"/>
      <c r="R3090" s="2"/>
      <c r="S3090" s="2"/>
      <c r="T3090" s="2"/>
      <c r="U3090" s="24"/>
      <c r="V3090" s="2"/>
      <c r="W3090" s="2"/>
      <c r="X3090" s="2"/>
      <c r="Y3090" s="2"/>
      <c r="Z3090" s="2"/>
    </row>
    <row r="3091">
      <c r="A3091" s="23"/>
      <c r="B3091" s="2"/>
      <c r="C3091" s="2"/>
      <c r="D3091" s="2"/>
      <c r="E3091" s="2"/>
      <c r="F3091" s="2"/>
      <c r="G3091" s="2"/>
      <c r="H3091" s="2"/>
      <c r="I3091" s="2"/>
      <c r="J3091" s="2"/>
      <c r="K3091" s="2"/>
      <c r="L3091" s="24"/>
      <c r="M3091" s="24"/>
      <c r="N3091" s="24"/>
      <c r="O3091" s="24"/>
      <c r="P3091" s="24"/>
      <c r="Q3091" s="2"/>
      <c r="R3091" s="2"/>
      <c r="S3091" s="2"/>
      <c r="T3091" s="2"/>
      <c r="U3091" s="24"/>
      <c r="V3091" s="2"/>
      <c r="W3091" s="2"/>
      <c r="X3091" s="2"/>
      <c r="Y3091" s="2"/>
      <c r="Z3091" s="2"/>
    </row>
    <row r="3092">
      <c r="A3092" s="23"/>
      <c r="B3092" s="2"/>
      <c r="C3092" s="2"/>
      <c r="D3092" s="2"/>
      <c r="E3092" s="2"/>
      <c r="F3092" s="2"/>
      <c r="G3092" s="2"/>
      <c r="H3092" s="2"/>
      <c r="I3092" s="2"/>
      <c r="J3092" s="2"/>
      <c r="K3092" s="2"/>
      <c r="L3092" s="24"/>
      <c r="M3092" s="24"/>
      <c r="N3092" s="24"/>
      <c r="O3092" s="24"/>
      <c r="P3092" s="24"/>
      <c r="Q3092" s="2"/>
      <c r="R3092" s="2"/>
      <c r="S3092" s="2"/>
      <c r="T3092" s="2"/>
      <c r="U3092" s="24"/>
      <c r="V3092" s="2"/>
      <c r="W3092" s="2"/>
      <c r="X3092" s="2"/>
      <c r="Y3092" s="2"/>
      <c r="Z3092" s="2"/>
    </row>
    <row r="3093">
      <c r="A3093" s="23"/>
      <c r="B3093" s="2"/>
      <c r="C3093" s="2"/>
      <c r="D3093" s="2"/>
      <c r="E3093" s="2"/>
      <c r="F3093" s="2"/>
      <c r="G3093" s="2"/>
      <c r="H3093" s="2"/>
      <c r="I3093" s="2"/>
      <c r="J3093" s="2"/>
      <c r="K3093" s="2"/>
      <c r="L3093" s="24"/>
      <c r="M3093" s="24"/>
      <c r="N3093" s="24"/>
      <c r="O3093" s="24"/>
      <c r="P3093" s="24"/>
      <c r="Q3093" s="2"/>
      <c r="R3093" s="2"/>
      <c r="S3093" s="2"/>
      <c r="T3093" s="2"/>
      <c r="U3093" s="24"/>
      <c r="V3093" s="2"/>
      <c r="W3093" s="2"/>
      <c r="X3093" s="2"/>
      <c r="Y3093" s="2"/>
      <c r="Z3093" s="2"/>
    </row>
    <row r="3094">
      <c r="A3094" s="23"/>
      <c r="B3094" s="2"/>
      <c r="C3094" s="2"/>
      <c r="D3094" s="2"/>
      <c r="E3094" s="2"/>
      <c r="F3094" s="2"/>
      <c r="G3094" s="2"/>
      <c r="H3094" s="2"/>
      <c r="I3094" s="2"/>
      <c r="J3094" s="2"/>
      <c r="K3094" s="2"/>
      <c r="L3094" s="24"/>
      <c r="M3094" s="24"/>
      <c r="N3094" s="24"/>
      <c r="O3094" s="24"/>
      <c r="P3094" s="24"/>
      <c r="Q3094" s="2"/>
      <c r="R3094" s="2"/>
      <c r="S3094" s="2"/>
      <c r="T3094" s="2"/>
      <c r="U3094" s="24"/>
      <c r="V3094" s="2"/>
      <c r="W3094" s="2"/>
      <c r="X3094" s="2"/>
      <c r="Y3094" s="2"/>
      <c r="Z3094" s="2"/>
    </row>
    <row r="3095">
      <c r="A3095" s="23"/>
      <c r="B3095" s="2"/>
      <c r="C3095" s="2"/>
      <c r="D3095" s="2"/>
      <c r="E3095" s="2"/>
      <c r="F3095" s="2"/>
      <c r="G3095" s="2"/>
      <c r="H3095" s="2"/>
      <c r="I3095" s="2"/>
      <c r="J3095" s="2"/>
      <c r="K3095" s="2"/>
      <c r="L3095" s="24"/>
      <c r="M3095" s="24"/>
      <c r="N3095" s="24"/>
      <c r="O3095" s="24"/>
      <c r="P3095" s="24"/>
      <c r="Q3095" s="2"/>
      <c r="R3095" s="2"/>
      <c r="S3095" s="2"/>
      <c r="T3095" s="2"/>
      <c r="U3095" s="24"/>
      <c r="V3095" s="2"/>
      <c r="W3095" s="2"/>
      <c r="X3095" s="2"/>
      <c r="Y3095" s="2"/>
      <c r="Z3095" s="2"/>
    </row>
    <row r="3096">
      <c r="A3096" s="23"/>
      <c r="B3096" s="2"/>
      <c r="C3096" s="2"/>
      <c r="D3096" s="2"/>
      <c r="E3096" s="2"/>
      <c r="F3096" s="2"/>
      <c r="G3096" s="2"/>
      <c r="H3096" s="2"/>
      <c r="I3096" s="2"/>
      <c r="J3096" s="2"/>
      <c r="K3096" s="2"/>
      <c r="L3096" s="24"/>
      <c r="M3096" s="24"/>
      <c r="N3096" s="24"/>
      <c r="O3096" s="24"/>
      <c r="P3096" s="24"/>
      <c r="Q3096" s="2"/>
      <c r="R3096" s="2"/>
      <c r="S3096" s="2"/>
      <c r="T3096" s="2"/>
      <c r="U3096" s="24"/>
      <c r="V3096" s="2"/>
      <c r="W3096" s="2"/>
      <c r="X3096" s="2"/>
      <c r="Y3096" s="2"/>
      <c r="Z3096" s="2"/>
    </row>
    <row r="3097">
      <c r="A3097" s="23"/>
      <c r="B3097" s="2"/>
      <c r="C3097" s="2"/>
      <c r="D3097" s="2"/>
      <c r="E3097" s="2"/>
      <c r="F3097" s="2"/>
      <c r="G3097" s="2"/>
      <c r="H3097" s="2"/>
      <c r="I3097" s="2"/>
      <c r="J3097" s="2"/>
      <c r="K3097" s="2"/>
      <c r="L3097" s="24"/>
      <c r="M3097" s="24"/>
      <c r="N3097" s="24"/>
      <c r="O3097" s="24"/>
      <c r="P3097" s="24"/>
      <c r="Q3097" s="2"/>
      <c r="R3097" s="2"/>
      <c r="S3097" s="2"/>
      <c r="T3097" s="2"/>
      <c r="U3097" s="24"/>
      <c r="V3097" s="2"/>
      <c r="W3097" s="2"/>
      <c r="X3097" s="2"/>
      <c r="Y3097" s="2"/>
      <c r="Z3097" s="2"/>
    </row>
    <row r="3098">
      <c r="A3098" s="23"/>
      <c r="B3098" s="2"/>
      <c r="C3098" s="2"/>
      <c r="D3098" s="2"/>
      <c r="E3098" s="2"/>
      <c r="F3098" s="2"/>
      <c r="G3098" s="2"/>
      <c r="H3098" s="2"/>
      <c r="I3098" s="2"/>
      <c r="J3098" s="2"/>
      <c r="K3098" s="2"/>
      <c r="L3098" s="24"/>
      <c r="M3098" s="24"/>
      <c r="N3098" s="24"/>
      <c r="O3098" s="24"/>
      <c r="P3098" s="24"/>
      <c r="Q3098" s="2"/>
      <c r="R3098" s="2"/>
      <c r="S3098" s="2"/>
      <c r="T3098" s="2"/>
      <c r="U3098" s="24"/>
      <c r="V3098" s="2"/>
      <c r="W3098" s="2"/>
      <c r="X3098" s="2"/>
      <c r="Y3098" s="2"/>
      <c r="Z3098" s="2"/>
    </row>
    <row r="3099">
      <c r="A3099" s="23"/>
      <c r="B3099" s="2"/>
      <c r="C3099" s="2"/>
      <c r="D3099" s="2"/>
      <c r="E3099" s="2"/>
      <c r="F3099" s="2"/>
      <c r="G3099" s="2"/>
      <c r="H3099" s="2"/>
      <c r="I3099" s="2"/>
      <c r="J3099" s="2"/>
      <c r="K3099" s="2"/>
      <c r="L3099" s="24"/>
      <c r="M3099" s="24"/>
      <c r="N3099" s="24"/>
      <c r="O3099" s="24"/>
      <c r="P3099" s="24"/>
      <c r="Q3099" s="2"/>
      <c r="R3099" s="2"/>
      <c r="S3099" s="2"/>
      <c r="T3099" s="2"/>
      <c r="U3099" s="24"/>
      <c r="V3099" s="2"/>
      <c r="W3099" s="2"/>
      <c r="X3099" s="2"/>
      <c r="Y3099" s="2"/>
      <c r="Z3099" s="2"/>
    </row>
    <row r="3100">
      <c r="A3100" s="23"/>
      <c r="B3100" s="2"/>
      <c r="C3100" s="2"/>
      <c r="D3100" s="2"/>
      <c r="E3100" s="2"/>
      <c r="F3100" s="2"/>
      <c r="G3100" s="2"/>
      <c r="H3100" s="2"/>
      <c r="I3100" s="2"/>
      <c r="J3100" s="2"/>
      <c r="K3100" s="2"/>
      <c r="L3100" s="24"/>
      <c r="M3100" s="24"/>
      <c r="N3100" s="24"/>
      <c r="O3100" s="24"/>
      <c r="P3100" s="24"/>
      <c r="Q3100" s="2"/>
      <c r="R3100" s="2"/>
      <c r="S3100" s="2"/>
      <c r="T3100" s="2"/>
      <c r="U3100" s="24"/>
      <c r="V3100" s="2"/>
      <c r="W3100" s="2"/>
      <c r="X3100" s="2"/>
      <c r="Y3100" s="2"/>
      <c r="Z3100" s="2"/>
    </row>
    <row r="3101">
      <c r="A3101" s="23"/>
      <c r="B3101" s="2"/>
      <c r="C3101" s="2"/>
      <c r="D3101" s="2"/>
      <c r="E3101" s="2"/>
      <c r="F3101" s="2"/>
      <c r="G3101" s="2"/>
      <c r="H3101" s="2"/>
      <c r="I3101" s="2"/>
      <c r="J3101" s="2"/>
      <c r="K3101" s="2"/>
      <c r="L3101" s="24"/>
      <c r="M3101" s="24"/>
      <c r="N3101" s="24"/>
      <c r="O3101" s="24"/>
      <c r="P3101" s="24"/>
      <c r="Q3101" s="2"/>
      <c r="R3101" s="2"/>
      <c r="S3101" s="2"/>
      <c r="T3101" s="2"/>
      <c r="U3101" s="24"/>
      <c r="V3101" s="2"/>
      <c r="W3101" s="2"/>
      <c r="X3101" s="2"/>
      <c r="Y3101" s="2"/>
      <c r="Z3101" s="2"/>
    </row>
    <row r="3102">
      <c r="A3102" s="23"/>
      <c r="B3102" s="2"/>
      <c r="C3102" s="2"/>
      <c r="D3102" s="2"/>
      <c r="E3102" s="2"/>
      <c r="F3102" s="2"/>
      <c r="G3102" s="2"/>
      <c r="H3102" s="2"/>
      <c r="I3102" s="2"/>
      <c r="J3102" s="2"/>
      <c r="K3102" s="2"/>
      <c r="L3102" s="24"/>
      <c r="M3102" s="24"/>
      <c r="N3102" s="24"/>
      <c r="O3102" s="24"/>
      <c r="P3102" s="24"/>
      <c r="Q3102" s="2"/>
      <c r="R3102" s="2"/>
      <c r="S3102" s="2"/>
      <c r="T3102" s="2"/>
      <c r="U3102" s="24"/>
      <c r="V3102" s="2"/>
      <c r="W3102" s="2"/>
      <c r="X3102" s="2"/>
      <c r="Y3102" s="2"/>
      <c r="Z3102" s="2"/>
    </row>
    <row r="3103">
      <c r="A3103" s="23"/>
      <c r="B3103" s="2"/>
      <c r="C3103" s="2"/>
      <c r="D3103" s="2"/>
      <c r="E3103" s="2"/>
      <c r="F3103" s="2"/>
      <c r="G3103" s="2"/>
      <c r="H3103" s="2"/>
      <c r="I3103" s="2"/>
      <c r="J3103" s="2"/>
      <c r="K3103" s="2"/>
      <c r="L3103" s="24"/>
      <c r="M3103" s="24"/>
      <c r="N3103" s="24"/>
      <c r="O3103" s="24"/>
      <c r="P3103" s="24"/>
      <c r="Q3103" s="2"/>
      <c r="R3103" s="2"/>
      <c r="S3103" s="2"/>
      <c r="T3103" s="2"/>
      <c r="U3103" s="24"/>
      <c r="V3103" s="2"/>
      <c r="W3103" s="2"/>
      <c r="X3103" s="2"/>
      <c r="Y3103" s="2"/>
      <c r="Z3103" s="2"/>
    </row>
    <row r="3104">
      <c r="A3104" s="23"/>
      <c r="B3104" s="2"/>
      <c r="C3104" s="2"/>
      <c r="D3104" s="2"/>
      <c r="E3104" s="2"/>
      <c r="F3104" s="2"/>
      <c r="G3104" s="2"/>
      <c r="H3104" s="2"/>
      <c r="I3104" s="2"/>
      <c r="J3104" s="2"/>
      <c r="K3104" s="2"/>
      <c r="L3104" s="24"/>
      <c r="M3104" s="24"/>
      <c r="N3104" s="24"/>
      <c r="O3104" s="24"/>
      <c r="P3104" s="24"/>
      <c r="Q3104" s="2"/>
      <c r="R3104" s="2"/>
      <c r="S3104" s="2"/>
      <c r="T3104" s="2"/>
      <c r="U3104" s="24"/>
      <c r="V3104" s="2"/>
      <c r="W3104" s="2"/>
      <c r="X3104" s="2"/>
      <c r="Y3104" s="2"/>
      <c r="Z3104" s="2"/>
    </row>
    <row r="3105">
      <c r="A3105" s="23"/>
      <c r="B3105" s="2"/>
      <c r="C3105" s="2"/>
      <c r="D3105" s="2"/>
      <c r="E3105" s="2"/>
      <c r="F3105" s="2"/>
      <c r="G3105" s="2"/>
      <c r="H3105" s="2"/>
      <c r="I3105" s="2"/>
      <c r="J3105" s="2"/>
      <c r="K3105" s="2"/>
      <c r="L3105" s="24"/>
      <c r="M3105" s="24"/>
      <c r="N3105" s="24"/>
      <c r="O3105" s="24"/>
      <c r="P3105" s="24"/>
      <c r="Q3105" s="2"/>
      <c r="R3105" s="2"/>
      <c r="S3105" s="2"/>
      <c r="T3105" s="2"/>
      <c r="U3105" s="24"/>
      <c r="V3105" s="2"/>
      <c r="W3105" s="2"/>
      <c r="X3105" s="2"/>
      <c r="Y3105" s="2"/>
      <c r="Z3105" s="2"/>
    </row>
    <row r="3106">
      <c r="A3106" s="23"/>
      <c r="B3106" s="2"/>
      <c r="C3106" s="2"/>
      <c r="D3106" s="2"/>
      <c r="E3106" s="2"/>
      <c r="F3106" s="2"/>
      <c r="G3106" s="2"/>
      <c r="H3106" s="2"/>
      <c r="I3106" s="2"/>
      <c r="J3106" s="2"/>
      <c r="K3106" s="2"/>
      <c r="L3106" s="24"/>
      <c r="M3106" s="24"/>
      <c r="N3106" s="24"/>
      <c r="O3106" s="24"/>
      <c r="P3106" s="24"/>
      <c r="Q3106" s="2"/>
      <c r="R3106" s="2"/>
      <c r="S3106" s="2"/>
      <c r="T3106" s="2"/>
      <c r="U3106" s="24"/>
      <c r="V3106" s="2"/>
      <c r="W3106" s="2"/>
      <c r="X3106" s="2"/>
      <c r="Y3106" s="2"/>
      <c r="Z3106" s="2"/>
    </row>
    <row r="3107">
      <c r="A3107" s="23"/>
      <c r="B3107" s="2"/>
      <c r="C3107" s="2"/>
      <c r="D3107" s="2"/>
      <c r="E3107" s="2"/>
      <c r="F3107" s="2"/>
      <c r="G3107" s="2"/>
      <c r="H3107" s="2"/>
      <c r="I3107" s="2"/>
      <c r="J3107" s="2"/>
      <c r="K3107" s="2"/>
      <c r="L3107" s="24"/>
      <c r="M3107" s="24"/>
      <c r="N3107" s="24"/>
      <c r="O3107" s="24"/>
      <c r="P3107" s="24"/>
      <c r="Q3107" s="2"/>
      <c r="R3107" s="2"/>
      <c r="S3107" s="2"/>
      <c r="T3107" s="2"/>
      <c r="U3107" s="24"/>
      <c r="V3107" s="2"/>
      <c r="W3107" s="2"/>
      <c r="X3107" s="2"/>
      <c r="Y3107" s="2"/>
      <c r="Z3107" s="2"/>
    </row>
    <row r="3108">
      <c r="A3108" s="23"/>
      <c r="B3108" s="2"/>
      <c r="C3108" s="2"/>
      <c r="D3108" s="2"/>
      <c r="E3108" s="2"/>
      <c r="F3108" s="2"/>
      <c r="G3108" s="2"/>
      <c r="H3108" s="2"/>
      <c r="I3108" s="2"/>
      <c r="J3108" s="2"/>
      <c r="K3108" s="2"/>
      <c r="L3108" s="24"/>
      <c r="M3108" s="24"/>
      <c r="N3108" s="24"/>
      <c r="O3108" s="24"/>
      <c r="P3108" s="24"/>
      <c r="Q3108" s="2"/>
      <c r="R3108" s="2"/>
      <c r="S3108" s="2"/>
      <c r="T3108" s="2"/>
      <c r="U3108" s="24"/>
      <c r="V3108" s="2"/>
      <c r="W3108" s="2"/>
      <c r="X3108" s="2"/>
      <c r="Y3108" s="2"/>
      <c r="Z3108" s="2"/>
    </row>
    <row r="3109">
      <c r="A3109" s="23"/>
      <c r="B3109" s="2"/>
      <c r="C3109" s="2"/>
      <c r="D3109" s="2"/>
      <c r="E3109" s="2"/>
      <c r="F3109" s="2"/>
      <c r="G3109" s="2"/>
      <c r="H3109" s="2"/>
      <c r="I3109" s="2"/>
      <c r="J3109" s="2"/>
      <c r="K3109" s="2"/>
      <c r="L3109" s="24"/>
      <c r="M3109" s="24"/>
      <c r="N3109" s="24"/>
      <c r="O3109" s="24"/>
      <c r="P3109" s="24"/>
      <c r="Q3109" s="2"/>
      <c r="R3109" s="2"/>
      <c r="S3109" s="2"/>
      <c r="T3109" s="2"/>
      <c r="U3109" s="24"/>
      <c r="V3109" s="2"/>
      <c r="W3109" s="2"/>
      <c r="X3109" s="2"/>
      <c r="Y3109" s="2"/>
      <c r="Z3109" s="2"/>
    </row>
    <row r="3110">
      <c r="A3110" s="23"/>
      <c r="B3110" s="2"/>
      <c r="C3110" s="2"/>
      <c r="D3110" s="2"/>
      <c r="E3110" s="2"/>
      <c r="F3110" s="2"/>
      <c r="G3110" s="2"/>
      <c r="H3110" s="2"/>
      <c r="I3110" s="2"/>
      <c r="J3110" s="2"/>
      <c r="K3110" s="2"/>
      <c r="L3110" s="24"/>
      <c r="M3110" s="24"/>
      <c r="N3110" s="24"/>
      <c r="O3110" s="24"/>
      <c r="P3110" s="24"/>
      <c r="Q3110" s="2"/>
      <c r="R3110" s="2"/>
      <c r="S3110" s="2"/>
      <c r="T3110" s="2"/>
      <c r="U3110" s="24"/>
      <c r="V3110" s="2"/>
      <c r="W3110" s="2"/>
      <c r="X3110" s="2"/>
      <c r="Y3110" s="2"/>
      <c r="Z3110" s="2"/>
    </row>
    <row r="3111">
      <c r="A3111" s="23"/>
      <c r="B3111" s="2"/>
      <c r="C3111" s="2"/>
      <c r="D3111" s="2"/>
      <c r="E3111" s="2"/>
      <c r="F3111" s="2"/>
      <c r="G3111" s="2"/>
      <c r="H3111" s="2"/>
      <c r="I3111" s="2"/>
      <c r="J3111" s="2"/>
      <c r="K3111" s="2"/>
      <c r="L3111" s="24"/>
      <c r="M3111" s="24"/>
      <c r="N3111" s="24"/>
      <c r="O3111" s="24"/>
      <c r="P3111" s="24"/>
      <c r="Q3111" s="2"/>
      <c r="R3111" s="2"/>
      <c r="S3111" s="2"/>
      <c r="T3111" s="2"/>
      <c r="U3111" s="24"/>
      <c r="V3111" s="2"/>
      <c r="W3111" s="2"/>
      <c r="X3111" s="2"/>
      <c r="Y3111" s="2"/>
      <c r="Z3111" s="2"/>
    </row>
    <row r="3112">
      <c r="A3112" s="23"/>
      <c r="B3112" s="2"/>
      <c r="C3112" s="2"/>
      <c r="D3112" s="2"/>
      <c r="E3112" s="2"/>
      <c r="F3112" s="2"/>
      <c r="G3112" s="2"/>
      <c r="H3112" s="2"/>
      <c r="I3112" s="2"/>
      <c r="J3112" s="2"/>
      <c r="K3112" s="2"/>
      <c r="L3112" s="24"/>
      <c r="M3112" s="24"/>
      <c r="N3112" s="24"/>
      <c r="O3112" s="24"/>
      <c r="P3112" s="24"/>
      <c r="Q3112" s="2"/>
      <c r="R3112" s="2"/>
      <c r="S3112" s="2"/>
      <c r="T3112" s="2"/>
      <c r="U3112" s="24"/>
      <c r="V3112" s="2"/>
      <c r="W3112" s="2"/>
      <c r="X3112" s="2"/>
      <c r="Y3112" s="2"/>
      <c r="Z3112" s="2"/>
    </row>
    <row r="3113">
      <c r="A3113" s="23"/>
      <c r="B3113" s="2"/>
      <c r="C3113" s="2"/>
      <c r="D3113" s="2"/>
      <c r="E3113" s="2"/>
      <c r="F3113" s="2"/>
      <c r="G3113" s="2"/>
      <c r="H3113" s="2"/>
      <c r="I3113" s="2"/>
      <c r="J3113" s="2"/>
      <c r="K3113" s="2"/>
      <c r="L3113" s="24"/>
      <c r="M3113" s="24"/>
      <c r="N3113" s="24"/>
      <c r="O3113" s="24"/>
      <c r="P3113" s="24"/>
      <c r="Q3113" s="2"/>
      <c r="R3113" s="2"/>
      <c r="S3113" s="2"/>
      <c r="T3113" s="2"/>
      <c r="U3113" s="24"/>
      <c r="V3113" s="2"/>
      <c r="W3113" s="2"/>
      <c r="X3113" s="2"/>
      <c r="Y3113" s="2"/>
      <c r="Z3113" s="2"/>
    </row>
    <row r="3114">
      <c r="A3114" s="23"/>
      <c r="B3114" s="2"/>
      <c r="C3114" s="2"/>
      <c r="D3114" s="2"/>
      <c r="E3114" s="2"/>
      <c r="F3114" s="2"/>
      <c r="G3114" s="2"/>
      <c r="H3114" s="2"/>
      <c r="I3114" s="2"/>
      <c r="J3114" s="2"/>
      <c r="K3114" s="2"/>
      <c r="L3114" s="24"/>
      <c r="M3114" s="24"/>
      <c r="N3114" s="24"/>
      <c r="O3114" s="24"/>
      <c r="P3114" s="24"/>
      <c r="Q3114" s="2"/>
      <c r="R3114" s="2"/>
      <c r="S3114" s="2"/>
      <c r="T3114" s="2"/>
      <c r="U3114" s="24"/>
      <c r="V3114" s="2"/>
      <c r="W3114" s="2"/>
      <c r="X3114" s="2"/>
      <c r="Y3114" s="2"/>
      <c r="Z3114" s="2"/>
    </row>
    <row r="3115">
      <c r="A3115" s="23"/>
      <c r="B3115" s="2"/>
      <c r="C3115" s="2"/>
      <c r="D3115" s="2"/>
      <c r="E3115" s="2"/>
      <c r="F3115" s="2"/>
      <c r="G3115" s="2"/>
      <c r="H3115" s="2"/>
      <c r="I3115" s="2"/>
      <c r="J3115" s="2"/>
      <c r="K3115" s="2"/>
      <c r="L3115" s="24"/>
      <c r="M3115" s="24"/>
      <c r="N3115" s="24"/>
      <c r="O3115" s="24"/>
      <c r="P3115" s="24"/>
      <c r="Q3115" s="2"/>
      <c r="R3115" s="2"/>
      <c r="S3115" s="2"/>
      <c r="T3115" s="2"/>
      <c r="U3115" s="24"/>
      <c r="V3115" s="2"/>
      <c r="W3115" s="2"/>
      <c r="X3115" s="2"/>
      <c r="Y3115" s="2"/>
      <c r="Z3115" s="2"/>
    </row>
    <row r="3116">
      <c r="A3116" s="23"/>
      <c r="B3116" s="2"/>
      <c r="C3116" s="2"/>
      <c r="D3116" s="2"/>
      <c r="E3116" s="2"/>
      <c r="F3116" s="2"/>
      <c r="G3116" s="2"/>
      <c r="H3116" s="2"/>
      <c r="I3116" s="2"/>
      <c r="J3116" s="2"/>
      <c r="K3116" s="2"/>
      <c r="L3116" s="24"/>
      <c r="M3116" s="24"/>
      <c r="N3116" s="24"/>
      <c r="O3116" s="24"/>
      <c r="P3116" s="24"/>
      <c r="Q3116" s="2"/>
      <c r="R3116" s="2"/>
      <c r="S3116" s="2"/>
      <c r="T3116" s="2"/>
      <c r="U3116" s="24"/>
      <c r="V3116" s="2"/>
      <c r="W3116" s="2"/>
      <c r="X3116" s="2"/>
      <c r="Y3116" s="2"/>
      <c r="Z3116" s="2"/>
    </row>
    <row r="3117">
      <c r="A3117" s="23"/>
      <c r="B3117" s="2"/>
      <c r="C3117" s="2"/>
      <c r="D3117" s="2"/>
      <c r="E3117" s="2"/>
      <c r="F3117" s="2"/>
      <c r="G3117" s="2"/>
      <c r="H3117" s="2"/>
      <c r="I3117" s="2"/>
      <c r="J3117" s="2"/>
      <c r="K3117" s="2"/>
      <c r="L3117" s="24"/>
      <c r="M3117" s="24"/>
      <c r="N3117" s="24"/>
      <c r="O3117" s="24"/>
      <c r="P3117" s="24"/>
      <c r="Q3117" s="2"/>
      <c r="R3117" s="2"/>
      <c r="S3117" s="2"/>
      <c r="T3117" s="2"/>
      <c r="U3117" s="24"/>
      <c r="V3117" s="2"/>
      <c r="W3117" s="2"/>
      <c r="X3117" s="2"/>
      <c r="Y3117" s="2"/>
      <c r="Z3117" s="2"/>
    </row>
    <row r="3118">
      <c r="A3118" s="23"/>
      <c r="B3118" s="2"/>
      <c r="C3118" s="2"/>
      <c r="D3118" s="2"/>
      <c r="E3118" s="2"/>
      <c r="F3118" s="2"/>
      <c r="G3118" s="2"/>
      <c r="H3118" s="2"/>
      <c r="I3118" s="2"/>
      <c r="J3118" s="2"/>
      <c r="K3118" s="2"/>
      <c r="L3118" s="24"/>
      <c r="M3118" s="24"/>
      <c r="N3118" s="24"/>
      <c r="O3118" s="24"/>
      <c r="P3118" s="24"/>
      <c r="Q3118" s="2"/>
      <c r="R3118" s="2"/>
      <c r="S3118" s="2"/>
      <c r="T3118" s="2"/>
      <c r="U3118" s="24"/>
      <c r="V3118" s="2"/>
      <c r="W3118" s="2"/>
      <c r="X3118" s="2"/>
      <c r="Y3118" s="2"/>
      <c r="Z3118" s="2"/>
    </row>
    <row r="3119">
      <c r="A3119" s="23"/>
      <c r="B3119" s="2"/>
      <c r="C3119" s="2"/>
      <c r="D3119" s="2"/>
      <c r="E3119" s="2"/>
      <c r="F3119" s="2"/>
      <c r="G3119" s="2"/>
      <c r="H3119" s="2"/>
      <c r="I3119" s="2"/>
      <c r="J3119" s="2"/>
      <c r="K3119" s="2"/>
      <c r="L3119" s="24"/>
      <c r="M3119" s="24"/>
      <c r="N3119" s="24"/>
      <c r="O3119" s="24"/>
      <c r="P3119" s="24"/>
      <c r="Q3119" s="2"/>
      <c r="R3119" s="2"/>
      <c r="S3119" s="2"/>
      <c r="T3119" s="2"/>
      <c r="U3119" s="24"/>
      <c r="V3119" s="2"/>
      <c r="W3119" s="2"/>
      <c r="X3119" s="2"/>
      <c r="Y3119" s="2"/>
      <c r="Z3119" s="2"/>
    </row>
    <row r="3120">
      <c r="A3120" s="23"/>
      <c r="B3120" s="2"/>
      <c r="C3120" s="2"/>
      <c r="D3120" s="2"/>
      <c r="E3120" s="2"/>
      <c r="F3120" s="2"/>
      <c r="G3120" s="2"/>
      <c r="H3120" s="2"/>
      <c r="I3120" s="2"/>
      <c r="J3120" s="2"/>
      <c r="K3120" s="2"/>
      <c r="L3120" s="24"/>
      <c r="M3120" s="24"/>
      <c r="N3120" s="24"/>
      <c r="O3120" s="24"/>
      <c r="P3120" s="24"/>
      <c r="Q3120" s="2"/>
      <c r="R3120" s="2"/>
      <c r="S3120" s="2"/>
      <c r="T3120" s="2"/>
      <c r="U3120" s="24"/>
      <c r="V3120" s="2"/>
      <c r="W3120" s="2"/>
      <c r="X3120" s="2"/>
      <c r="Y3120" s="2"/>
      <c r="Z3120" s="2"/>
    </row>
    <row r="3121">
      <c r="A3121" s="23"/>
      <c r="B3121" s="2"/>
      <c r="C3121" s="2"/>
      <c r="D3121" s="2"/>
      <c r="E3121" s="2"/>
      <c r="F3121" s="2"/>
      <c r="G3121" s="2"/>
      <c r="H3121" s="2"/>
      <c r="I3121" s="2"/>
      <c r="J3121" s="2"/>
      <c r="K3121" s="2"/>
      <c r="L3121" s="24"/>
      <c r="M3121" s="24"/>
      <c r="N3121" s="24"/>
      <c r="O3121" s="24"/>
      <c r="P3121" s="24"/>
      <c r="Q3121" s="2"/>
      <c r="R3121" s="2"/>
      <c r="S3121" s="2"/>
      <c r="T3121" s="2"/>
      <c r="U3121" s="24"/>
      <c r="V3121" s="2"/>
      <c r="W3121" s="2"/>
      <c r="X3121" s="2"/>
      <c r="Y3121" s="2"/>
      <c r="Z3121" s="2"/>
    </row>
    <row r="3122">
      <c r="A3122" s="23"/>
      <c r="B3122" s="2"/>
      <c r="C3122" s="2"/>
      <c r="D3122" s="2"/>
      <c r="E3122" s="2"/>
      <c r="F3122" s="2"/>
      <c r="G3122" s="2"/>
      <c r="H3122" s="2"/>
      <c r="I3122" s="2"/>
      <c r="J3122" s="2"/>
      <c r="K3122" s="2"/>
      <c r="L3122" s="24"/>
      <c r="M3122" s="24"/>
      <c r="N3122" s="24"/>
      <c r="O3122" s="24"/>
      <c r="P3122" s="24"/>
      <c r="Q3122" s="2"/>
      <c r="R3122" s="2"/>
      <c r="S3122" s="2"/>
      <c r="T3122" s="2"/>
      <c r="U3122" s="24"/>
      <c r="V3122" s="2"/>
      <c r="W3122" s="2"/>
      <c r="X3122" s="2"/>
      <c r="Y3122" s="2"/>
      <c r="Z3122" s="2"/>
    </row>
    <row r="3123">
      <c r="A3123" s="23"/>
      <c r="B3123" s="2"/>
      <c r="C3123" s="2"/>
      <c r="D3123" s="2"/>
      <c r="E3123" s="2"/>
      <c r="F3123" s="2"/>
      <c r="G3123" s="2"/>
      <c r="H3123" s="2"/>
      <c r="I3123" s="2"/>
      <c r="J3123" s="2"/>
      <c r="K3123" s="2"/>
      <c r="L3123" s="24"/>
      <c r="M3123" s="24"/>
      <c r="N3123" s="24"/>
      <c r="O3123" s="24"/>
      <c r="P3123" s="24"/>
      <c r="Q3123" s="2"/>
      <c r="R3123" s="2"/>
      <c r="S3123" s="2"/>
      <c r="T3123" s="2"/>
      <c r="U3123" s="24"/>
      <c r="V3123" s="2"/>
      <c r="W3123" s="2"/>
      <c r="X3123" s="2"/>
      <c r="Y3123" s="2"/>
      <c r="Z3123" s="2"/>
    </row>
    <row r="3124">
      <c r="A3124" s="23"/>
      <c r="B3124" s="2"/>
      <c r="C3124" s="2"/>
      <c r="D3124" s="2"/>
      <c r="E3124" s="2"/>
      <c r="F3124" s="2"/>
      <c r="G3124" s="2"/>
      <c r="H3124" s="2"/>
      <c r="I3124" s="2"/>
      <c r="J3124" s="2"/>
      <c r="K3124" s="2"/>
      <c r="L3124" s="24"/>
      <c r="M3124" s="24"/>
      <c r="N3124" s="24"/>
      <c r="O3124" s="24"/>
      <c r="P3124" s="24"/>
      <c r="Q3124" s="2"/>
      <c r="R3124" s="2"/>
      <c r="S3124" s="2"/>
      <c r="T3124" s="2"/>
      <c r="U3124" s="24"/>
      <c r="V3124" s="2"/>
      <c r="W3124" s="2"/>
      <c r="X3124" s="2"/>
      <c r="Y3124" s="2"/>
      <c r="Z3124" s="2"/>
    </row>
    <row r="3125">
      <c r="A3125" s="23"/>
      <c r="B3125" s="2"/>
      <c r="C3125" s="2"/>
      <c r="D3125" s="2"/>
      <c r="E3125" s="2"/>
      <c r="F3125" s="2"/>
      <c r="G3125" s="2"/>
      <c r="H3125" s="2"/>
      <c r="I3125" s="2"/>
      <c r="J3125" s="2"/>
      <c r="K3125" s="2"/>
      <c r="L3125" s="24"/>
      <c r="M3125" s="24"/>
      <c r="N3125" s="24"/>
      <c r="O3125" s="24"/>
      <c r="P3125" s="24"/>
      <c r="Q3125" s="2"/>
      <c r="R3125" s="2"/>
      <c r="S3125" s="2"/>
      <c r="T3125" s="2"/>
      <c r="U3125" s="24"/>
      <c r="V3125" s="2"/>
      <c r="W3125" s="2"/>
      <c r="X3125" s="2"/>
      <c r="Y3125" s="2"/>
      <c r="Z3125" s="2"/>
    </row>
    <row r="3126">
      <c r="A3126" s="23"/>
      <c r="B3126" s="2"/>
      <c r="C3126" s="2"/>
      <c r="D3126" s="2"/>
      <c r="E3126" s="2"/>
      <c r="F3126" s="2"/>
      <c r="G3126" s="2"/>
      <c r="H3126" s="2"/>
      <c r="I3126" s="2"/>
      <c r="J3126" s="2"/>
      <c r="K3126" s="2"/>
      <c r="L3126" s="24"/>
      <c r="M3126" s="24"/>
      <c r="N3126" s="24"/>
      <c r="O3126" s="24"/>
      <c r="P3126" s="24"/>
      <c r="Q3126" s="2"/>
      <c r="R3126" s="2"/>
      <c r="S3126" s="2"/>
      <c r="T3126" s="2"/>
      <c r="U3126" s="24"/>
      <c r="V3126" s="2"/>
      <c r="W3126" s="2"/>
      <c r="X3126" s="2"/>
      <c r="Y3126" s="2"/>
      <c r="Z3126" s="2"/>
    </row>
    <row r="3127">
      <c r="A3127" s="23"/>
      <c r="B3127" s="2"/>
      <c r="C3127" s="2"/>
      <c r="D3127" s="2"/>
      <c r="E3127" s="2"/>
      <c r="F3127" s="2"/>
      <c r="G3127" s="2"/>
      <c r="H3127" s="2"/>
      <c r="I3127" s="2"/>
      <c r="J3127" s="2"/>
      <c r="K3127" s="2"/>
      <c r="L3127" s="24"/>
      <c r="M3127" s="24"/>
      <c r="N3127" s="24"/>
      <c r="O3127" s="24"/>
      <c r="P3127" s="24"/>
      <c r="Q3127" s="2"/>
      <c r="R3127" s="2"/>
      <c r="S3127" s="2"/>
      <c r="T3127" s="2"/>
      <c r="U3127" s="24"/>
      <c r="V3127" s="2"/>
      <c r="W3127" s="2"/>
      <c r="X3127" s="2"/>
      <c r="Y3127" s="2"/>
      <c r="Z3127" s="2"/>
    </row>
    <row r="3128">
      <c r="A3128" s="23"/>
      <c r="B3128" s="2"/>
      <c r="C3128" s="2"/>
      <c r="D3128" s="2"/>
      <c r="E3128" s="2"/>
      <c r="F3128" s="2"/>
      <c r="G3128" s="2"/>
      <c r="H3128" s="2"/>
      <c r="I3128" s="2"/>
      <c r="J3128" s="2"/>
      <c r="K3128" s="2"/>
      <c r="L3128" s="24"/>
      <c r="M3128" s="24"/>
      <c r="N3128" s="24"/>
      <c r="O3128" s="24"/>
      <c r="P3128" s="24"/>
      <c r="Q3128" s="2"/>
      <c r="R3128" s="2"/>
      <c r="S3128" s="2"/>
      <c r="T3128" s="2"/>
      <c r="U3128" s="24"/>
      <c r="V3128" s="2"/>
      <c r="W3128" s="2"/>
      <c r="X3128" s="2"/>
      <c r="Y3128" s="2"/>
      <c r="Z3128" s="2"/>
    </row>
    <row r="3129">
      <c r="A3129" s="23"/>
      <c r="B3129" s="2"/>
      <c r="C3129" s="2"/>
      <c r="D3129" s="2"/>
      <c r="E3129" s="2"/>
      <c r="F3129" s="2"/>
      <c r="G3129" s="2"/>
      <c r="H3129" s="2"/>
      <c r="I3129" s="2"/>
      <c r="J3129" s="2"/>
      <c r="K3129" s="2"/>
      <c r="L3129" s="24"/>
      <c r="M3129" s="24"/>
      <c r="N3129" s="24"/>
      <c r="O3129" s="24"/>
      <c r="P3129" s="24"/>
      <c r="Q3129" s="2"/>
      <c r="R3129" s="2"/>
      <c r="S3129" s="2"/>
      <c r="T3129" s="2"/>
      <c r="U3129" s="24"/>
      <c r="V3129" s="2"/>
      <c r="W3129" s="2"/>
      <c r="X3129" s="2"/>
      <c r="Y3129" s="2"/>
      <c r="Z3129" s="2"/>
    </row>
    <row r="3130">
      <c r="A3130" s="23"/>
      <c r="B3130" s="2"/>
      <c r="C3130" s="2"/>
      <c r="D3130" s="2"/>
      <c r="E3130" s="2"/>
      <c r="F3130" s="2"/>
      <c r="G3130" s="2"/>
      <c r="H3130" s="2"/>
      <c r="I3130" s="2"/>
      <c r="J3130" s="2"/>
      <c r="K3130" s="2"/>
      <c r="L3130" s="24"/>
      <c r="M3130" s="24"/>
      <c r="N3130" s="24"/>
      <c r="O3130" s="24"/>
      <c r="P3130" s="24"/>
      <c r="Q3130" s="2"/>
      <c r="R3130" s="2"/>
      <c r="S3130" s="2"/>
      <c r="T3130" s="2"/>
      <c r="U3130" s="24"/>
      <c r="V3130" s="2"/>
      <c r="W3130" s="2"/>
      <c r="X3130" s="2"/>
      <c r="Y3130" s="2"/>
      <c r="Z3130" s="2"/>
    </row>
    <row r="3131">
      <c r="A3131" s="23"/>
      <c r="B3131" s="2"/>
      <c r="C3131" s="2"/>
      <c r="D3131" s="2"/>
      <c r="E3131" s="2"/>
      <c r="F3131" s="2"/>
      <c r="G3131" s="2"/>
      <c r="H3131" s="2"/>
      <c r="I3131" s="2"/>
      <c r="J3131" s="2"/>
      <c r="K3131" s="2"/>
      <c r="L3131" s="24"/>
      <c r="M3131" s="24"/>
      <c r="N3131" s="24"/>
      <c r="O3131" s="24"/>
      <c r="P3131" s="24"/>
      <c r="Q3131" s="2"/>
      <c r="R3131" s="2"/>
      <c r="S3131" s="2"/>
      <c r="T3131" s="2"/>
      <c r="U3131" s="24"/>
      <c r="V3131" s="2"/>
      <c r="W3131" s="2"/>
      <c r="X3131" s="2"/>
      <c r="Y3131" s="2"/>
      <c r="Z3131" s="2"/>
    </row>
    <row r="3132">
      <c r="A3132" s="23"/>
      <c r="B3132" s="2"/>
      <c r="C3132" s="2"/>
      <c r="D3132" s="2"/>
      <c r="E3132" s="2"/>
      <c r="F3132" s="2"/>
      <c r="G3132" s="2"/>
      <c r="H3132" s="2"/>
      <c r="I3132" s="2"/>
      <c r="J3132" s="2"/>
      <c r="K3132" s="2"/>
      <c r="L3132" s="24"/>
      <c r="M3132" s="24"/>
      <c r="N3132" s="24"/>
      <c r="O3132" s="24"/>
      <c r="P3132" s="24"/>
      <c r="Q3132" s="2"/>
      <c r="R3132" s="2"/>
      <c r="S3132" s="2"/>
      <c r="T3132" s="2"/>
      <c r="U3132" s="24"/>
      <c r="V3132" s="2"/>
      <c r="W3132" s="2"/>
      <c r="X3132" s="2"/>
      <c r="Y3132" s="2"/>
      <c r="Z3132" s="2"/>
    </row>
    <row r="3133">
      <c r="A3133" s="23"/>
      <c r="B3133" s="2"/>
      <c r="C3133" s="2"/>
      <c r="D3133" s="2"/>
      <c r="E3133" s="2"/>
      <c r="F3133" s="2"/>
      <c r="G3133" s="2"/>
      <c r="H3133" s="2"/>
      <c r="I3133" s="2"/>
      <c r="J3133" s="2"/>
      <c r="K3133" s="2"/>
      <c r="L3133" s="24"/>
      <c r="M3133" s="24"/>
      <c r="N3133" s="24"/>
      <c r="O3133" s="24"/>
      <c r="P3133" s="24"/>
      <c r="Q3133" s="2"/>
      <c r="R3133" s="2"/>
      <c r="S3133" s="2"/>
      <c r="T3133" s="2"/>
      <c r="U3133" s="24"/>
      <c r="V3133" s="2"/>
      <c r="W3133" s="2"/>
      <c r="X3133" s="2"/>
      <c r="Y3133" s="2"/>
      <c r="Z3133" s="2"/>
    </row>
    <row r="3134">
      <c r="A3134" s="23"/>
      <c r="B3134" s="2"/>
      <c r="C3134" s="2"/>
      <c r="D3134" s="2"/>
      <c r="E3134" s="2"/>
      <c r="F3134" s="2"/>
      <c r="G3134" s="2"/>
      <c r="H3134" s="2"/>
      <c r="I3134" s="2"/>
      <c r="J3134" s="2"/>
      <c r="K3134" s="2"/>
      <c r="L3134" s="24"/>
      <c r="M3134" s="24"/>
      <c r="N3134" s="24"/>
      <c r="O3134" s="24"/>
      <c r="P3134" s="24"/>
      <c r="Q3134" s="2"/>
      <c r="R3134" s="2"/>
      <c r="S3134" s="2"/>
      <c r="T3134" s="2"/>
      <c r="U3134" s="24"/>
      <c r="V3134" s="2"/>
      <c r="W3134" s="2"/>
      <c r="X3134" s="2"/>
      <c r="Y3134" s="2"/>
      <c r="Z3134" s="2"/>
    </row>
    <row r="3135">
      <c r="A3135" s="23"/>
      <c r="B3135" s="2"/>
      <c r="C3135" s="2"/>
      <c r="D3135" s="2"/>
      <c r="E3135" s="2"/>
      <c r="F3135" s="2"/>
      <c r="G3135" s="2"/>
      <c r="H3135" s="2"/>
      <c r="I3135" s="2"/>
      <c r="J3135" s="2"/>
      <c r="K3135" s="2"/>
      <c r="L3135" s="24"/>
      <c r="M3135" s="24"/>
      <c r="N3135" s="24"/>
      <c r="O3135" s="24"/>
      <c r="P3135" s="24"/>
      <c r="Q3135" s="2"/>
      <c r="R3135" s="2"/>
      <c r="S3135" s="2"/>
      <c r="T3135" s="2"/>
      <c r="U3135" s="24"/>
      <c r="V3135" s="2"/>
      <c r="W3135" s="2"/>
      <c r="X3135" s="2"/>
      <c r="Y3135" s="2"/>
      <c r="Z3135" s="2"/>
    </row>
    <row r="3136">
      <c r="A3136" s="23"/>
      <c r="B3136" s="2"/>
      <c r="C3136" s="2"/>
      <c r="D3136" s="2"/>
      <c r="E3136" s="2"/>
      <c r="F3136" s="2"/>
      <c r="G3136" s="2"/>
      <c r="H3136" s="2"/>
      <c r="I3136" s="2"/>
      <c r="J3136" s="2"/>
      <c r="K3136" s="2"/>
      <c r="L3136" s="24"/>
      <c r="M3136" s="24"/>
      <c r="N3136" s="24"/>
      <c r="O3136" s="24"/>
      <c r="P3136" s="24"/>
      <c r="Q3136" s="2"/>
      <c r="R3136" s="2"/>
      <c r="S3136" s="2"/>
      <c r="T3136" s="2"/>
      <c r="U3136" s="24"/>
      <c r="V3136" s="2"/>
      <c r="W3136" s="2"/>
      <c r="X3136" s="2"/>
      <c r="Y3136" s="2"/>
      <c r="Z3136" s="2"/>
    </row>
    <row r="3137">
      <c r="A3137" s="23"/>
      <c r="B3137" s="2"/>
      <c r="C3137" s="2"/>
      <c r="D3137" s="2"/>
      <c r="E3137" s="2"/>
      <c r="F3137" s="2"/>
      <c r="G3137" s="2"/>
      <c r="H3137" s="2"/>
      <c r="I3137" s="2"/>
      <c r="J3137" s="2"/>
      <c r="K3137" s="2"/>
      <c r="L3137" s="24"/>
      <c r="M3137" s="24"/>
      <c r="N3137" s="24"/>
      <c r="O3137" s="24"/>
      <c r="P3137" s="24"/>
      <c r="Q3137" s="2"/>
      <c r="R3137" s="2"/>
      <c r="S3137" s="2"/>
      <c r="T3137" s="2"/>
      <c r="U3137" s="24"/>
      <c r="V3137" s="2"/>
      <c r="W3137" s="2"/>
      <c r="X3137" s="2"/>
      <c r="Y3137" s="2"/>
      <c r="Z3137" s="2"/>
    </row>
    <row r="3138">
      <c r="A3138" s="23"/>
      <c r="B3138" s="2"/>
      <c r="C3138" s="2"/>
      <c r="D3138" s="2"/>
      <c r="E3138" s="2"/>
      <c r="F3138" s="2"/>
      <c r="G3138" s="2"/>
      <c r="H3138" s="2"/>
      <c r="I3138" s="2"/>
      <c r="J3138" s="2"/>
      <c r="K3138" s="2"/>
      <c r="L3138" s="24"/>
      <c r="M3138" s="24"/>
      <c r="N3138" s="24"/>
      <c r="O3138" s="24"/>
      <c r="P3138" s="24"/>
      <c r="Q3138" s="2"/>
      <c r="R3138" s="2"/>
      <c r="S3138" s="2"/>
      <c r="T3138" s="2"/>
      <c r="U3138" s="24"/>
      <c r="V3138" s="2"/>
      <c r="W3138" s="2"/>
      <c r="X3138" s="2"/>
      <c r="Y3138" s="2"/>
      <c r="Z3138" s="2"/>
    </row>
    <row r="3139">
      <c r="A3139" s="23"/>
      <c r="B3139" s="2"/>
      <c r="C3139" s="2"/>
      <c r="D3139" s="2"/>
      <c r="E3139" s="2"/>
      <c r="F3139" s="2"/>
      <c r="G3139" s="2"/>
      <c r="H3139" s="2"/>
      <c r="I3139" s="2"/>
      <c r="J3139" s="2"/>
      <c r="K3139" s="2"/>
      <c r="L3139" s="24"/>
      <c r="M3139" s="24"/>
      <c r="N3139" s="24"/>
      <c r="O3139" s="24"/>
      <c r="P3139" s="24"/>
      <c r="Q3139" s="2"/>
      <c r="R3139" s="2"/>
      <c r="S3139" s="2"/>
      <c r="T3139" s="2"/>
      <c r="U3139" s="24"/>
      <c r="V3139" s="2"/>
      <c r="W3139" s="2"/>
      <c r="X3139" s="2"/>
      <c r="Y3139" s="2"/>
      <c r="Z3139" s="2"/>
    </row>
    <row r="3140">
      <c r="A3140" s="23"/>
      <c r="B3140" s="2"/>
      <c r="C3140" s="2"/>
      <c r="D3140" s="2"/>
      <c r="E3140" s="2"/>
      <c r="F3140" s="2"/>
      <c r="G3140" s="2"/>
      <c r="H3140" s="2"/>
      <c r="I3140" s="2"/>
      <c r="J3140" s="2"/>
      <c r="K3140" s="2"/>
      <c r="L3140" s="24"/>
      <c r="M3140" s="24"/>
      <c r="N3140" s="24"/>
      <c r="O3140" s="24"/>
      <c r="P3140" s="24"/>
      <c r="Q3140" s="2"/>
      <c r="R3140" s="2"/>
      <c r="S3140" s="2"/>
      <c r="T3140" s="2"/>
      <c r="U3140" s="24"/>
      <c r="V3140" s="2"/>
      <c r="W3140" s="2"/>
      <c r="X3140" s="2"/>
      <c r="Y3140" s="2"/>
      <c r="Z3140" s="2"/>
    </row>
    <row r="3141">
      <c r="A3141" s="23"/>
      <c r="B3141" s="2"/>
      <c r="C3141" s="2"/>
      <c r="D3141" s="2"/>
      <c r="E3141" s="2"/>
      <c r="F3141" s="2"/>
      <c r="G3141" s="2"/>
      <c r="H3141" s="2"/>
      <c r="I3141" s="2"/>
      <c r="J3141" s="2"/>
      <c r="K3141" s="2"/>
      <c r="L3141" s="24"/>
      <c r="M3141" s="24"/>
      <c r="N3141" s="24"/>
      <c r="O3141" s="24"/>
      <c r="P3141" s="24"/>
      <c r="Q3141" s="2"/>
      <c r="R3141" s="2"/>
      <c r="S3141" s="2"/>
      <c r="T3141" s="2"/>
      <c r="U3141" s="24"/>
      <c r="V3141" s="2"/>
      <c r="W3141" s="2"/>
      <c r="X3141" s="2"/>
      <c r="Y3141" s="2"/>
      <c r="Z3141" s="2"/>
    </row>
    <row r="3142">
      <c r="A3142" s="23"/>
      <c r="B3142" s="2"/>
      <c r="C3142" s="2"/>
      <c r="D3142" s="2"/>
      <c r="E3142" s="2"/>
      <c r="F3142" s="2"/>
      <c r="G3142" s="2"/>
      <c r="H3142" s="2"/>
      <c r="I3142" s="2"/>
      <c r="J3142" s="2"/>
      <c r="K3142" s="2"/>
      <c r="L3142" s="24"/>
      <c r="M3142" s="24"/>
      <c r="N3142" s="24"/>
      <c r="O3142" s="24"/>
      <c r="P3142" s="24"/>
      <c r="Q3142" s="2"/>
      <c r="R3142" s="2"/>
      <c r="S3142" s="2"/>
      <c r="T3142" s="2"/>
      <c r="U3142" s="24"/>
      <c r="V3142" s="2"/>
      <c r="W3142" s="2"/>
      <c r="X3142" s="2"/>
      <c r="Y3142" s="2"/>
      <c r="Z3142" s="2"/>
    </row>
    <row r="3143">
      <c r="A3143" s="23"/>
      <c r="B3143" s="2"/>
      <c r="C3143" s="2"/>
      <c r="D3143" s="2"/>
      <c r="E3143" s="2"/>
      <c r="F3143" s="2"/>
      <c r="G3143" s="2"/>
      <c r="H3143" s="2"/>
      <c r="I3143" s="2"/>
      <c r="J3143" s="2"/>
      <c r="K3143" s="2"/>
      <c r="L3143" s="24"/>
      <c r="M3143" s="24"/>
      <c r="N3143" s="24"/>
      <c r="O3143" s="24"/>
      <c r="P3143" s="24"/>
      <c r="Q3143" s="2"/>
      <c r="R3143" s="2"/>
      <c r="S3143" s="2"/>
      <c r="T3143" s="2"/>
      <c r="U3143" s="24"/>
      <c r="V3143" s="2"/>
      <c r="W3143" s="2"/>
      <c r="X3143" s="2"/>
      <c r="Y3143" s="2"/>
      <c r="Z3143" s="2"/>
    </row>
    <row r="3144">
      <c r="A3144" s="23"/>
      <c r="B3144" s="2"/>
      <c r="C3144" s="2"/>
      <c r="D3144" s="2"/>
      <c r="E3144" s="2"/>
      <c r="F3144" s="2"/>
      <c r="G3144" s="2"/>
      <c r="H3144" s="2"/>
      <c r="I3144" s="2"/>
      <c r="J3144" s="2"/>
      <c r="K3144" s="2"/>
      <c r="L3144" s="24"/>
      <c r="M3144" s="24"/>
      <c r="N3144" s="24"/>
      <c r="O3144" s="24"/>
      <c r="P3144" s="24"/>
      <c r="Q3144" s="2"/>
      <c r="R3144" s="2"/>
      <c r="S3144" s="2"/>
      <c r="T3144" s="2"/>
      <c r="U3144" s="24"/>
      <c r="V3144" s="2"/>
      <c r="W3144" s="2"/>
      <c r="X3144" s="2"/>
      <c r="Y3144" s="2"/>
      <c r="Z3144" s="2"/>
    </row>
    <row r="3145">
      <c r="A3145" s="23"/>
      <c r="B3145" s="2"/>
      <c r="C3145" s="2"/>
      <c r="D3145" s="2"/>
      <c r="E3145" s="2"/>
      <c r="F3145" s="2"/>
      <c r="G3145" s="2"/>
      <c r="H3145" s="2"/>
      <c r="I3145" s="2"/>
      <c r="J3145" s="2"/>
      <c r="K3145" s="2"/>
      <c r="L3145" s="24"/>
      <c r="M3145" s="24"/>
      <c r="N3145" s="24"/>
      <c r="O3145" s="24"/>
      <c r="P3145" s="24"/>
      <c r="Q3145" s="2"/>
      <c r="R3145" s="2"/>
      <c r="S3145" s="2"/>
      <c r="T3145" s="2"/>
      <c r="U3145" s="24"/>
      <c r="V3145" s="2"/>
      <c r="W3145" s="2"/>
      <c r="X3145" s="2"/>
      <c r="Y3145" s="2"/>
      <c r="Z3145" s="2"/>
    </row>
    <row r="3146">
      <c r="A3146" s="23"/>
      <c r="B3146" s="2"/>
      <c r="C3146" s="2"/>
      <c r="D3146" s="2"/>
      <c r="E3146" s="2"/>
      <c r="F3146" s="2"/>
      <c r="G3146" s="2"/>
      <c r="H3146" s="2"/>
      <c r="I3146" s="2"/>
      <c r="J3146" s="2"/>
      <c r="K3146" s="2"/>
      <c r="L3146" s="24"/>
      <c r="M3146" s="24"/>
      <c r="N3146" s="24"/>
      <c r="O3146" s="24"/>
      <c r="P3146" s="24"/>
      <c r="Q3146" s="2"/>
      <c r="R3146" s="2"/>
      <c r="S3146" s="2"/>
      <c r="T3146" s="2"/>
      <c r="U3146" s="24"/>
      <c r="V3146" s="2"/>
      <c r="W3146" s="2"/>
      <c r="X3146" s="2"/>
      <c r="Y3146" s="2"/>
      <c r="Z3146" s="2"/>
    </row>
    <row r="3147">
      <c r="A3147" s="23"/>
      <c r="B3147" s="2"/>
      <c r="C3147" s="2"/>
      <c r="D3147" s="2"/>
      <c r="E3147" s="2"/>
      <c r="F3147" s="2"/>
      <c r="G3147" s="2"/>
      <c r="H3147" s="2"/>
      <c r="I3147" s="2"/>
      <c r="J3147" s="2"/>
      <c r="K3147" s="2"/>
      <c r="L3147" s="24"/>
      <c r="M3147" s="24"/>
      <c r="N3147" s="24"/>
      <c r="O3147" s="24"/>
      <c r="P3147" s="24"/>
      <c r="Q3147" s="2"/>
      <c r="R3147" s="2"/>
      <c r="S3147" s="2"/>
      <c r="T3147" s="2"/>
      <c r="U3147" s="24"/>
      <c r="V3147" s="2"/>
      <c r="W3147" s="2"/>
      <c r="X3147" s="2"/>
      <c r="Y3147" s="2"/>
      <c r="Z3147" s="2"/>
    </row>
    <row r="3148">
      <c r="A3148" s="23"/>
      <c r="B3148" s="2"/>
      <c r="C3148" s="2"/>
      <c r="D3148" s="2"/>
      <c r="E3148" s="2"/>
      <c r="F3148" s="2"/>
      <c r="G3148" s="2"/>
      <c r="H3148" s="2"/>
      <c r="I3148" s="2"/>
      <c r="J3148" s="2"/>
      <c r="K3148" s="2"/>
      <c r="L3148" s="24"/>
      <c r="M3148" s="24"/>
      <c r="N3148" s="24"/>
      <c r="O3148" s="24"/>
      <c r="P3148" s="24"/>
      <c r="Q3148" s="2"/>
      <c r="R3148" s="2"/>
      <c r="S3148" s="2"/>
      <c r="T3148" s="2"/>
      <c r="U3148" s="24"/>
      <c r="V3148" s="2"/>
      <c r="W3148" s="2"/>
      <c r="X3148" s="2"/>
      <c r="Y3148" s="2"/>
      <c r="Z3148" s="2"/>
    </row>
    <row r="3149">
      <c r="A3149" s="23"/>
      <c r="B3149" s="2"/>
      <c r="C3149" s="2"/>
      <c r="D3149" s="2"/>
      <c r="E3149" s="2"/>
      <c r="F3149" s="2"/>
      <c r="G3149" s="2"/>
      <c r="H3149" s="2"/>
      <c r="I3149" s="2"/>
      <c r="J3149" s="2"/>
      <c r="K3149" s="2"/>
      <c r="L3149" s="24"/>
      <c r="M3149" s="24"/>
      <c r="N3149" s="24"/>
      <c r="O3149" s="24"/>
      <c r="P3149" s="24"/>
      <c r="Q3149" s="2"/>
      <c r="R3149" s="2"/>
      <c r="S3149" s="2"/>
      <c r="T3149" s="2"/>
      <c r="U3149" s="24"/>
      <c r="V3149" s="2"/>
      <c r="W3149" s="2"/>
      <c r="X3149" s="2"/>
      <c r="Y3149" s="2"/>
      <c r="Z3149" s="2"/>
    </row>
    <row r="3150">
      <c r="A3150" s="23"/>
      <c r="B3150" s="2"/>
      <c r="C3150" s="2"/>
      <c r="D3150" s="2"/>
      <c r="E3150" s="2"/>
      <c r="F3150" s="2"/>
      <c r="G3150" s="2"/>
      <c r="H3150" s="2"/>
      <c r="I3150" s="2"/>
      <c r="J3150" s="2"/>
      <c r="K3150" s="2"/>
      <c r="L3150" s="24"/>
      <c r="M3150" s="24"/>
      <c r="N3150" s="24"/>
      <c r="O3150" s="24"/>
      <c r="P3150" s="24"/>
      <c r="Q3150" s="2"/>
      <c r="R3150" s="2"/>
      <c r="S3150" s="2"/>
      <c r="T3150" s="2"/>
      <c r="U3150" s="24"/>
      <c r="V3150" s="2"/>
      <c r="W3150" s="2"/>
      <c r="X3150" s="2"/>
      <c r="Y3150" s="2"/>
      <c r="Z3150" s="2"/>
    </row>
    <row r="3151">
      <c r="A3151" s="23"/>
      <c r="B3151" s="2"/>
      <c r="C3151" s="2"/>
      <c r="D3151" s="2"/>
      <c r="E3151" s="2"/>
      <c r="F3151" s="2"/>
      <c r="G3151" s="2"/>
      <c r="H3151" s="2"/>
      <c r="I3151" s="2"/>
      <c r="J3151" s="2"/>
      <c r="K3151" s="2"/>
      <c r="L3151" s="24"/>
      <c r="M3151" s="24"/>
      <c r="N3151" s="24"/>
      <c r="O3151" s="24"/>
      <c r="P3151" s="24"/>
      <c r="Q3151" s="2"/>
      <c r="R3151" s="2"/>
      <c r="S3151" s="2"/>
      <c r="T3151" s="2"/>
      <c r="U3151" s="24"/>
      <c r="V3151" s="2"/>
      <c r="W3151" s="2"/>
      <c r="X3151" s="2"/>
      <c r="Y3151" s="2"/>
      <c r="Z3151" s="2"/>
    </row>
    <row r="3152">
      <c r="A3152" s="23"/>
      <c r="B3152" s="2"/>
      <c r="C3152" s="2"/>
      <c r="D3152" s="2"/>
      <c r="E3152" s="2"/>
      <c r="F3152" s="2"/>
      <c r="G3152" s="2"/>
      <c r="H3152" s="2"/>
      <c r="I3152" s="2"/>
      <c r="J3152" s="2"/>
      <c r="K3152" s="2"/>
      <c r="L3152" s="24"/>
      <c r="M3152" s="24"/>
      <c r="N3152" s="24"/>
      <c r="O3152" s="24"/>
      <c r="P3152" s="24"/>
      <c r="Q3152" s="2"/>
      <c r="R3152" s="2"/>
      <c r="S3152" s="2"/>
      <c r="T3152" s="2"/>
      <c r="U3152" s="24"/>
      <c r="V3152" s="2"/>
      <c r="W3152" s="2"/>
      <c r="X3152" s="2"/>
      <c r="Y3152" s="2"/>
      <c r="Z3152" s="2"/>
    </row>
    <row r="3153">
      <c r="A3153" s="23"/>
      <c r="B3153" s="2"/>
      <c r="C3153" s="2"/>
      <c r="D3153" s="2"/>
      <c r="E3153" s="2"/>
      <c r="F3153" s="2"/>
      <c r="G3153" s="2"/>
      <c r="H3153" s="2"/>
      <c r="I3153" s="2"/>
      <c r="J3153" s="2"/>
      <c r="K3153" s="2"/>
      <c r="L3153" s="24"/>
      <c r="M3153" s="24"/>
      <c r="N3153" s="24"/>
      <c r="O3153" s="24"/>
      <c r="P3153" s="24"/>
      <c r="Q3153" s="2"/>
      <c r="R3153" s="2"/>
      <c r="S3153" s="2"/>
      <c r="T3153" s="2"/>
      <c r="U3153" s="24"/>
      <c r="V3153" s="2"/>
      <c r="W3153" s="2"/>
      <c r="X3153" s="2"/>
      <c r="Y3153" s="2"/>
      <c r="Z3153" s="2"/>
    </row>
    <row r="3154">
      <c r="A3154" s="23"/>
      <c r="B3154" s="2"/>
      <c r="C3154" s="2"/>
      <c r="D3154" s="2"/>
      <c r="E3154" s="2"/>
      <c r="F3154" s="2"/>
      <c r="G3154" s="2"/>
      <c r="H3154" s="2"/>
      <c r="I3154" s="2"/>
      <c r="J3154" s="2"/>
      <c r="K3154" s="2"/>
      <c r="L3154" s="24"/>
      <c r="M3154" s="24"/>
      <c r="N3154" s="24"/>
      <c r="O3154" s="24"/>
      <c r="P3154" s="24"/>
      <c r="Q3154" s="2"/>
      <c r="R3154" s="2"/>
      <c r="S3154" s="2"/>
      <c r="T3154" s="2"/>
      <c r="U3154" s="24"/>
      <c r="V3154" s="2"/>
      <c r="W3154" s="2"/>
      <c r="X3154" s="2"/>
      <c r="Y3154" s="2"/>
      <c r="Z3154" s="2"/>
    </row>
    <row r="3155">
      <c r="A3155" s="23"/>
      <c r="B3155" s="2"/>
      <c r="C3155" s="2"/>
      <c r="D3155" s="2"/>
      <c r="E3155" s="2"/>
      <c r="F3155" s="2"/>
      <c r="G3155" s="2"/>
      <c r="H3155" s="2"/>
      <c r="I3155" s="2"/>
      <c r="J3155" s="2"/>
      <c r="K3155" s="2"/>
      <c r="L3155" s="24"/>
      <c r="M3155" s="24"/>
      <c r="N3155" s="24"/>
      <c r="O3155" s="24"/>
      <c r="P3155" s="24"/>
      <c r="Q3155" s="2"/>
      <c r="R3155" s="2"/>
      <c r="S3155" s="2"/>
      <c r="T3155" s="2"/>
      <c r="U3155" s="24"/>
      <c r="V3155" s="2"/>
      <c r="W3155" s="2"/>
      <c r="X3155" s="2"/>
      <c r="Y3155" s="2"/>
      <c r="Z3155" s="2"/>
    </row>
    <row r="3156">
      <c r="A3156" s="23"/>
      <c r="B3156" s="2"/>
      <c r="C3156" s="2"/>
      <c r="D3156" s="2"/>
      <c r="E3156" s="2"/>
      <c r="F3156" s="2"/>
      <c r="G3156" s="2"/>
      <c r="H3156" s="2"/>
      <c r="I3156" s="2"/>
      <c r="J3156" s="2"/>
      <c r="K3156" s="2"/>
      <c r="L3156" s="24"/>
      <c r="M3156" s="24"/>
      <c r="N3156" s="24"/>
      <c r="O3156" s="24"/>
      <c r="P3156" s="24"/>
      <c r="Q3156" s="2"/>
      <c r="R3156" s="2"/>
      <c r="S3156" s="2"/>
      <c r="T3156" s="2"/>
      <c r="U3156" s="24"/>
      <c r="V3156" s="2"/>
      <c r="W3156" s="2"/>
      <c r="X3156" s="2"/>
      <c r="Y3156" s="2"/>
      <c r="Z3156" s="2"/>
    </row>
    <row r="3157">
      <c r="A3157" s="23"/>
      <c r="B3157" s="2"/>
      <c r="C3157" s="2"/>
      <c r="D3157" s="2"/>
      <c r="E3157" s="2"/>
      <c r="F3157" s="2"/>
      <c r="G3157" s="2"/>
      <c r="H3157" s="2"/>
      <c r="I3157" s="2"/>
      <c r="J3157" s="2"/>
      <c r="K3157" s="2"/>
      <c r="L3157" s="24"/>
      <c r="M3157" s="24"/>
      <c r="N3157" s="24"/>
      <c r="O3157" s="24"/>
      <c r="P3157" s="24"/>
      <c r="Q3157" s="2"/>
      <c r="R3157" s="2"/>
      <c r="S3157" s="2"/>
      <c r="T3157" s="2"/>
      <c r="U3157" s="24"/>
      <c r="V3157" s="2"/>
      <c r="W3157" s="2"/>
      <c r="X3157" s="2"/>
      <c r="Y3157" s="2"/>
      <c r="Z3157" s="2"/>
    </row>
    <row r="3158">
      <c r="A3158" s="23"/>
      <c r="B3158" s="2"/>
      <c r="C3158" s="2"/>
      <c r="D3158" s="2"/>
      <c r="E3158" s="2"/>
      <c r="F3158" s="2"/>
      <c r="G3158" s="2"/>
      <c r="H3158" s="2"/>
      <c r="I3158" s="2"/>
      <c r="J3158" s="2"/>
      <c r="K3158" s="2"/>
      <c r="L3158" s="24"/>
      <c r="M3158" s="24"/>
      <c r="N3158" s="24"/>
      <c r="O3158" s="24"/>
      <c r="P3158" s="24"/>
      <c r="Q3158" s="2"/>
      <c r="R3158" s="2"/>
      <c r="S3158" s="2"/>
      <c r="T3158" s="2"/>
      <c r="U3158" s="24"/>
      <c r="V3158" s="2"/>
      <c r="W3158" s="2"/>
      <c r="X3158" s="2"/>
      <c r="Y3158" s="2"/>
      <c r="Z3158" s="2"/>
    </row>
    <row r="3159">
      <c r="A3159" s="23"/>
      <c r="B3159" s="2"/>
      <c r="C3159" s="2"/>
      <c r="D3159" s="2"/>
      <c r="E3159" s="2"/>
      <c r="F3159" s="2"/>
      <c r="G3159" s="2"/>
      <c r="H3159" s="2"/>
      <c r="I3159" s="2"/>
      <c r="J3159" s="2"/>
      <c r="K3159" s="2"/>
      <c r="L3159" s="24"/>
      <c r="M3159" s="24"/>
      <c r="N3159" s="24"/>
      <c r="O3159" s="24"/>
      <c r="P3159" s="24"/>
      <c r="Q3159" s="2"/>
      <c r="R3159" s="2"/>
      <c r="S3159" s="2"/>
      <c r="T3159" s="2"/>
      <c r="U3159" s="24"/>
      <c r="V3159" s="2"/>
      <c r="W3159" s="2"/>
      <c r="X3159" s="2"/>
      <c r="Y3159" s="2"/>
      <c r="Z3159" s="2"/>
    </row>
    <row r="3160">
      <c r="A3160" s="23"/>
      <c r="B3160" s="2"/>
      <c r="C3160" s="2"/>
      <c r="D3160" s="2"/>
      <c r="E3160" s="2"/>
      <c r="F3160" s="2"/>
      <c r="G3160" s="2"/>
      <c r="H3160" s="2"/>
      <c r="I3160" s="2"/>
      <c r="J3160" s="2"/>
      <c r="K3160" s="2"/>
      <c r="L3160" s="24"/>
      <c r="M3160" s="24"/>
      <c r="N3160" s="24"/>
      <c r="O3160" s="24"/>
      <c r="P3160" s="24"/>
      <c r="Q3160" s="2"/>
      <c r="R3160" s="2"/>
      <c r="S3160" s="2"/>
      <c r="T3160" s="2"/>
      <c r="U3160" s="24"/>
      <c r="V3160" s="2"/>
      <c r="W3160" s="2"/>
      <c r="X3160" s="2"/>
      <c r="Y3160" s="2"/>
      <c r="Z3160" s="2"/>
    </row>
    <row r="3161">
      <c r="A3161" s="23"/>
      <c r="B3161" s="2"/>
      <c r="C3161" s="2"/>
      <c r="D3161" s="2"/>
      <c r="E3161" s="2"/>
      <c r="F3161" s="2"/>
      <c r="G3161" s="2"/>
      <c r="H3161" s="2"/>
      <c r="I3161" s="2"/>
      <c r="J3161" s="2"/>
      <c r="K3161" s="2"/>
      <c r="L3161" s="24"/>
      <c r="M3161" s="24"/>
      <c r="N3161" s="24"/>
      <c r="O3161" s="24"/>
      <c r="P3161" s="24"/>
      <c r="Q3161" s="2"/>
      <c r="R3161" s="2"/>
      <c r="S3161" s="2"/>
      <c r="T3161" s="2"/>
      <c r="U3161" s="24"/>
      <c r="V3161" s="2"/>
      <c r="W3161" s="2"/>
      <c r="X3161" s="2"/>
      <c r="Y3161" s="2"/>
      <c r="Z3161" s="2"/>
    </row>
    <row r="3162">
      <c r="A3162" s="23"/>
      <c r="B3162" s="2"/>
      <c r="C3162" s="2"/>
      <c r="D3162" s="2"/>
      <c r="E3162" s="2"/>
      <c r="F3162" s="2"/>
      <c r="G3162" s="2"/>
      <c r="H3162" s="2"/>
      <c r="I3162" s="2"/>
      <c r="J3162" s="2"/>
      <c r="K3162" s="2"/>
      <c r="L3162" s="24"/>
      <c r="M3162" s="24"/>
      <c r="N3162" s="24"/>
      <c r="O3162" s="24"/>
      <c r="P3162" s="24"/>
      <c r="Q3162" s="2"/>
      <c r="R3162" s="2"/>
      <c r="S3162" s="2"/>
      <c r="T3162" s="2"/>
      <c r="U3162" s="24"/>
      <c r="V3162" s="2"/>
      <c r="W3162" s="2"/>
      <c r="X3162" s="2"/>
      <c r="Y3162" s="2"/>
      <c r="Z3162" s="2"/>
    </row>
    <row r="3163">
      <c r="A3163" s="23"/>
      <c r="B3163" s="2"/>
      <c r="C3163" s="2"/>
      <c r="D3163" s="2"/>
      <c r="E3163" s="2"/>
      <c r="F3163" s="2"/>
      <c r="G3163" s="2"/>
      <c r="H3163" s="2"/>
      <c r="I3163" s="2"/>
      <c r="J3163" s="2"/>
      <c r="K3163" s="2"/>
      <c r="L3163" s="24"/>
      <c r="M3163" s="24"/>
      <c r="N3163" s="24"/>
      <c r="O3163" s="24"/>
      <c r="P3163" s="24"/>
      <c r="Q3163" s="2"/>
      <c r="R3163" s="2"/>
      <c r="S3163" s="2"/>
      <c r="T3163" s="2"/>
      <c r="U3163" s="24"/>
      <c r="V3163" s="2"/>
      <c r="W3163" s="2"/>
      <c r="X3163" s="2"/>
      <c r="Y3163" s="2"/>
      <c r="Z3163" s="2"/>
    </row>
    <row r="3164">
      <c r="A3164" s="23"/>
      <c r="B3164" s="2"/>
      <c r="C3164" s="2"/>
      <c r="D3164" s="2"/>
      <c r="E3164" s="2"/>
      <c r="F3164" s="2"/>
      <c r="G3164" s="2"/>
      <c r="H3164" s="2"/>
      <c r="I3164" s="2"/>
      <c r="J3164" s="2"/>
      <c r="K3164" s="2"/>
      <c r="L3164" s="24"/>
      <c r="M3164" s="24"/>
      <c r="N3164" s="24"/>
      <c r="O3164" s="24"/>
      <c r="P3164" s="24"/>
      <c r="Q3164" s="2"/>
      <c r="R3164" s="2"/>
      <c r="S3164" s="2"/>
      <c r="T3164" s="2"/>
      <c r="U3164" s="24"/>
      <c r="V3164" s="2"/>
      <c r="W3164" s="2"/>
      <c r="X3164" s="2"/>
      <c r="Y3164" s="2"/>
      <c r="Z3164" s="2"/>
    </row>
    <row r="3165">
      <c r="A3165" s="23"/>
      <c r="B3165" s="2"/>
      <c r="C3165" s="2"/>
      <c r="D3165" s="2"/>
      <c r="E3165" s="2"/>
      <c r="F3165" s="2"/>
      <c r="G3165" s="2"/>
      <c r="H3165" s="2"/>
      <c r="I3165" s="2"/>
      <c r="J3165" s="2"/>
      <c r="K3165" s="2"/>
      <c r="L3165" s="24"/>
      <c r="M3165" s="24"/>
      <c r="N3165" s="24"/>
      <c r="O3165" s="24"/>
      <c r="P3165" s="24"/>
      <c r="Q3165" s="2"/>
      <c r="R3165" s="2"/>
      <c r="S3165" s="2"/>
      <c r="T3165" s="2"/>
      <c r="U3165" s="24"/>
      <c r="V3165" s="2"/>
      <c r="W3165" s="2"/>
      <c r="X3165" s="2"/>
      <c r="Y3165" s="2"/>
      <c r="Z3165" s="2"/>
    </row>
    <row r="3166">
      <c r="A3166" s="23"/>
      <c r="B3166" s="2"/>
      <c r="C3166" s="2"/>
      <c r="D3166" s="2"/>
      <c r="E3166" s="2"/>
      <c r="F3166" s="2"/>
      <c r="G3166" s="2"/>
      <c r="H3166" s="2"/>
      <c r="I3166" s="2"/>
      <c r="J3166" s="2"/>
      <c r="K3166" s="2"/>
      <c r="L3166" s="24"/>
      <c r="M3166" s="24"/>
      <c r="N3166" s="24"/>
      <c r="O3166" s="24"/>
      <c r="P3166" s="24"/>
      <c r="Q3166" s="2"/>
      <c r="R3166" s="2"/>
      <c r="S3166" s="2"/>
      <c r="T3166" s="2"/>
      <c r="U3166" s="24"/>
      <c r="V3166" s="2"/>
      <c r="W3166" s="2"/>
      <c r="X3166" s="2"/>
      <c r="Y3166" s="2"/>
      <c r="Z3166" s="2"/>
    </row>
    <row r="3167">
      <c r="A3167" s="23"/>
      <c r="B3167" s="2"/>
      <c r="C3167" s="2"/>
      <c r="D3167" s="2"/>
      <c r="E3167" s="2"/>
      <c r="F3167" s="2"/>
      <c r="G3167" s="2"/>
      <c r="H3167" s="2"/>
      <c r="I3167" s="2"/>
      <c r="J3167" s="2"/>
      <c r="K3167" s="2"/>
      <c r="L3167" s="24"/>
      <c r="M3167" s="24"/>
      <c r="N3167" s="24"/>
      <c r="O3167" s="24"/>
      <c r="P3167" s="24"/>
      <c r="Q3167" s="2"/>
      <c r="R3167" s="2"/>
      <c r="S3167" s="2"/>
      <c r="T3167" s="2"/>
      <c r="U3167" s="24"/>
      <c r="V3167" s="2"/>
      <c r="W3167" s="2"/>
      <c r="X3167" s="2"/>
      <c r="Y3167" s="2"/>
      <c r="Z3167" s="2"/>
    </row>
    <row r="3168">
      <c r="A3168" s="23"/>
      <c r="B3168" s="2"/>
      <c r="C3168" s="2"/>
      <c r="D3168" s="2"/>
      <c r="E3168" s="2"/>
      <c r="F3168" s="2"/>
      <c r="G3168" s="2"/>
      <c r="H3168" s="2"/>
      <c r="I3168" s="2"/>
      <c r="J3168" s="2"/>
      <c r="K3168" s="2"/>
      <c r="L3168" s="24"/>
      <c r="M3168" s="24"/>
      <c r="N3168" s="24"/>
      <c r="O3168" s="24"/>
      <c r="P3168" s="24"/>
      <c r="Q3168" s="2"/>
      <c r="R3168" s="2"/>
      <c r="S3168" s="2"/>
      <c r="T3168" s="2"/>
      <c r="U3168" s="24"/>
      <c r="V3168" s="2"/>
      <c r="W3168" s="2"/>
      <c r="X3168" s="2"/>
      <c r="Y3168" s="2"/>
      <c r="Z3168" s="2"/>
    </row>
    <row r="3169">
      <c r="A3169" s="23"/>
      <c r="B3169" s="2"/>
      <c r="C3169" s="2"/>
      <c r="D3169" s="2"/>
      <c r="E3169" s="2"/>
      <c r="F3169" s="2"/>
      <c r="G3169" s="2"/>
      <c r="H3169" s="2"/>
      <c r="I3169" s="2"/>
      <c r="J3169" s="2"/>
      <c r="K3169" s="2"/>
      <c r="L3169" s="24"/>
      <c r="M3169" s="24"/>
      <c r="N3169" s="24"/>
      <c r="O3169" s="24"/>
      <c r="P3169" s="24"/>
      <c r="Q3169" s="2"/>
      <c r="R3169" s="2"/>
      <c r="S3169" s="2"/>
      <c r="T3169" s="2"/>
      <c r="U3169" s="24"/>
      <c r="V3169" s="2"/>
      <c r="W3169" s="2"/>
      <c r="X3169" s="2"/>
      <c r="Y3169" s="2"/>
      <c r="Z3169" s="2"/>
    </row>
    <row r="3170">
      <c r="A3170" s="23"/>
      <c r="B3170" s="2"/>
      <c r="C3170" s="2"/>
      <c r="D3170" s="2"/>
      <c r="E3170" s="2"/>
      <c r="F3170" s="2"/>
      <c r="G3170" s="2"/>
      <c r="H3170" s="2"/>
      <c r="I3170" s="2"/>
      <c r="J3170" s="2"/>
      <c r="K3170" s="2"/>
      <c r="L3170" s="24"/>
      <c r="M3170" s="24"/>
      <c r="N3170" s="24"/>
      <c r="O3170" s="24"/>
      <c r="P3170" s="24"/>
      <c r="Q3170" s="2"/>
      <c r="R3170" s="2"/>
      <c r="S3170" s="2"/>
      <c r="T3170" s="2"/>
      <c r="U3170" s="24"/>
      <c r="V3170" s="2"/>
      <c r="W3170" s="2"/>
      <c r="X3170" s="2"/>
      <c r="Y3170" s="2"/>
      <c r="Z3170" s="2"/>
    </row>
    <row r="3171">
      <c r="A3171" s="23"/>
      <c r="B3171" s="2"/>
      <c r="C3171" s="2"/>
      <c r="D3171" s="2"/>
      <c r="E3171" s="2"/>
      <c r="F3171" s="2"/>
      <c r="G3171" s="2"/>
      <c r="H3171" s="2"/>
      <c r="I3171" s="2"/>
      <c r="J3171" s="2"/>
      <c r="K3171" s="2"/>
      <c r="L3171" s="24"/>
      <c r="M3171" s="24"/>
      <c r="N3171" s="24"/>
      <c r="O3171" s="24"/>
      <c r="P3171" s="24"/>
      <c r="Q3171" s="2"/>
      <c r="R3171" s="2"/>
      <c r="S3171" s="2"/>
      <c r="T3171" s="2"/>
      <c r="U3171" s="24"/>
      <c r="V3171" s="2"/>
      <c r="W3171" s="2"/>
      <c r="X3171" s="2"/>
      <c r="Y3171" s="2"/>
      <c r="Z3171" s="2"/>
    </row>
    <row r="3172">
      <c r="A3172" s="23"/>
      <c r="B3172" s="2"/>
      <c r="C3172" s="2"/>
      <c r="D3172" s="2"/>
      <c r="E3172" s="2"/>
      <c r="F3172" s="2"/>
      <c r="G3172" s="2"/>
      <c r="H3172" s="2"/>
      <c r="I3172" s="2"/>
      <c r="J3172" s="2"/>
      <c r="K3172" s="2"/>
      <c r="L3172" s="24"/>
      <c r="M3172" s="24"/>
      <c r="N3172" s="24"/>
      <c r="O3172" s="24"/>
      <c r="P3172" s="24"/>
      <c r="Q3172" s="2"/>
      <c r="R3172" s="2"/>
      <c r="S3172" s="2"/>
      <c r="T3172" s="2"/>
      <c r="U3172" s="24"/>
      <c r="V3172" s="2"/>
      <c r="W3172" s="2"/>
      <c r="X3172" s="2"/>
      <c r="Y3172" s="2"/>
      <c r="Z3172" s="2"/>
    </row>
    <row r="3173">
      <c r="A3173" s="23"/>
      <c r="B3173" s="2"/>
      <c r="C3173" s="2"/>
      <c r="D3173" s="2"/>
      <c r="E3173" s="2"/>
      <c r="F3173" s="2"/>
      <c r="G3173" s="2"/>
      <c r="H3173" s="2"/>
      <c r="I3173" s="2"/>
      <c r="J3173" s="2"/>
      <c r="K3173" s="2"/>
      <c r="L3173" s="24"/>
      <c r="M3173" s="24"/>
      <c r="N3173" s="24"/>
      <c r="O3173" s="24"/>
      <c r="P3173" s="24"/>
      <c r="Q3173" s="2"/>
      <c r="R3173" s="2"/>
      <c r="S3173" s="2"/>
      <c r="T3173" s="2"/>
      <c r="U3173" s="24"/>
      <c r="V3173" s="2"/>
      <c r="W3173" s="2"/>
      <c r="X3173" s="2"/>
      <c r="Y3173" s="2"/>
      <c r="Z3173" s="2"/>
    </row>
    <row r="3174">
      <c r="A3174" s="23"/>
      <c r="B3174" s="2"/>
      <c r="C3174" s="2"/>
      <c r="D3174" s="2"/>
      <c r="E3174" s="2"/>
      <c r="F3174" s="2"/>
      <c r="G3174" s="2"/>
      <c r="H3174" s="2"/>
      <c r="I3174" s="2"/>
      <c r="J3174" s="2"/>
      <c r="K3174" s="2"/>
      <c r="L3174" s="24"/>
      <c r="M3174" s="24"/>
      <c r="N3174" s="24"/>
      <c r="O3174" s="24"/>
      <c r="P3174" s="24"/>
      <c r="Q3174" s="2"/>
      <c r="R3174" s="2"/>
      <c r="S3174" s="2"/>
      <c r="T3174" s="2"/>
      <c r="U3174" s="24"/>
      <c r="V3174" s="2"/>
      <c r="W3174" s="2"/>
      <c r="X3174" s="2"/>
      <c r="Y3174" s="2"/>
      <c r="Z3174" s="2"/>
    </row>
    <row r="3175">
      <c r="A3175" s="23"/>
      <c r="B3175" s="2"/>
      <c r="C3175" s="2"/>
      <c r="D3175" s="2"/>
      <c r="E3175" s="2"/>
      <c r="F3175" s="2"/>
      <c r="G3175" s="2"/>
      <c r="H3175" s="2"/>
      <c r="I3175" s="2"/>
      <c r="J3175" s="2"/>
      <c r="K3175" s="2"/>
      <c r="L3175" s="24"/>
      <c r="M3175" s="24"/>
      <c r="N3175" s="24"/>
      <c r="O3175" s="24"/>
      <c r="P3175" s="24"/>
      <c r="Q3175" s="2"/>
      <c r="R3175" s="2"/>
      <c r="S3175" s="2"/>
      <c r="T3175" s="2"/>
      <c r="U3175" s="24"/>
      <c r="V3175" s="2"/>
      <c r="W3175" s="2"/>
      <c r="X3175" s="2"/>
      <c r="Y3175" s="2"/>
      <c r="Z3175" s="2"/>
    </row>
    <row r="3176">
      <c r="A3176" s="23"/>
      <c r="B3176" s="2"/>
      <c r="C3176" s="2"/>
      <c r="D3176" s="2"/>
      <c r="E3176" s="2"/>
      <c r="F3176" s="2"/>
      <c r="G3176" s="2"/>
      <c r="H3176" s="2"/>
      <c r="I3176" s="2"/>
      <c r="J3176" s="2"/>
      <c r="K3176" s="2"/>
      <c r="L3176" s="24"/>
      <c r="M3176" s="24"/>
      <c r="N3176" s="24"/>
      <c r="O3176" s="24"/>
      <c r="P3176" s="24"/>
      <c r="Q3176" s="2"/>
      <c r="R3176" s="2"/>
      <c r="S3176" s="2"/>
      <c r="T3176" s="2"/>
      <c r="U3176" s="24"/>
      <c r="V3176" s="2"/>
      <c r="W3176" s="2"/>
      <c r="X3176" s="2"/>
      <c r="Y3176" s="2"/>
      <c r="Z3176" s="2"/>
    </row>
    <row r="3177">
      <c r="A3177" s="23"/>
      <c r="B3177" s="2"/>
      <c r="C3177" s="2"/>
      <c r="D3177" s="2"/>
      <c r="E3177" s="2"/>
      <c r="F3177" s="2"/>
      <c r="G3177" s="2"/>
      <c r="H3177" s="2"/>
      <c r="I3177" s="2"/>
      <c r="J3177" s="2"/>
      <c r="K3177" s="2"/>
      <c r="L3177" s="24"/>
      <c r="M3177" s="24"/>
      <c r="N3177" s="24"/>
      <c r="O3177" s="24"/>
      <c r="P3177" s="24"/>
      <c r="Q3177" s="2"/>
      <c r="R3177" s="2"/>
      <c r="S3177" s="2"/>
      <c r="T3177" s="2"/>
      <c r="U3177" s="24"/>
      <c r="V3177" s="2"/>
      <c r="W3177" s="2"/>
      <c r="X3177" s="2"/>
      <c r="Y3177" s="2"/>
      <c r="Z3177" s="2"/>
    </row>
    <row r="3178">
      <c r="A3178" s="23"/>
      <c r="B3178" s="2"/>
      <c r="C3178" s="2"/>
      <c r="D3178" s="2"/>
      <c r="E3178" s="2"/>
      <c r="F3178" s="2"/>
      <c r="G3178" s="2"/>
      <c r="H3178" s="2"/>
      <c r="I3178" s="2"/>
      <c r="J3178" s="2"/>
      <c r="K3178" s="2"/>
      <c r="L3178" s="24"/>
      <c r="M3178" s="24"/>
      <c r="N3178" s="24"/>
      <c r="O3178" s="24"/>
      <c r="P3178" s="24"/>
      <c r="Q3178" s="2"/>
      <c r="R3178" s="2"/>
      <c r="S3178" s="2"/>
      <c r="T3178" s="2"/>
      <c r="U3178" s="24"/>
      <c r="V3178" s="2"/>
      <c r="W3178" s="2"/>
      <c r="X3178" s="2"/>
      <c r="Y3178" s="2"/>
      <c r="Z3178" s="2"/>
    </row>
    <row r="3179">
      <c r="A3179" s="23"/>
      <c r="B3179" s="2"/>
      <c r="C3179" s="2"/>
      <c r="D3179" s="2"/>
      <c r="E3179" s="2"/>
      <c r="F3179" s="2"/>
      <c r="G3179" s="2"/>
      <c r="H3179" s="2"/>
      <c r="I3179" s="2"/>
      <c r="J3179" s="2"/>
      <c r="K3179" s="2"/>
      <c r="L3179" s="24"/>
      <c r="M3179" s="24"/>
      <c r="N3179" s="24"/>
      <c r="O3179" s="24"/>
      <c r="P3179" s="24"/>
      <c r="Q3179" s="2"/>
      <c r="R3179" s="2"/>
      <c r="S3179" s="2"/>
      <c r="T3179" s="2"/>
      <c r="U3179" s="24"/>
      <c r="V3179" s="2"/>
      <c r="W3179" s="2"/>
      <c r="X3179" s="2"/>
      <c r="Y3179" s="2"/>
      <c r="Z3179" s="2"/>
    </row>
    <row r="3180">
      <c r="A3180" s="23"/>
      <c r="B3180" s="2"/>
      <c r="C3180" s="2"/>
      <c r="D3180" s="2"/>
      <c r="E3180" s="2"/>
      <c r="F3180" s="2"/>
      <c r="G3180" s="2"/>
      <c r="H3180" s="2"/>
      <c r="I3180" s="2"/>
      <c r="J3180" s="2"/>
      <c r="K3180" s="2"/>
      <c r="L3180" s="24"/>
      <c r="M3180" s="24"/>
      <c r="N3180" s="24"/>
      <c r="O3180" s="24"/>
      <c r="P3180" s="24"/>
      <c r="Q3180" s="2"/>
      <c r="R3180" s="2"/>
      <c r="S3180" s="2"/>
      <c r="T3180" s="2"/>
      <c r="U3180" s="24"/>
      <c r="V3180" s="2"/>
      <c r="W3180" s="2"/>
      <c r="X3180" s="2"/>
      <c r="Y3180" s="2"/>
      <c r="Z3180" s="2"/>
    </row>
    <row r="3181">
      <c r="A3181" s="23"/>
      <c r="B3181" s="2"/>
      <c r="C3181" s="2"/>
      <c r="D3181" s="2"/>
      <c r="E3181" s="2"/>
      <c r="F3181" s="2"/>
      <c r="G3181" s="2"/>
      <c r="H3181" s="2"/>
      <c r="I3181" s="2"/>
      <c r="J3181" s="2"/>
      <c r="K3181" s="2"/>
      <c r="L3181" s="24"/>
      <c r="M3181" s="24"/>
      <c r="N3181" s="24"/>
      <c r="O3181" s="24"/>
      <c r="P3181" s="24"/>
      <c r="Q3181" s="2"/>
      <c r="R3181" s="2"/>
      <c r="S3181" s="2"/>
      <c r="T3181" s="2"/>
      <c r="U3181" s="24"/>
      <c r="V3181" s="2"/>
      <c r="W3181" s="2"/>
      <c r="X3181" s="2"/>
      <c r="Y3181" s="2"/>
      <c r="Z3181" s="2"/>
    </row>
    <row r="3182">
      <c r="A3182" s="23"/>
      <c r="B3182" s="2"/>
      <c r="C3182" s="2"/>
      <c r="D3182" s="2"/>
      <c r="E3182" s="2"/>
      <c r="F3182" s="2"/>
      <c r="G3182" s="2"/>
      <c r="H3182" s="2"/>
      <c r="I3182" s="2"/>
      <c r="J3182" s="2"/>
      <c r="K3182" s="2"/>
      <c r="L3182" s="24"/>
      <c r="M3182" s="24"/>
      <c r="N3182" s="24"/>
      <c r="O3182" s="24"/>
      <c r="P3182" s="24"/>
      <c r="Q3182" s="2"/>
      <c r="R3182" s="2"/>
      <c r="S3182" s="2"/>
      <c r="T3182" s="2"/>
      <c r="U3182" s="24"/>
      <c r="V3182" s="2"/>
      <c r="W3182" s="2"/>
      <c r="X3182" s="2"/>
      <c r="Y3182" s="2"/>
      <c r="Z3182" s="2"/>
    </row>
    <row r="3183">
      <c r="A3183" s="23"/>
      <c r="B3183" s="2"/>
      <c r="C3183" s="2"/>
      <c r="D3183" s="2"/>
      <c r="E3183" s="2"/>
      <c r="F3183" s="2"/>
      <c r="G3183" s="2"/>
      <c r="H3183" s="2"/>
      <c r="I3183" s="2"/>
      <c r="J3183" s="2"/>
      <c r="K3183" s="2"/>
      <c r="L3183" s="24"/>
      <c r="M3183" s="24"/>
      <c r="N3183" s="24"/>
      <c r="O3183" s="24"/>
      <c r="P3183" s="24"/>
      <c r="Q3183" s="2"/>
      <c r="R3183" s="2"/>
      <c r="S3183" s="2"/>
      <c r="T3183" s="2"/>
      <c r="U3183" s="24"/>
      <c r="V3183" s="2"/>
      <c r="W3183" s="2"/>
      <c r="X3183" s="2"/>
      <c r="Y3183" s="2"/>
      <c r="Z3183" s="2"/>
    </row>
    <row r="3184">
      <c r="A3184" s="23"/>
      <c r="B3184" s="2"/>
      <c r="C3184" s="2"/>
      <c r="D3184" s="2"/>
      <c r="E3184" s="2"/>
      <c r="F3184" s="2"/>
      <c r="G3184" s="2"/>
      <c r="H3184" s="2"/>
      <c r="I3184" s="2"/>
      <c r="J3184" s="2"/>
      <c r="K3184" s="2"/>
      <c r="L3184" s="24"/>
      <c r="M3184" s="24"/>
      <c r="N3184" s="24"/>
      <c r="O3184" s="24"/>
      <c r="P3184" s="24"/>
      <c r="Q3184" s="2"/>
      <c r="R3184" s="2"/>
      <c r="S3184" s="2"/>
      <c r="T3184" s="2"/>
      <c r="U3184" s="24"/>
      <c r="V3184" s="2"/>
      <c r="W3184" s="2"/>
      <c r="X3184" s="2"/>
      <c r="Y3184" s="2"/>
      <c r="Z3184" s="2"/>
    </row>
    <row r="3185">
      <c r="A3185" s="23"/>
      <c r="B3185" s="2"/>
      <c r="C3185" s="2"/>
      <c r="D3185" s="2"/>
      <c r="E3185" s="2"/>
      <c r="F3185" s="2"/>
      <c r="G3185" s="2"/>
      <c r="H3185" s="2"/>
      <c r="I3185" s="2"/>
      <c r="J3185" s="2"/>
      <c r="K3185" s="2"/>
      <c r="L3185" s="24"/>
      <c r="M3185" s="24"/>
      <c r="N3185" s="24"/>
      <c r="O3185" s="24"/>
      <c r="P3185" s="24"/>
      <c r="Q3185" s="2"/>
      <c r="R3185" s="2"/>
      <c r="S3185" s="2"/>
      <c r="T3185" s="2"/>
      <c r="U3185" s="24"/>
      <c r="V3185" s="2"/>
      <c r="W3185" s="2"/>
      <c r="X3185" s="2"/>
      <c r="Y3185" s="2"/>
      <c r="Z3185" s="2"/>
    </row>
    <row r="3186">
      <c r="A3186" s="23"/>
      <c r="B3186" s="2"/>
      <c r="C3186" s="2"/>
      <c r="D3186" s="2"/>
      <c r="E3186" s="2"/>
      <c r="F3186" s="2"/>
      <c r="G3186" s="2"/>
      <c r="H3186" s="2"/>
      <c r="I3186" s="2"/>
      <c r="J3186" s="2"/>
      <c r="K3186" s="2"/>
      <c r="L3186" s="24"/>
      <c r="M3186" s="24"/>
      <c r="N3186" s="24"/>
      <c r="O3186" s="24"/>
      <c r="P3186" s="24"/>
      <c r="Q3186" s="2"/>
      <c r="R3186" s="2"/>
      <c r="S3186" s="2"/>
      <c r="T3186" s="2"/>
      <c r="U3186" s="24"/>
      <c r="V3186" s="2"/>
      <c r="W3186" s="2"/>
      <c r="X3186" s="2"/>
      <c r="Y3186" s="2"/>
      <c r="Z3186" s="2"/>
    </row>
    <row r="3187">
      <c r="A3187" s="23"/>
      <c r="B3187" s="2"/>
      <c r="C3187" s="2"/>
      <c r="D3187" s="2"/>
      <c r="E3187" s="2"/>
      <c r="F3187" s="2"/>
      <c r="G3187" s="2"/>
      <c r="H3187" s="2"/>
      <c r="I3187" s="2"/>
      <c r="J3187" s="2"/>
      <c r="K3187" s="2"/>
      <c r="L3187" s="24"/>
      <c r="M3187" s="24"/>
      <c r="N3187" s="24"/>
      <c r="O3187" s="24"/>
      <c r="P3187" s="24"/>
      <c r="Q3187" s="2"/>
      <c r="R3187" s="2"/>
      <c r="S3187" s="2"/>
      <c r="T3187" s="2"/>
      <c r="U3187" s="24"/>
      <c r="V3187" s="2"/>
      <c r="W3187" s="2"/>
      <c r="X3187" s="2"/>
      <c r="Y3187" s="2"/>
      <c r="Z3187" s="2"/>
    </row>
    <row r="3188">
      <c r="A3188" s="23"/>
      <c r="B3188" s="2"/>
      <c r="C3188" s="2"/>
      <c r="D3188" s="2"/>
      <c r="E3188" s="2"/>
      <c r="F3188" s="2"/>
      <c r="G3188" s="2"/>
      <c r="H3188" s="2"/>
      <c r="I3188" s="2"/>
      <c r="J3188" s="2"/>
      <c r="K3188" s="2"/>
      <c r="L3188" s="24"/>
      <c r="M3188" s="24"/>
      <c r="N3188" s="24"/>
      <c r="O3188" s="24"/>
      <c r="P3188" s="24"/>
      <c r="Q3188" s="2"/>
      <c r="R3188" s="2"/>
      <c r="S3188" s="2"/>
      <c r="T3188" s="2"/>
      <c r="U3188" s="24"/>
      <c r="V3188" s="2"/>
      <c r="W3188" s="2"/>
      <c r="X3188" s="2"/>
      <c r="Y3188" s="2"/>
      <c r="Z3188" s="2"/>
    </row>
    <row r="3189">
      <c r="A3189" s="23"/>
      <c r="B3189" s="2"/>
      <c r="C3189" s="2"/>
      <c r="D3189" s="2"/>
      <c r="E3189" s="2"/>
      <c r="F3189" s="2"/>
      <c r="G3189" s="2"/>
      <c r="H3189" s="2"/>
      <c r="I3189" s="2"/>
      <c r="J3189" s="2"/>
      <c r="K3189" s="2"/>
      <c r="L3189" s="24"/>
      <c r="M3189" s="24"/>
      <c r="N3189" s="24"/>
      <c r="O3189" s="24"/>
      <c r="P3189" s="24"/>
      <c r="Q3189" s="2"/>
      <c r="R3189" s="2"/>
      <c r="S3189" s="2"/>
      <c r="T3189" s="2"/>
      <c r="U3189" s="24"/>
      <c r="V3189" s="2"/>
      <c r="W3189" s="2"/>
      <c r="X3189" s="2"/>
      <c r="Y3189" s="2"/>
      <c r="Z3189" s="2"/>
    </row>
    <row r="3190">
      <c r="A3190" s="23"/>
      <c r="B3190" s="2"/>
      <c r="C3190" s="2"/>
      <c r="D3190" s="2"/>
      <c r="E3190" s="2"/>
      <c r="F3190" s="2"/>
      <c r="G3190" s="2"/>
      <c r="H3190" s="2"/>
      <c r="I3190" s="2"/>
      <c r="J3190" s="2"/>
      <c r="K3190" s="2"/>
      <c r="L3190" s="24"/>
      <c r="M3190" s="24"/>
      <c r="N3190" s="24"/>
      <c r="O3190" s="24"/>
      <c r="P3190" s="24"/>
      <c r="Q3190" s="2"/>
      <c r="R3190" s="2"/>
      <c r="S3190" s="2"/>
      <c r="T3190" s="2"/>
      <c r="U3190" s="24"/>
      <c r="V3190" s="2"/>
      <c r="W3190" s="2"/>
      <c r="X3190" s="2"/>
      <c r="Y3190" s="2"/>
      <c r="Z3190" s="2"/>
    </row>
    <row r="3191">
      <c r="A3191" s="23"/>
      <c r="B3191" s="2"/>
      <c r="C3191" s="2"/>
      <c r="D3191" s="2"/>
      <c r="E3191" s="2"/>
      <c r="F3191" s="2"/>
      <c r="G3191" s="2"/>
      <c r="H3191" s="2"/>
      <c r="I3191" s="2"/>
      <c r="J3191" s="2"/>
      <c r="K3191" s="2"/>
      <c r="L3191" s="24"/>
      <c r="M3191" s="24"/>
      <c r="N3191" s="24"/>
      <c r="O3191" s="24"/>
      <c r="P3191" s="24"/>
      <c r="Q3191" s="2"/>
      <c r="R3191" s="2"/>
      <c r="S3191" s="2"/>
      <c r="T3191" s="2"/>
      <c r="U3191" s="24"/>
      <c r="V3191" s="2"/>
      <c r="W3191" s="2"/>
      <c r="X3191" s="2"/>
      <c r="Y3191" s="2"/>
      <c r="Z3191" s="2"/>
    </row>
    <row r="3192">
      <c r="A3192" s="23"/>
      <c r="B3192" s="2"/>
      <c r="C3192" s="2"/>
      <c r="D3192" s="2"/>
      <c r="E3192" s="2"/>
      <c r="F3192" s="2"/>
      <c r="G3192" s="2"/>
      <c r="H3192" s="2"/>
      <c r="I3192" s="2"/>
      <c r="J3192" s="2"/>
      <c r="K3192" s="2"/>
      <c r="L3192" s="24"/>
      <c r="M3192" s="24"/>
      <c r="N3192" s="24"/>
      <c r="O3192" s="24"/>
      <c r="P3192" s="24"/>
      <c r="Q3192" s="2"/>
      <c r="R3192" s="2"/>
      <c r="S3192" s="2"/>
      <c r="T3192" s="2"/>
      <c r="U3192" s="24"/>
      <c r="V3192" s="2"/>
      <c r="W3192" s="2"/>
      <c r="X3192" s="2"/>
      <c r="Y3192" s="2"/>
      <c r="Z3192" s="2"/>
    </row>
    <row r="3193">
      <c r="A3193" s="23"/>
      <c r="B3193" s="2"/>
      <c r="C3193" s="2"/>
      <c r="D3193" s="2"/>
      <c r="E3193" s="2"/>
      <c r="F3193" s="2"/>
      <c r="G3193" s="2"/>
      <c r="H3193" s="2"/>
      <c r="I3193" s="2"/>
      <c r="J3193" s="2"/>
      <c r="K3193" s="2"/>
      <c r="L3193" s="24"/>
      <c r="M3193" s="24"/>
      <c r="N3193" s="24"/>
      <c r="O3193" s="24"/>
      <c r="P3193" s="24"/>
      <c r="Q3193" s="2"/>
      <c r="R3193" s="2"/>
      <c r="S3193" s="2"/>
      <c r="T3193" s="2"/>
      <c r="U3193" s="24"/>
      <c r="V3193" s="2"/>
      <c r="W3193" s="2"/>
      <c r="X3193" s="2"/>
      <c r="Y3193" s="2"/>
      <c r="Z3193" s="2"/>
    </row>
    <row r="3194">
      <c r="A3194" s="23"/>
      <c r="B3194" s="2"/>
      <c r="C3194" s="2"/>
      <c r="D3194" s="2"/>
      <c r="E3194" s="2"/>
      <c r="F3194" s="2"/>
      <c r="G3194" s="2"/>
      <c r="H3194" s="2"/>
      <c r="I3194" s="2"/>
      <c r="J3194" s="2"/>
      <c r="K3194" s="2"/>
      <c r="L3194" s="24"/>
      <c r="M3194" s="24"/>
      <c r="N3194" s="24"/>
      <c r="O3194" s="24"/>
      <c r="P3194" s="24"/>
      <c r="Q3194" s="2"/>
      <c r="R3194" s="2"/>
      <c r="S3194" s="2"/>
      <c r="T3194" s="2"/>
      <c r="U3194" s="24"/>
      <c r="V3194" s="2"/>
      <c r="W3194" s="2"/>
      <c r="X3194" s="2"/>
      <c r="Y3194" s="2"/>
      <c r="Z3194" s="2"/>
    </row>
    <row r="3195">
      <c r="A3195" s="23"/>
      <c r="B3195" s="2"/>
      <c r="C3195" s="2"/>
      <c r="D3195" s="2"/>
      <c r="E3195" s="2"/>
      <c r="F3195" s="2"/>
      <c r="G3195" s="2"/>
      <c r="H3195" s="2"/>
      <c r="I3195" s="2"/>
      <c r="J3195" s="2"/>
      <c r="K3195" s="2"/>
      <c r="L3195" s="24"/>
      <c r="M3195" s="24"/>
      <c r="N3195" s="24"/>
      <c r="O3195" s="24"/>
      <c r="P3195" s="24"/>
      <c r="Q3195" s="2"/>
      <c r="R3195" s="2"/>
      <c r="S3195" s="2"/>
      <c r="T3195" s="2"/>
      <c r="U3195" s="24"/>
      <c r="V3195" s="2"/>
      <c r="W3195" s="2"/>
      <c r="X3195" s="2"/>
      <c r="Y3195" s="2"/>
      <c r="Z3195" s="2"/>
    </row>
    <row r="3196">
      <c r="A3196" s="23"/>
      <c r="B3196" s="2"/>
      <c r="C3196" s="2"/>
      <c r="D3196" s="2"/>
      <c r="E3196" s="2"/>
      <c r="F3196" s="2"/>
      <c r="G3196" s="2"/>
      <c r="H3196" s="2"/>
      <c r="I3196" s="2"/>
      <c r="J3196" s="2"/>
      <c r="K3196" s="2"/>
      <c r="L3196" s="24"/>
      <c r="M3196" s="24"/>
      <c r="N3196" s="24"/>
      <c r="O3196" s="24"/>
      <c r="P3196" s="24"/>
      <c r="Q3196" s="2"/>
      <c r="R3196" s="2"/>
      <c r="S3196" s="2"/>
      <c r="T3196" s="2"/>
      <c r="U3196" s="24"/>
      <c r="V3196" s="2"/>
      <c r="W3196" s="2"/>
      <c r="X3196" s="2"/>
      <c r="Y3196" s="2"/>
      <c r="Z3196" s="2"/>
    </row>
    <row r="3197">
      <c r="A3197" s="23"/>
      <c r="B3197" s="2"/>
      <c r="C3197" s="2"/>
      <c r="D3197" s="2"/>
      <c r="E3197" s="2"/>
      <c r="F3197" s="2"/>
      <c r="G3197" s="2"/>
      <c r="H3197" s="2"/>
      <c r="I3197" s="2"/>
      <c r="J3197" s="2"/>
      <c r="K3197" s="2"/>
      <c r="L3197" s="24"/>
      <c r="M3197" s="24"/>
      <c r="N3197" s="24"/>
      <c r="O3197" s="24"/>
      <c r="P3197" s="24"/>
      <c r="Q3197" s="2"/>
      <c r="R3197" s="2"/>
      <c r="S3197" s="2"/>
      <c r="T3197" s="2"/>
      <c r="U3197" s="24"/>
      <c r="V3197" s="2"/>
      <c r="W3197" s="2"/>
      <c r="X3197" s="2"/>
      <c r="Y3197" s="2"/>
      <c r="Z3197" s="2"/>
    </row>
    <row r="3198">
      <c r="A3198" s="23"/>
      <c r="B3198" s="2"/>
      <c r="C3198" s="2"/>
      <c r="D3198" s="2"/>
      <c r="E3198" s="2"/>
      <c r="F3198" s="2"/>
      <c r="G3198" s="2"/>
      <c r="H3198" s="2"/>
      <c r="I3198" s="2"/>
      <c r="J3198" s="2"/>
      <c r="K3198" s="2"/>
      <c r="L3198" s="24"/>
      <c r="M3198" s="24"/>
      <c r="N3198" s="24"/>
      <c r="O3198" s="24"/>
      <c r="P3198" s="24"/>
      <c r="Q3198" s="2"/>
      <c r="R3198" s="2"/>
      <c r="S3198" s="2"/>
      <c r="T3198" s="2"/>
      <c r="U3198" s="24"/>
      <c r="V3198" s="2"/>
      <c r="W3198" s="2"/>
      <c r="X3198" s="2"/>
      <c r="Y3198" s="2"/>
      <c r="Z3198" s="2"/>
    </row>
    <row r="3199">
      <c r="A3199" s="23"/>
      <c r="B3199" s="2"/>
      <c r="C3199" s="2"/>
      <c r="D3199" s="2"/>
      <c r="E3199" s="2"/>
      <c r="F3199" s="2"/>
      <c r="G3199" s="2"/>
      <c r="H3199" s="2"/>
      <c r="I3199" s="2"/>
      <c r="J3199" s="2"/>
      <c r="K3199" s="2"/>
      <c r="L3199" s="24"/>
      <c r="M3199" s="24"/>
      <c r="N3199" s="24"/>
      <c r="O3199" s="24"/>
      <c r="P3199" s="24"/>
      <c r="Q3199" s="2"/>
      <c r="R3199" s="2"/>
      <c r="S3199" s="2"/>
      <c r="T3199" s="2"/>
      <c r="U3199" s="24"/>
      <c r="V3199" s="2"/>
      <c r="W3199" s="2"/>
      <c r="X3199" s="2"/>
      <c r="Y3199" s="2"/>
      <c r="Z3199" s="2"/>
    </row>
    <row r="3200">
      <c r="A3200" s="23"/>
      <c r="B3200" s="2"/>
      <c r="C3200" s="2"/>
      <c r="D3200" s="2"/>
      <c r="E3200" s="2"/>
      <c r="F3200" s="2"/>
      <c r="G3200" s="2"/>
      <c r="H3200" s="2"/>
      <c r="I3200" s="2"/>
      <c r="J3200" s="2"/>
      <c r="K3200" s="2"/>
      <c r="L3200" s="24"/>
      <c r="M3200" s="24"/>
      <c r="N3200" s="24"/>
      <c r="O3200" s="24"/>
      <c r="P3200" s="24"/>
      <c r="Q3200" s="2"/>
      <c r="R3200" s="2"/>
      <c r="S3200" s="2"/>
      <c r="T3200" s="2"/>
      <c r="U3200" s="24"/>
      <c r="V3200" s="2"/>
      <c r="W3200" s="2"/>
      <c r="X3200" s="2"/>
      <c r="Y3200" s="2"/>
      <c r="Z3200" s="2"/>
    </row>
    <row r="3201">
      <c r="A3201" s="23"/>
      <c r="B3201" s="2"/>
      <c r="C3201" s="2"/>
      <c r="D3201" s="2"/>
      <c r="E3201" s="2"/>
      <c r="F3201" s="2"/>
      <c r="G3201" s="2"/>
      <c r="H3201" s="2"/>
      <c r="I3201" s="2"/>
      <c r="J3201" s="2"/>
      <c r="K3201" s="2"/>
      <c r="L3201" s="24"/>
      <c r="M3201" s="24"/>
      <c r="N3201" s="24"/>
      <c r="O3201" s="24"/>
      <c r="P3201" s="24"/>
      <c r="Q3201" s="2"/>
      <c r="R3201" s="2"/>
      <c r="S3201" s="2"/>
      <c r="T3201" s="2"/>
      <c r="U3201" s="24"/>
      <c r="V3201" s="2"/>
      <c r="W3201" s="2"/>
      <c r="X3201" s="2"/>
      <c r="Y3201" s="2"/>
      <c r="Z3201" s="2"/>
    </row>
    <row r="3202">
      <c r="A3202" s="23"/>
      <c r="B3202" s="2"/>
      <c r="C3202" s="2"/>
      <c r="D3202" s="2"/>
      <c r="E3202" s="2"/>
      <c r="F3202" s="2"/>
      <c r="G3202" s="2"/>
      <c r="H3202" s="2"/>
      <c r="I3202" s="2"/>
      <c r="J3202" s="2"/>
      <c r="K3202" s="2"/>
      <c r="L3202" s="24"/>
      <c r="M3202" s="24"/>
      <c r="N3202" s="24"/>
      <c r="O3202" s="24"/>
      <c r="P3202" s="24"/>
      <c r="Q3202" s="2"/>
      <c r="R3202" s="2"/>
      <c r="S3202" s="2"/>
      <c r="T3202" s="2"/>
      <c r="U3202" s="24"/>
      <c r="V3202" s="2"/>
      <c r="W3202" s="2"/>
      <c r="X3202" s="2"/>
      <c r="Y3202" s="2"/>
      <c r="Z3202" s="2"/>
    </row>
    <row r="3203">
      <c r="A3203" s="23"/>
      <c r="B3203" s="2"/>
      <c r="C3203" s="2"/>
      <c r="D3203" s="2"/>
      <c r="E3203" s="2"/>
      <c r="F3203" s="2"/>
      <c r="G3203" s="2"/>
      <c r="H3203" s="2"/>
      <c r="I3203" s="2"/>
      <c r="J3203" s="2"/>
      <c r="K3203" s="2"/>
      <c r="L3203" s="24"/>
      <c r="M3203" s="24"/>
      <c r="N3203" s="24"/>
      <c r="O3203" s="24"/>
      <c r="P3203" s="24"/>
      <c r="Q3203" s="2"/>
      <c r="R3203" s="2"/>
      <c r="S3203" s="2"/>
      <c r="T3203" s="2"/>
      <c r="U3203" s="24"/>
      <c r="V3203" s="2"/>
      <c r="W3203" s="2"/>
      <c r="X3203" s="2"/>
      <c r="Y3203" s="2"/>
      <c r="Z3203" s="2"/>
    </row>
    <row r="3204">
      <c r="A3204" s="23"/>
      <c r="B3204" s="2"/>
      <c r="C3204" s="2"/>
      <c r="D3204" s="2"/>
      <c r="E3204" s="2"/>
      <c r="F3204" s="2"/>
      <c r="G3204" s="2"/>
      <c r="H3204" s="2"/>
      <c r="I3204" s="2"/>
      <c r="J3204" s="2"/>
      <c r="K3204" s="2"/>
      <c r="L3204" s="24"/>
      <c r="M3204" s="24"/>
      <c r="N3204" s="24"/>
      <c r="O3204" s="24"/>
      <c r="P3204" s="24"/>
      <c r="Q3204" s="2"/>
      <c r="R3204" s="2"/>
      <c r="S3204" s="2"/>
      <c r="T3204" s="2"/>
      <c r="U3204" s="24"/>
      <c r="V3204" s="2"/>
      <c r="W3204" s="2"/>
      <c r="X3204" s="2"/>
      <c r="Y3204" s="2"/>
      <c r="Z3204" s="2"/>
    </row>
    <row r="3205">
      <c r="A3205" s="23"/>
      <c r="B3205" s="2"/>
      <c r="C3205" s="2"/>
      <c r="D3205" s="2"/>
      <c r="E3205" s="2"/>
      <c r="F3205" s="2"/>
      <c r="G3205" s="2"/>
      <c r="H3205" s="2"/>
      <c r="I3205" s="2"/>
      <c r="J3205" s="2"/>
      <c r="K3205" s="2"/>
      <c r="L3205" s="24"/>
      <c r="M3205" s="24"/>
      <c r="N3205" s="24"/>
      <c r="O3205" s="24"/>
      <c r="P3205" s="24"/>
      <c r="Q3205" s="2"/>
      <c r="R3205" s="2"/>
      <c r="S3205" s="2"/>
      <c r="T3205" s="2"/>
      <c r="U3205" s="24"/>
      <c r="V3205" s="2"/>
      <c r="W3205" s="2"/>
      <c r="X3205" s="2"/>
      <c r="Y3205" s="2"/>
      <c r="Z3205" s="2"/>
    </row>
    <row r="3206">
      <c r="A3206" s="23"/>
      <c r="B3206" s="2"/>
      <c r="C3206" s="2"/>
      <c r="D3206" s="2"/>
      <c r="E3206" s="2"/>
      <c r="F3206" s="2"/>
      <c r="G3206" s="2"/>
      <c r="H3206" s="2"/>
      <c r="I3206" s="2"/>
      <c r="J3206" s="2"/>
      <c r="K3206" s="2"/>
      <c r="L3206" s="24"/>
      <c r="M3206" s="24"/>
      <c r="N3206" s="24"/>
      <c r="O3206" s="24"/>
      <c r="P3206" s="24"/>
      <c r="Q3206" s="2"/>
      <c r="R3206" s="2"/>
      <c r="S3206" s="2"/>
      <c r="T3206" s="2"/>
      <c r="U3206" s="24"/>
      <c r="V3206" s="2"/>
      <c r="W3206" s="2"/>
      <c r="X3206" s="2"/>
      <c r="Y3206" s="2"/>
      <c r="Z3206" s="2"/>
    </row>
    <row r="3207">
      <c r="A3207" s="23"/>
      <c r="B3207" s="2"/>
      <c r="C3207" s="2"/>
      <c r="D3207" s="2"/>
      <c r="E3207" s="2"/>
      <c r="F3207" s="2"/>
      <c r="G3207" s="2"/>
      <c r="H3207" s="2"/>
      <c r="I3207" s="2"/>
      <c r="J3207" s="2"/>
      <c r="K3207" s="2"/>
      <c r="L3207" s="24"/>
      <c r="M3207" s="24"/>
      <c r="N3207" s="24"/>
      <c r="O3207" s="24"/>
      <c r="P3207" s="24"/>
      <c r="Q3207" s="2"/>
      <c r="R3207" s="2"/>
      <c r="S3207" s="2"/>
      <c r="T3207" s="2"/>
      <c r="U3207" s="24"/>
      <c r="V3207" s="2"/>
      <c r="W3207" s="2"/>
      <c r="X3207" s="2"/>
      <c r="Y3207" s="2"/>
      <c r="Z3207" s="2"/>
    </row>
    <row r="3208">
      <c r="A3208" s="23"/>
      <c r="B3208" s="2"/>
      <c r="C3208" s="2"/>
      <c r="D3208" s="2"/>
      <c r="E3208" s="2"/>
      <c r="F3208" s="2"/>
      <c r="G3208" s="2"/>
      <c r="H3208" s="2"/>
      <c r="I3208" s="2"/>
      <c r="J3208" s="2"/>
      <c r="K3208" s="2"/>
      <c r="L3208" s="24"/>
      <c r="M3208" s="24"/>
      <c r="N3208" s="24"/>
      <c r="O3208" s="24"/>
      <c r="P3208" s="24"/>
      <c r="Q3208" s="2"/>
      <c r="R3208" s="2"/>
      <c r="S3208" s="2"/>
      <c r="T3208" s="2"/>
      <c r="U3208" s="24"/>
      <c r="V3208" s="2"/>
      <c r="W3208" s="2"/>
      <c r="X3208" s="2"/>
      <c r="Y3208" s="2"/>
      <c r="Z3208" s="2"/>
    </row>
    <row r="3209">
      <c r="A3209" s="23"/>
      <c r="B3209" s="2"/>
      <c r="C3209" s="2"/>
      <c r="D3209" s="2"/>
      <c r="E3209" s="2"/>
      <c r="F3209" s="2"/>
      <c r="G3209" s="2"/>
      <c r="H3209" s="2"/>
      <c r="I3209" s="2"/>
      <c r="J3209" s="2"/>
      <c r="K3209" s="2"/>
      <c r="L3209" s="24"/>
      <c r="M3209" s="24"/>
      <c r="N3209" s="24"/>
      <c r="O3209" s="24"/>
      <c r="P3209" s="24"/>
      <c r="Q3209" s="2"/>
      <c r="R3209" s="2"/>
      <c r="S3209" s="2"/>
      <c r="T3209" s="2"/>
      <c r="U3209" s="24"/>
      <c r="V3209" s="2"/>
      <c r="W3209" s="2"/>
      <c r="X3209" s="2"/>
      <c r="Y3209" s="2"/>
      <c r="Z3209" s="2"/>
    </row>
    <row r="3210">
      <c r="A3210" s="23"/>
      <c r="B3210" s="2"/>
      <c r="C3210" s="2"/>
      <c r="D3210" s="2"/>
      <c r="E3210" s="2"/>
      <c r="F3210" s="2"/>
      <c r="G3210" s="2"/>
      <c r="H3210" s="2"/>
      <c r="I3210" s="2"/>
      <c r="J3210" s="2"/>
      <c r="K3210" s="2"/>
      <c r="L3210" s="24"/>
      <c r="M3210" s="24"/>
      <c r="N3210" s="24"/>
      <c r="O3210" s="24"/>
      <c r="P3210" s="24"/>
      <c r="Q3210" s="2"/>
      <c r="R3210" s="2"/>
      <c r="S3210" s="2"/>
      <c r="T3210" s="2"/>
      <c r="U3210" s="24"/>
      <c r="V3210" s="2"/>
      <c r="W3210" s="2"/>
      <c r="X3210" s="2"/>
      <c r="Y3210" s="2"/>
      <c r="Z3210" s="2"/>
    </row>
    <row r="3211">
      <c r="A3211" s="23"/>
      <c r="B3211" s="2"/>
      <c r="C3211" s="2"/>
      <c r="D3211" s="2"/>
      <c r="E3211" s="2"/>
      <c r="F3211" s="2"/>
      <c r="G3211" s="2"/>
      <c r="H3211" s="2"/>
      <c r="I3211" s="2"/>
      <c r="J3211" s="2"/>
      <c r="K3211" s="2"/>
      <c r="L3211" s="24"/>
      <c r="M3211" s="24"/>
      <c r="N3211" s="24"/>
      <c r="O3211" s="24"/>
      <c r="P3211" s="24"/>
      <c r="Q3211" s="2"/>
      <c r="R3211" s="2"/>
      <c r="S3211" s="2"/>
      <c r="T3211" s="2"/>
      <c r="U3211" s="24"/>
      <c r="V3211" s="2"/>
      <c r="W3211" s="2"/>
      <c r="X3211" s="2"/>
      <c r="Y3211" s="2"/>
      <c r="Z3211" s="2"/>
    </row>
    <row r="3212">
      <c r="A3212" s="23"/>
      <c r="B3212" s="2"/>
      <c r="C3212" s="2"/>
      <c r="D3212" s="2"/>
      <c r="E3212" s="2"/>
      <c r="F3212" s="2"/>
      <c r="G3212" s="2"/>
      <c r="H3212" s="2"/>
      <c r="I3212" s="2"/>
      <c r="J3212" s="2"/>
      <c r="K3212" s="2"/>
      <c r="L3212" s="24"/>
      <c r="M3212" s="24"/>
      <c r="N3212" s="24"/>
      <c r="O3212" s="24"/>
      <c r="P3212" s="24"/>
      <c r="Q3212" s="2"/>
      <c r="R3212" s="2"/>
      <c r="S3212" s="2"/>
      <c r="T3212" s="2"/>
      <c r="U3212" s="24"/>
      <c r="V3212" s="2"/>
      <c r="W3212" s="2"/>
      <c r="X3212" s="2"/>
      <c r="Y3212" s="2"/>
      <c r="Z3212" s="2"/>
    </row>
    <row r="3213">
      <c r="A3213" s="23"/>
      <c r="B3213" s="2"/>
      <c r="C3213" s="2"/>
      <c r="D3213" s="2"/>
      <c r="E3213" s="2"/>
      <c r="F3213" s="2"/>
      <c r="G3213" s="2"/>
      <c r="H3213" s="2"/>
      <c r="I3213" s="2"/>
      <c r="J3213" s="2"/>
      <c r="K3213" s="2"/>
      <c r="L3213" s="24"/>
      <c r="M3213" s="24"/>
      <c r="N3213" s="24"/>
      <c r="O3213" s="24"/>
      <c r="P3213" s="24"/>
      <c r="Q3213" s="2"/>
      <c r="R3213" s="2"/>
      <c r="S3213" s="2"/>
      <c r="T3213" s="2"/>
      <c r="U3213" s="24"/>
      <c r="V3213" s="2"/>
      <c r="W3213" s="2"/>
      <c r="X3213" s="2"/>
      <c r="Y3213" s="2"/>
      <c r="Z3213" s="2"/>
    </row>
    <row r="3214">
      <c r="A3214" s="23"/>
      <c r="B3214" s="2"/>
      <c r="C3214" s="2"/>
      <c r="D3214" s="2"/>
      <c r="E3214" s="2"/>
      <c r="F3214" s="2"/>
      <c r="G3214" s="2"/>
      <c r="H3214" s="2"/>
      <c r="I3214" s="2"/>
      <c r="J3214" s="2"/>
      <c r="K3214" s="2"/>
      <c r="L3214" s="24"/>
      <c r="M3214" s="24"/>
      <c r="N3214" s="24"/>
      <c r="O3214" s="24"/>
      <c r="P3214" s="24"/>
      <c r="Q3214" s="2"/>
      <c r="R3214" s="2"/>
      <c r="S3214" s="2"/>
      <c r="T3214" s="2"/>
      <c r="U3214" s="24"/>
      <c r="V3214" s="2"/>
      <c r="W3214" s="2"/>
      <c r="X3214" s="2"/>
      <c r="Y3214" s="2"/>
      <c r="Z3214" s="2"/>
    </row>
    <row r="3215">
      <c r="A3215" s="23"/>
      <c r="B3215" s="2"/>
      <c r="C3215" s="2"/>
      <c r="D3215" s="2"/>
      <c r="E3215" s="2"/>
      <c r="F3215" s="2"/>
      <c r="G3215" s="2"/>
      <c r="H3215" s="2"/>
      <c r="I3215" s="2"/>
      <c r="J3215" s="2"/>
      <c r="K3215" s="2"/>
      <c r="L3215" s="24"/>
      <c r="M3215" s="24"/>
      <c r="N3215" s="24"/>
      <c r="O3215" s="24"/>
      <c r="P3215" s="24"/>
      <c r="Q3215" s="2"/>
      <c r="R3215" s="2"/>
      <c r="S3215" s="2"/>
      <c r="T3215" s="2"/>
      <c r="U3215" s="24"/>
      <c r="V3215" s="2"/>
      <c r="W3215" s="2"/>
      <c r="X3215" s="2"/>
      <c r="Y3215" s="2"/>
      <c r="Z3215" s="2"/>
    </row>
    <row r="3216">
      <c r="A3216" s="23"/>
      <c r="B3216" s="2"/>
      <c r="C3216" s="2"/>
      <c r="D3216" s="2"/>
      <c r="E3216" s="2"/>
      <c r="F3216" s="2"/>
      <c r="G3216" s="2"/>
      <c r="H3216" s="2"/>
      <c r="I3216" s="2"/>
      <c r="J3216" s="2"/>
      <c r="K3216" s="2"/>
      <c r="L3216" s="24"/>
      <c r="M3216" s="24"/>
      <c r="N3216" s="24"/>
      <c r="O3216" s="24"/>
      <c r="P3216" s="24"/>
      <c r="Q3216" s="2"/>
      <c r="R3216" s="2"/>
      <c r="S3216" s="2"/>
      <c r="T3216" s="2"/>
      <c r="U3216" s="24"/>
      <c r="V3216" s="2"/>
      <c r="W3216" s="2"/>
      <c r="X3216" s="2"/>
      <c r="Y3216" s="2"/>
      <c r="Z3216" s="2"/>
    </row>
    <row r="3217">
      <c r="A3217" s="23"/>
      <c r="B3217" s="2"/>
      <c r="C3217" s="2"/>
      <c r="D3217" s="2"/>
      <c r="E3217" s="2"/>
      <c r="F3217" s="2"/>
      <c r="G3217" s="2"/>
      <c r="H3217" s="2"/>
      <c r="I3217" s="2"/>
      <c r="J3217" s="2"/>
      <c r="K3217" s="2"/>
      <c r="L3217" s="24"/>
      <c r="M3217" s="24"/>
      <c r="N3217" s="24"/>
      <c r="O3217" s="24"/>
      <c r="P3217" s="24"/>
      <c r="Q3217" s="2"/>
      <c r="R3217" s="2"/>
      <c r="S3217" s="2"/>
      <c r="T3217" s="2"/>
      <c r="U3217" s="24"/>
      <c r="V3217" s="2"/>
      <c r="W3217" s="2"/>
      <c r="X3217" s="2"/>
      <c r="Y3217" s="2"/>
      <c r="Z3217" s="2"/>
    </row>
    <row r="3218">
      <c r="A3218" s="23"/>
      <c r="B3218" s="2"/>
      <c r="C3218" s="2"/>
      <c r="D3218" s="2"/>
      <c r="E3218" s="2"/>
      <c r="F3218" s="2"/>
      <c r="G3218" s="2"/>
      <c r="H3218" s="2"/>
      <c r="I3218" s="2"/>
      <c r="J3218" s="2"/>
      <c r="K3218" s="2"/>
      <c r="L3218" s="24"/>
      <c r="M3218" s="24"/>
      <c r="N3218" s="24"/>
      <c r="O3218" s="24"/>
      <c r="P3218" s="24"/>
      <c r="Q3218" s="2"/>
      <c r="R3218" s="2"/>
      <c r="S3218" s="2"/>
      <c r="T3218" s="2"/>
      <c r="U3218" s="24"/>
      <c r="V3218" s="2"/>
      <c r="W3218" s="2"/>
      <c r="X3218" s="2"/>
      <c r="Y3218" s="2"/>
      <c r="Z3218" s="2"/>
    </row>
    <row r="3219">
      <c r="A3219" s="23"/>
      <c r="B3219" s="2"/>
      <c r="C3219" s="2"/>
      <c r="D3219" s="2"/>
      <c r="E3219" s="2"/>
      <c r="F3219" s="2"/>
      <c r="G3219" s="2"/>
      <c r="H3219" s="2"/>
      <c r="I3219" s="2"/>
      <c r="J3219" s="2"/>
      <c r="K3219" s="2"/>
      <c r="L3219" s="24"/>
      <c r="M3219" s="24"/>
      <c r="N3219" s="24"/>
      <c r="O3219" s="24"/>
      <c r="P3219" s="24"/>
      <c r="Q3219" s="2"/>
      <c r="R3219" s="2"/>
      <c r="S3219" s="2"/>
      <c r="T3219" s="2"/>
      <c r="U3219" s="24"/>
      <c r="V3219" s="2"/>
      <c r="W3219" s="2"/>
      <c r="X3219" s="2"/>
      <c r="Y3219" s="2"/>
      <c r="Z3219" s="2"/>
    </row>
    <row r="3220">
      <c r="A3220" s="23"/>
      <c r="B3220" s="2"/>
      <c r="C3220" s="2"/>
      <c r="D3220" s="2"/>
      <c r="E3220" s="2"/>
      <c r="F3220" s="2"/>
      <c r="G3220" s="2"/>
      <c r="H3220" s="2"/>
      <c r="I3220" s="2"/>
      <c r="J3220" s="2"/>
      <c r="K3220" s="2"/>
      <c r="L3220" s="24"/>
      <c r="M3220" s="24"/>
      <c r="N3220" s="24"/>
      <c r="O3220" s="24"/>
      <c r="P3220" s="24"/>
      <c r="Q3220" s="2"/>
      <c r="R3220" s="2"/>
      <c r="S3220" s="2"/>
      <c r="T3220" s="2"/>
      <c r="U3220" s="24"/>
      <c r="V3220" s="2"/>
      <c r="W3220" s="2"/>
      <c r="X3220" s="2"/>
      <c r="Y3220" s="2"/>
      <c r="Z3220" s="2"/>
    </row>
    <row r="3221">
      <c r="A3221" s="23"/>
      <c r="B3221" s="2"/>
      <c r="C3221" s="2"/>
      <c r="D3221" s="2"/>
      <c r="E3221" s="2"/>
      <c r="F3221" s="2"/>
      <c r="G3221" s="2"/>
      <c r="H3221" s="2"/>
      <c r="I3221" s="2"/>
      <c r="J3221" s="2"/>
      <c r="K3221" s="2"/>
      <c r="L3221" s="24"/>
      <c r="M3221" s="24"/>
      <c r="N3221" s="24"/>
      <c r="O3221" s="24"/>
      <c r="P3221" s="24"/>
      <c r="Q3221" s="2"/>
      <c r="R3221" s="2"/>
      <c r="S3221" s="2"/>
      <c r="T3221" s="2"/>
      <c r="U3221" s="24"/>
      <c r="V3221" s="2"/>
      <c r="W3221" s="2"/>
      <c r="X3221" s="2"/>
      <c r="Y3221" s="2"/>
      <c r="Z3221" s="2"/>
    </row>
    <row r="3222">
      <c r="A3222" s="23"/>
      <c r="B3222" s="2"/>
      <c r="C3222" s="2"/>
      <c r="D3222" s="2"/>
      <c r="E3222" s="2"/>
      <c r="F3222" s="2"/>
      <c r="G3222" s="2"/>
      <c r="H3222" s="2"/>
      <c r="I3222" s="2"/>
      <c r="J3222" s="2"/>
      <c r="K3222" s="2"/>
      <c r="L3222" s="24"/>
      <c r="M3222" s="24"/>
      <c r="N3222" s="24"/>
      <c r="O3222" s="24"/>
      <c r="P3222" s="24"/>
      <c r="Q3222" s="2"/>
      <c r="R3222" s="2"/>
      <c r="S3222" s="2"/>
      <c r="T3222" s="2"/>
      <c r="U3222" s="24"/>
      <c r="V3222" s="2"/>
      <c r="W3222" s="2"/>
      <c r="X3222" s="2"/>
      <c r="Y3222" s="2"/>
      <c r="Z3222" s="2"/>
    </row>
    <row r="3223">
      <c r="A3223" s="23"/>
      <c r="B3223" s="2"/>
      <c r="C3223" s="2"/>
      <c r="D3223" s="2"/>
      <c r="E3223" s="2"/>
      <c r="F3223" s="2"/>
      <c r="G3223" s="2"/>
      <c r="H3223" s="2"/>
      <c r="I3223" s="2"/>
      <c r="J3223" s="2"/>
      <c r="K3223" s="2"/>
      <c r="L3223" s="24"/>
      <c r="M3223" s="24"/>
      <c r="N3223" s="24"/>
      <c r="O3223" s="24"/>
      <c r="P3223" s="24"/>
      <c r="Q3223" s="2"/>
      <c r="R3223" s="2"/>
      <c r="S3223" s="2"/>
      <c r="T3223" s="2"/>
      <c r="U3223" s="24"/>
      <c r="V3223" s="2"/>
      <c r="W3223" s="2"/>
      <c r="X3223" s="2"/>
      <c r="Y3223" s="2"/>
      <c r="Z3223" s="2"/>
    </row>
    <row r="3224">
      <c r="A3224" s="23"/>
      <c r="B3224" s="2"/>
      <c r="C3224" s="2"/>
      <c r="D3224" s="2"/>
      <c r="E3224" s="2"/>
      <c r="F3224" s="2"/>
      <c r="G3224" s="2"/>
      <c r="H3224" s="2"/>
      <c r="I3224" s="2"/>
      <c r="J3224" s="2"/>
      <c r="K3224" s="2"/>
      <c r="L3224" s="24"/>
      <c r="M3224" s="24"/>
      <c r="N3224" s="24"/>
      <c r="O3224" s="24"/>
      <c r="P3224" s="24"/>
      <c r="Q3224" s="2"/>
      <c r="R3224" s="2"/>
      <c r="S3224" s="2"/>
      <c r="T3224" s="2"/>
      <c r="U3224" s="24"/>
      <c r="V3224" s="2"/>
      <c r="W3224" s="2"/>
      <c r="X3224" s="2"/>
      <c r="Y3224" s="2"/>
      <c r="Z3224" s="2"/>
    </row>
    <row r="3225">
      <c r="A3225" s="23"/>
      <c r="B3225" s="2"/>
      <c r="C3225" s="2"/>
      <c r="D3225" s="2"/>
      <c r="E3225" s="2"/>
      <c r="F3225" s="2"/>
      <c r="G3225" s="2"/>
      <c r="H3225" s="2"/>
      <c r="I3225" s="2"/>
      <c r="J3225" s="2"/>
      <c r="K3225" s="2"/>
      <c r="L3225" s="24"/>
      <c r="M3225" s="24"/>
      <c r="N3225" s="24"/>
      <c r="O3225" s="24"/>
      <c r="P3225" s="24"/>
      <c r="Q3225" s="2"/>
      <c r="R3225" s="2"/>
      <c r="S3225" s="2"/>
      <c r="T3225" s="2"/>
      <c r="U3225" s="24"/>
      <c r="V3225" s="2"/>
      <c r="W3225" s="2"/>
      <c r="X3225" s="2"/>
      <c r="Y3225" s="2"/>
      <c r="Z3225" s="2"/>
    </row>
    <row r="3226">
      <c r="A3226" s="23"/>
      <c r="B3226" s="2"/>
      <c r="C3226" s="2"/>
      <c r="D3226" s="2"/>
      <c r="E3226" s="2"/>
      <c r="F3226" s="2"/>
      <c r="G3226" s="2"/>
      <c r="H3226" s="2"/>
      <c r="I3226" s="2"/>
      <c r="J3226" s="2"/>
      <c r="K3226" s="2"/>
      <c r="L3226" s="24"/>
      <c r="M3226" s="24"/>
      <c r="N3226" s="24"/>
      <c r="O3226" s="24"/>
      <c r="P3226" s="24"/>
      <c r="Q3226" s="2"/>
      <c r="R3226" s="2"/>
      <c r="S3226" s="2"/>
      <c r="T3226" s="2"/>
      <c r="U3226" s="24"/>
      <c r="V3226" s="2"/>
      <c r="W3226" s="2"/>
      <c r="X3226" s="2"/>
      <c r="Y3226" s="2"/>
      <c r="Z3226" s="2"/>
    </row>
    <row r="3227">
      <c r="A3227" s="23"/>
      <c r="B3227" s="2"/>
      <c r="C3227" s="2"/>
      <c r="D3227" s="2"/>
      <c r="E3227" s="2"/>
      <c r="F3227" s="2"/>
      <c r="G3227" s="2"/>
      <c r="H3227" s="2"/>
      <c r="I3227" s="2"/>
      <c r="J3227" s="2"/>
      <c r="K3227" s="2"/>
      <c r="L3227" s="24"/>
      <c r="M3227" s="24"/>
      <c r="N3227" s="24"/>
      <c r="O3227" s="24"/>
      <c r="P3227" s="24"/>
      <c r="Q3227" s="2"/>
      <c r="R3227" s="2"/>
      <c r="S3227" s="2"/>
      <c r="T3227" s="2"/>
      <c r="U3227" s="24"/>
      <c r="V3227" s="2"/>
      <c r="W3227" s="2"/>
      <c r="X3227" s="2"/>
      <c r="Y3227" s="2"/>
      <c r="Z3227" s="2"/>
    </row>
    <row r="3228">
      <c r="A3228" s="23"/>
      <c r="B3228" s="2"/>
      <c r="C3228" s="2"/>
      <c r="D3228" s="2"/>
      <c r="E3228" s="2"/>
      <c r="F3228" s="2"/>
      <c r="G3228" s="2"/>
      <c r="H3228" s="2"/>
      <c r="I3228" s="2"/>
      <c r="J3228" s="2"/>
      <c r="K3228" s="2"/>
      <c r="L3228" s="24"/>
      <c r="M3228" s="24"/>
      <c r="N3228" s="24"/>
      <c r="O3228" s="24"/>
      <c r="P3228" s="24"/>
      <c r="Q3228" s="2"/>
      <c r="R3228" s="2"/>
      <c r="S3228" s="2"/>
      <c r="T3228" s="2"/>
      <c r="U3228" s="24"/>
      <c r="V3228" s="2"/>
      <c r="W3228" s="2"/>
      <c r="X3228" s="2"/>
      <c r="Y3228" s="2"/>
      <c r="Z3228" s="2"/>
    </row>
    <row r="3229">
      <c r="A3229" s="23"/>
      <c r="B3229" s="2"/>
      <c r="C3229" s="2"/>
      <c r="D3229" s="2"/>
      <c r="E3229" s="2"/>
      <c r="F3229" s="2"/>
      <c r="G3229" s="2"/>
      <c r="H3229" s="2"/>
      <c r="I3229" s="2"/>
      <c r="J3229" s="2"/>
      <c r="K3229" s="2"/>
      <c r="L3229" s="24"/>
      <c r="M3229" s="24"/>
      <c r="N3229" s="24"/>
      <c r="O3229" s="24"/>
      <c r="P3229" s="24"/>
      <c r="Q3229" s="2"/>
      <c r="R3229" s="2"/>
      <c r="S3229" s="2"/>
      <c r="T3229" s="2"/>
      <c r="U3229" s="24"/>
      <c r="V3229" s="2"/>
      <c r="W3229" s="2"/>
      <c r="X3229" s="2"/>
      <c r="Y3229" s="2"/>
      <c r="Z3229" s="2"/>
    </row>
    <row r="3230">
      <c r="A3230" s="23"/>
      <c r="B3230" s="2"/>
      <c r="C3230" s="2"/>
      <c r="D3230" s="2"/>
      <c r="E3230" s="2"/>
      <c r="F3230" s="2"/>
      <c r="G3230" s="2"/>
      <c r="H3230" s="2"/>
      <c r="I3230" s="2"/>
      <c r="J3230" s="2"/>
      <c r="K3230" s="2"/>
      <c r="L3230" s="24"/>
      <c r="M3230" s="24"/>
      <c r="N3230" s="24"/>
      <c r="O3230" s="24"/>
      <c r="P3230" s="24"/>
      <c r="Q3230" s="2"/>
      <c r="R3230" s="2"/>
      <c r="S3230" s="2"/>
      <c r="T3230" s="2"/>
      <c r="U3230" s="24"/>
      <c r="V3230" s="2"/>
      <c r="W3230" s="2"/>
      <c r="X3230" s="2"/>
      <c r="Y3230" s="2"/>
      <c r="Z3230" s="2"/>
    </row>
    <row r="3231">
      <c r="A3231" s="23"/>
      <c r="B3231" s="2"/>
      <c r="C3231" s="2"/>
      <c r="D3231" s="2"/>
      <c r="E3231" s="2"/>
      <c r="F3231" s="2"/>
      <c r="G3231" s="2"/>
      <c r="H3231" s="2"/>
      <c r="I3231" s="2"/>
      <c r="J3231" s="2"/>
      <c r="K3231" s="2"/>
      <c r="L3231" s="24"/>
      <c r="M3231" s="24"/>
      <c r="N3231" s="24"/>
      <c r="O3231" s="24"/>
      <c r="P3231" s="24"/>
      <c r="Q3231" s="2"/>
      <c r="R3231" s="2"/>
      <c r="S3231" s="2"/>
      <c r="T3231" s="2"/>
      <c r="U3231" s="24"/>
      <c r="V3231" s="2"/>
      <c r="W3231" s="2"/>
      <c r="X3231" s="2"/>
      <c r="Y3231" s="2"/>
      <c r="Z3231" s="2"/>
    </row>
    <row r="3232">
      <c r="A3232" s="23"/>
      <c r="B3232" s="2"/>
      <c r="C3232" s="2"/>
      <c r="D3232" s="2"/>
      <c r="E3232" s="2"/>
      <c r="F3232" s="2"/>
      <c r="G3232" s="2"/>
      <c r="H3232" s="2"/>
      <c r="I3232" s="2"/>
      <c r="J3232" s="2"/>
      <c r="K3232" s="2"/>
      <c r="L3232" s="24"/>
      <c r="M3232" s="24"/>
      <c r="N3232" s="24"/>
      <c r="O3232" s="24"/>
      <c r="P3232" s="24"/>
      <c r="Q3232" s="2"/>
      <c r="R3232" s="2"/>
      <c r="S3232" s="2"/>
      <c r="T3232" s="2"/>
      <c r="U3232" s="24"/>
      <c r="V3232" s="2"/>
      <c r="W3232" s="2"/>
      <c r="X3232" s="2"/>
      <c r="Y3232" s="2"/>
      <c r="Z3232" s="2"/>
    </row>
    <row r="3233">
      <c r="A3233" s="23"/>
      <c r="B3233" s="2"/>
      <c r="C3233" s="2"/>
      <c r="D3233" s="2"/>
      <c r="E3233" s="2"/>
      <c r="F3233" s="2"/>
      <c r="G3233" s="2"/>
      <c r="H3233" s="2"/>
      <c r="I3233" s="2"/>
      <c r="J3233" s="2"/>
      <c r="K3233" s="2"/>
      <c r="L3233" s="24"/>
      <c r="M3233" s="24"/>
      <c r="N3233" s="24"/>
      <c r="O3233" s="24"/>
      <c r="P3233" s="24"/>
      <c r="Q3233" s="2"/>
      <c r="R3233" s="2"/>
      <c r="S3233" s="2"/>
      <c r="T3233" s="2"/>
      <c r="U3233" s="24"/>
      <c r="V3233" s="2"/>
      <c r="W3233" s="2"/>
      <c r="X3233" s="2"/>
      <c r="Y3233" s="2"/>
      <c r="Z3233" s="2"/>
    </row>
    <row r="3234">
      <c r="A3234" s="23"/>
      <c r="B3234" s="2"/>
      <c r="C3234" s="2"/>
      <c r="D3234" s="2"/>
      <c r="E3234" s="2"/>
      <c r="F3234" s="2"/>
      <c r="G3234" s="2"/>
      <c r="H3234" s="2"/>
      <c r="I3234" s="2"/>
      <c r="J3234" s="2"/>
      <c r="K3234" s="2"/>
      <c r="L3234" s="24"/>
      <c r="M3234" s="24"/>
      <c r="N3234" s="24"/>
      <c r="O3234" s="24"/>
      <c r="P3234" s="24"/>
      <c r="Q3234" s="2"/>
      <c r="R3234" s="2"/>
      <c r="S3234" s="2"/>
      <c r="T3234" s="2"/>
      <c r="U3234" s="24"/>
      <c r="V3234" s="2"/>
      <c r="W3234" s="2"/>
      <c r="X3234" s="2"/>
      <c r="Y3234" s="2"/>
      <c r="Z3234" s="2"/>
    </row>
    <row r="3235">
      <c r="A3235" s="23"/>
      <c r="B3235" s="2"/>
      <c r="C3235" s="2"/>
      <c r="D3235" s="2"/>
      <c r="E3235" s="2"/>
      <c r="F3235" s="2"/>
      <c r="G3235" s="2"/>
      <c r="H3235" s="2"/>
      <c r="I3235" s="2"/>
      <c r="J3235" s="2"/>
      <c r="K3235" s="2"/>
      <c r="L3235" s="24"/>
      <c r="M3235" s="24"/>
      <c r="N3235" s="24"/>
      <c r="O3235" s="24"/>
      <c r="P3235" s="24"/>
      <c r="Q3235" s="2"/>
      <c r="R3235" s="2"/>
      <c r="S3235" s="2"/>
      <c r="T3235" s="2"/>
      <c r="U3235" s="24"/>
      <c r="V3235" s="2"/>
      <c r="W3235" s="2"/>
      <c r="X3235" s="2"/>
      <c r="Y3235" s="2"/>
      <c r="Z3235" s="2"/>
    </row>
    <row r="3236">
      <c r="A3236" s="23"/>
      <c r="B3236" s="2"/>
      <c r="C3236" s="2"/>
      <c r="D3236" s="2"/>
      <c r="E3236" s="2"/>
      <c r="F3236" s="2"/>
      <c r="G3236" s="2"/>
      <c r="H3236" s="2"/>
      <c r="I3236" s="2"/>
      <c r="J3236" s="2"/>
      <c r="K3236" s="2"/>
      <c r="L3236" s="24"/>
      <c r="M3236" s="24"/>
      <c r="N3236" s="24"/>
      <c r="O3236" s="24"/>
      <c r="P3236" s="24"/>
      <c r="Q3236" s="2"/>
      <c r="R3236" s="2"/>
      <c r="S3236" s="2"/>
      <c r="T3236" s="2"/>
      <c r="U3236" s="24"/>
      <c r="V3236" s="2"/>
      <c r="W3236" s="2"/>
      <c r="X3236" s="2"/>
      <c r="Y3236" s="2"/>
      <c r="Z3236" s="2"/>
    </row>
    <row r="3237">
      <c r="A3237" s="23"/>
      <c r="B3237" s="2"/>
      <c r="C3237" s="2"/>
      <c r="D3237" s="2"/>
      <c r="E3237" s="2"/>
      <c r="F3237" s="2"/>
      <c r="G3237" s="2"/>
      <c r="H3237" s="2"/>
      <c r="I3237" s="2"/>
      <c r="J3237" s="2"/>
      <c r="K3237" s="2"/>
      <c r="L3237" s="24"/>
      <c r="M3237" s="24"/>
      <c r="N3237" s="24"/>
      <c r="O3237" s="24"/>
      <c r="P3237" s="24"/>
      <c r="Q3237" s="2"/>
      <c r="R3237" s="2"/>
      <c r="S3237" s="2"/>
      <c r="T3237" s="2"/>
      <c r="U3237" s="24"/>
      <c r="V3237" s="2"/>
      <c r="W3237" s="2"/>
      <c r="X3237" s="2"/>
      <c r="Y3237" s="2"/>
      <c r="Z3237" s="2"/>
    </row>
    <row r="3238">
      <c r="A3238" s="23"/>
      <c r="B3238" s="2"/>
      <c r="C3238" s="2"/>
      <c r="D3238" s="2"/>
      <c r="E3238" s="2"/>
      <c r="F3238" s="2"/>
      <c r="G3238" s="2"/>
      <c r="H3238" s="2"/>
      <c r="I3238" s="2"/>
      <c r="J3238" s="2"/>
      <c r="K3238" s="2"/>
      <c r="L3238" s="24"/>
      <c r="M3238" s="24"/>
      <c r="N3238" s="24"/>
      <c r="O3238" s="24"/>
      <c r="P3238" s="24"/>
      <c r="Q3238" s="2"/>
      <c r="R3238" s="2"/>
      <c r="S3238" s="2"/>
      <c r="T3238" s="2"/>
      <c r="U3238" s="24"/>
      <c r="V3238" s="2"/>
      <c r="W3238" s="2"/>
      <c r="X3238" s="2"/>
      <c r="Y3238" s="2"/>
      <c r="Z3238" s="2"/>
    </row>
    <row r="3239">
      <c r="A3239" s="23"/>
      <c r="B3239" s="2"/>
      <c r="C3239" s="2"/>
      <c r="D3239" s="2"/>
      <c r="E3239" s="2"/>
      <c r="F3239" s="2"/>
      <c r="G3239" s="2"/>
      <c r="H3239" s="2"/>
      <c r="I3239" s="2"/>
      <c r="J3239" s="2"/>
      <c r="K3239" s="2"/>
      <c r="L3239" s="24"/>
      <c r="M3239" s="24"/>
      <c r="N3239" s="24"/>
      <c r="O3239" s="24"/>
      <c r="P3239" s="24"/>
      <c r="Q3239" s="2"/>
      <c r="R3239" s="2"/>
      <c r="S3239" s="2"/>
      <c r="T3239" s="2"/>
      <c r="U3239" s="24"/>
      <c r="V3239" s="2"/>
      <c r="W3239" s="2"/>
      <c r="X3239" s="2"/>
      <c r="Y3239" s="2"/>
      <c r="Z3239" s="2"/>
    </row>
    <row r="3240">
      <c r="A3240" s="23"/>
      <c r="B3240" s="2"/>
      <c r="C3240" s="2"/>
      <c r="D3240" s="2"/>
      <c r="E3240" s="2"/>
      <c r="F3240" s="2"/>
      <c r="G3240" s="2"/>
      <c r="H3240" s="2"/>
      <c r="I3240" s="2"/>
      <c r="J3240" s="2"/>
      <c r="K3240" s="2"/>
      <c r="L3240" s="24"/>
      <c r="M3240" s="24"/>
      <c r="N3240" s="24"/>
      <c r="O3240" s="24"/>
      <c r="P3240" s="24"/>
      <c r="Q3240" s="2"/>
      <c r="R3240" s="2"/>
      <c r="S3240" s="2"/>
      <c r="T3240" s="2"/>
      <c r="U3240" s="24"/>
      <c r="V3240" s="2"/>
      <c r="W3240" s="2"/>
      <c r="X3240" s="2"/>
      <c r="Y3240" s="2"/>
      <c r="Z3240" s="2"/>
    </row>
    <row r="3241">
      <c r="A3241" s="23"/>
      <c r="B3241" s="2"/>
      <c r="C3241" s="2"/>
      <c r="D3241" s="2"/>
      <c r="E3241" s="2"/>
      <c r="F3241" s="2"/>
      <c r="G3241" s="2"/>
      <c r="H3241" s="2"/>
      <c r="I3241" s="2"/>
      <c r="J3241" s="2"/>
      <c r="K3241" s="2"/>
      <c r="L3241" s="24"/>
      <c r="M3241" s="24"/>
      <c r="N3241" s="24"/>
      <c r="O3241" s="24"/>
      <c r="P3241" s="24"/>
      <c r="Q3241" s="2"/>
      <c r="R3241" s="2"/>
      <c r="S3241" s="2"/>
      <c r="T3241" s="2"/>
      <c r="U3241" s="24"/>
      <c r="V3241" s="2"/>
      <c r="W3241" s="2"/>
      <c r="X3241" s="2"/>
      <c r="Y3241" s="2"/>
      <c r="Z3241" s="2"/>
    </row>
    <row r="3242">
      <c r="A3242" s="23"/>
      <c r="B3242" s="2"/>
      <c r="C3242" s="2"/>
      <c r="D3242" s="2"/>
      <c r="E3242" s="2"/>
      <c r="F3242" s="2"/>
      <c r="G3242" s="2"/>
      <c r="H3242" s="2"/>
      <c r="I3242" s="2"/>
      <c r="J3242" s="2"/>
      <c r="K3242" s="2"/>
      <c r="L3242" s="24"/>
      <c r="M3242" s="24"/>
      <c r="N3242" s="24"/>
      <c r="O3242" s="24"/>
      <c r="P3242" s="24"/>
      <c r="Q3242" s="2"/>
      <c r="R3242" s="2"/>
      <c r="S3242" s="2"/>
      <c r="T3242" s="2"/>
      <c r="U3242" s="24"/>
      <c r="V3242" s="2"/>
      <c r="W3242" s="2"/>
      <c r="X3242" s="2"/>
      <c r="Y3242" s="2"/>
      <c r="Z3242" s="2"/>
    </row>
    <row r="3243">
      <c r="A3243" s="23"/>
      <c r="B3243" s="2"/>
      <c r="C3243" s="2"/>
      <c r="D3243" s="2"/>
      <c r="E3243" s="2"/>
      <c r="F3243" s="2"/>
      <c r="G3243" s="2"/>
      <c r="H3243" s="2"/>
      <c r="I3243" s="2"/>
      <c r="J3243" s="2"/>
      <c r="K3243" s="2"/>
      <c r="L3243" s="24"/>
      <c r="M3243" s="24"/>
      <c r="N3243" s="24"/>
      <c r="O3243" s="24"/>
      <c r="P3243" s="24"/>
      <c r="Q3243" s="2"/>
      <c r="R3243" s="2"/>
      <c r="S3243" s="2"/>
      <c r="T3243" s="2"/>
      <c r="U3243" s="24"/>
      <c r="V3243" s="2"/>
      <c r="W3243" s="2"/>
      <c r="X3243" s="2"/>
      <c r="Y3243" s="2"/>
      <c r="Z3243" s="2"/>
    </row>
    <row r="3244">
      <c r="A3244" s="23"/>
      <c r="B3244" s="2"/>
      <c r="C3244" s="2"/>
      <c r="D3244" s="2"/>
      <c r="E3244" s="2"/>
      <c r="F3244" s="2"/>
      <c r="G3244" s="2"/>
      <c r="H3244" s="2"/>
      <c r="I3244" s="2"/>
      <c r="J3244" s="2"/>
      <c r="K3244" s="2"/>
      <c r="L3244" s="24"/>
      <c r="M3244" s="24"/>
      <c r="N3244" s="24"/>
      <c r="O3244" s="24"/>
      <c r="P3244" s="24"/>
      <c r="Q3244" s="2"/>
      <c r="R3244" s="2"/>
      <c r="S3244" s="2"/>
      <c r="T3244" s="2"/>
      <c r="U3244" s="24"/>
      <c r="V3244" s="2"/>
      <c r="W3244" s="2"/>
      <c r="X3244" s="2"/>
      <c r="Y3244" s="2"/>
      <c r="Z3244" s="2"/>
    </row>
    <row r="3245">
      <c r="A3245" s="23"/>
      <c r="B3245" s="2"/>
      <c r="C3245" s="2"/>
      <c r="D3245" s="2"/>
      <c r="E3245" s="2"/>
      <c r="F3245" s="2"/>
      <c r="G3245" s="2"/>
      <c r="H3245" s="2"/>
      <c r="I3245" s="2"/>
      <c r="J3245" s="2"/>
      <c r="K3245" s="2"/>
      <c r="L3245" s="24"/>
      <c r="M3245" s="24"/>
      <c r="N3245" s="24"/>
      <c r="O3245" s="24"/>
      <c r="P3245" s="24"/>
      <c r="Q3245" s="2"/>
      <c r="R3245" s="2"/>
      <c r="S3245" s="2"/>
      <c r="T3245" s="2"/>
      <c r="U3245" s="24"/>
      <c r="V3245" s="2"/>
      <c r="W3245" s="2"/>
      <c r="X3245" s="2"/>
      <c r="Y3245" s="2"/>
      <c r="Z3245" s="2"/>
    </row>
    <row r="3246">
      <c r="A3246" s="23"/>
      <c r="B3246" s="2"/>
      <c r="C3246" s="2"/>
      <c r="D3246" s="2"/>
      <c r="E3246" s="2"/>
      <c r="F3246" s="2"/>
      <c r="G3246" s="2"/>
      <c r="H3246" s="2"/>
      <c r="I3246" s="2"/>
      <c r="J3246" s="2"/>
      <c r="K3246" s="2"/>
      <c r="L3246" s="24"/>
      <c r="M3246" s="24"/>
      <c r="N3246" s="24"/>
      <c r="O3246" s="24"/>
      <c r="P3246" s="24"/>
      <c r="Q3246" s="2"/>
      <c r="R3246" s="2"/>
      <c r="S3246" s="2"/>
      <c r="T3246" s="2"/>
      <c r="U3246" s="24"/>
      <c r="V3246" s="2"/>
      <c r="W3246" s="2"/>
      <c r="X3246" s="2"/>
      <c r="Y3246" s="2"/>
      <c r="Z3246" s="2"/>
    </row>
    <row r="3247">
      <c r="A3247" s="23"/>
      <c r="B3247" s="2"/>
      <c r="C3247" s="2"/>
      <c r="D3247" s="2"/>
      <c r="E3247" s="2"/>
      <c r="F3247" s="2"/>
      <c r="G3247" s="2"/>
      <c r="H3247" s="2"/>
      <c r="I3247" s="2"/>
      <c r="J3247" s="2"/>
      <c r="K3247" s="2"/>
      <c r="L3247" s="24"/>
      <c r="M3247" s="24"/>
      <c r="N3247" s="24"/>
      <c r="O3247" s="24"/>
      <c r="P3247" s="24"/>
      <c r="Q3247" s="2"/>
      <c r="R3247" s="2"/>
      <c r="S3247" s="2"/>
      <c r="T3247" s="2"/>
      <c r="U3247" s="24"/>
      <c r="V3247" s="2"/>
      <c r="W3247" s="2"/>
      <c r="X3247" s="2"/>
      <c r="Y3247" s="2"/>
      <c r="Z3247" s="2"/>
    </row>
    <row r="3248">
      <c r="A3248" s="23"/>
      <c r="B3248" s="2"/>
      <c r="C3248" s="2"/>
      <c r="D3248" s="2"/>
      <c r="E3248" s="2"/>
      <c r="F3248" s="2"/>
      <c r="G3248" s="2"/>
      <c r="H3248" s="2"/>
      <c r="I3248" s="2"/>
      <c r="J3248" s="2"/>
      <c r="K3248" s="2"/>
      <c r="L3248" s="24"/>
      <c r="M3248" s="24"/>
      <c r="N3248" s="24"/>
      <c r="O3248" s="24"/>
      <c r="P3248" s="24"/>
      <c r="Q3248" s="2"/>
      <c r="R3248" s="2"/>
      <c r="S3248" s="2"/>
      <c r="T3248" s="2"/>
      <c r="U3248" s="24"/>
      <c r="V3248" s="2"/>
      <c r="W3248" s="2"/>
      <c r="X3248" s="2"/>
      <c r="Y3248" s="2"/>
      <c r="Z3248" s="2"/>
    </row>
    <row r="3249">
      <c r="A3249" s="23"/>
      <c r="B3249" s="2"/>
      <c r="C3249" s="2"/>
      <c r="D3249" s="2"/>
      <c r="E3249" s="2"/>
      <c r="F3249" s="2"/>
      <c r="G3249" s="2"/>
      <c r="H3249" s="2"/>
      <c r="I3249" s="2"/>
      <c r="J3249" s="2"/>
      <c r="K3249" s="2"/>
      <c r="L3249" s="24"/>
      <c r="M3249" s="24"/>
      <c r="N3249" s="24"/>
      <c r="O3249" s="24"/>
      <c r="P3249" s="24"/>
      <c r="Q3249" s="2"/>
      <c r="R3249" s="2"/>
      <c r="S3249" s="2"/>
      <c r="T3249" s="2"/>
      <c r="U3249" s="24"/>
      <c r="V3249" s="2"/>
      <c r="W3249" s="2"/>
      <c r="X3249" s="2"/>
      <c r="Y3249" s="2"/>
      <c r="Z3249" s="2"/>
    </row>
    <row r="3250">
      <c r="A3250" s="23"/>
      <c r="B3250" s="2"/>
      <c r="C3250" s="2"/>
      <c r="D3250" s="2"/>
      <c r="E3250" s="2"/>
      <c r="F3250" s="2"/>
      <c r="G3250" s="2"/>
      <c r="H3250" s="2"/>
      <c r="I3250" s="2"/>
      <c r="J3250" s="2"/>
      <c r="K3250" s="2"/>
      <c r="L3250" s="24"/>
      <c r="M3250" s="24"/>
      <c r="N3250" s="24"/>
      <c r="O3250" s="24"/>
      <c r="P3250" s="24"/>
      <c r="Q3250" s="2"/>
      <c r="R3250" s="2"/>
      <c r="S3250" s="2"/>
      <c r="T3250" s="2"/>
      <c r="U3250" s="24"/>
      <c r="V3250" s="2"/>
      <c r="W3250" s="2"/>
      <c r="X3250" s="2"/>
      <c r="Y3250" s="2"/>
      <c r="Z3250" s="2"/>
    </row>
    <row r="3251">
      <c r="A3251" s="23"/>
      <c r="B3251" s="2"/>
      <c r="C3251" s="2"/>
      <c r="D3251" s="2"/>
      <c r="E3251" s="2"/>
      <c r="F3251" s="2"/>
      <c r="G3251" s="2"/>
      <c r="H3251" s="2"/>
      <c r="I3251" s="2"/>
      <c r="J3251" s="2"/>
      <c r="K3251" s="2"/>
      <c r="L3251" s="24"/>
      <c r="M3251" s="24"/>
      <c r="N3251" s="24"/>
      <c r="O3251" s="24"/>
      <c r="P3251" s="24"/>
      <c r="Q3251" s="2"/>
      <c r="R3251" s="2"/>
      <c r="S3251" s="2"/>
      <c r="T3251" s="2"/>
      <c r="U3251" s="24"/>
      <c r="V3251" s="2"/>
      <c r="W3251" s="2"/>
      <c r="X3251" s="2"/>
      <c r="Y3251" s="2"/>
      <c r="Z3251" s="2"/>
    </row>
    <row r="3252">
      <c r="A3252" s="23"/>
      <c r="B3252" s="2"/>
      <c r="C3252" s="2"/>
      <c r="D3252" s="2"/>
      <c r="E3252" s="2"/>
      <c r="F3252" s="2"/>
      <c r="G3252" s="2"/>
      <c r="H3252" s="2"/>
      <c r="I3252" s="2"/>
      <c r="J3252" s="2"/>
      <c r="K3252" s="2"/>
      <c r="L3252" s="24"/>
      <c r="M3252" s="24"/>
      <c r="N3252" s="24"/>
      <c r="O3252" s="24"/>
      <c r="P3252" s="24"/>
      <c r="Q3252" s="2"/>
      <c r="R3252" s="2"/>
      <c r="S3252" s="2"/>
      <c r="T3252" s="2"/>
      <c r="U3252" s="24"/>
      <c r="V3252" s="2"/>
      <c r="W3252" s="2"/>
      <c r="X3252" s="2"/>
      <c r="Y3252" s="2"/>
      <c r="Z3252" s="2"/>
    </row>
    <row r="3253">
      <c r="A3253" s="23"/>
      <c r="B3253" s="2"/>
      <c r="C3253" s="2"/>
      <c r="D3253" s="2"/>
      <c r="E3253" s="2"/>
      <c r="F3253" s="2"/>
      <c r="G3253" s="2"/>
      <c r="H3253" s="2"/>
      <c r="I3253" s="2"/>
      <c r="J3253" s="2"/>
      <c r="K3253" s="2"/>
      <c r="L3253" s="24"/>
      <c r="M3253" s="24"/>
      <c r="N3253" s="24"/>
      <c r="O3253" s="24"/>
      <c r="P3253" s="24"/>
      <c r="Q3253" s="2"/>
      <c r="R3253" s="2"/>
      <c r="S3253" s="2"/>
      <c r="T3253" s="2"/>
      <c r="U3253" s="24"/>
      <c r="V3253" s="2"/>
      <c r="W3253" s="2"/>
      <c r="X3253" s="2"/>
      <c r="Y3253" s="2"/>
      <c r="Z3253" s="2"/>
    </row>
    <row r="3254">
      <c r="A3254" s="23"/>
      <c r="B3254" s="2"/>
      <c r="C3254" s="2"/>
      <c r="D3254" s="2"/>
      <c r="E3254" s="2"/>
      <c r="F3254" s="2"/>
      <c r="G3254" s="2"/>
      <c r="H3254" s="2"/>
      <c r="I3254" s="2"/>
      <c r="J3254" s="2"/>
      <c r="K3254" s="2"/>
      <c r="L3254" s="24"/>
      <c r="M3254" s="24"/>
      <c r="N3254" s="24"/>
      <c r="O3254" s="24"/>
      <c r="P3254" s="24"/>
      <c r="Q3254" s="2"/>
      <c r="R3254" s="2"/>
      <c r="S3254" s="2"/>
      <c r="T3254" s="2"/>
      <c r="U3254" s="24"/>
      <c r="V3254" s="2"/>
      <c r="W3254" s="2"/>
      <c r="X3254" s="2"/>
      <c r="Y3254" s="2"/>
      <c r="Z3254" s="2"/>
    </row>
    <row r="3255">
      <c r="A3255" s="23"/>
      <c r="B3255" s="2"/>
      <c r="C3255" s="2"/>
      <c r="D3255" s="2"/>
      <c r="E3255" s="2"/>
      <c r="F3255" s="2"/>
      <c r="G3255" s="2"/>
      <c r="H3255" s="2"/>
      <c r="I3255" s="2"/>
      <c r="J3255" s="2"/>
      <c r="K3255" s="2"/>
      <c r="L3255" s="24"/>
      <c r="M3255" s="24"/>
      <c r="N3255" s="24"/>
      <c r="O3255" s="24"/>
      <c r="P3255" s="24"/>
      <c r="Q3255" s="2"/>
      <c r="R3255" s="2"/>
      <c r="S3255" s="2"/>
      <c r="T3255" s="2"/>
      <c r="U3255" s="24"/>
      <c r="V3255" s="2"/>
      <c r="W3255" s="2"/>
      <c r="X3255" s="2"/>
      <c r="Y3255" s="2"/>
      <c r="Z3255" s="2"/>
    </row>
    <row r="3256">
      <c r="A3256" s="23"/>
      <c r="B3256" s="2"/>
      <c r="C3256" s="2"/>
      <c r="D3256" s="2"/>
      <c r="E3256" s="2"/>
      <c r="F3256" s="2"/>
      <c r="G3256" s="2"/>
      <c r="H3256" s="2"/>
      <c r="I3256" s="2"/>
      <c r="J3256" s="2"/>
      <c r="K3256" s="2"/>
      <c r="L3256" s="24"/>
      <c r="M3256" s="24"/>
      <c r="N3256" s="24"/>
      <c r="O3256" s="24"/>
      <c r="P3256" s="24"/>
      <c r="Q3256" s="2"/>
      <c r="R3256" s="2"/>
      <c r="S3256" s="2"/>
      <c r="T3256" s="2"/>
      <c r="U3256" s="24"/>
      <c r="V3256" s="2"/>
      <c r="W3256" s="2"/>
      <c r="X3256" s="2"/>
      <c r="Y3256" s="2"/>
      <c r="Z3256" s="2"/>
    </row>
    <row r="3257">
      <c r="A3257" s="23"/>
      <c r="B3257" s="2"/>
      <c r="C3257" s="2"/>
      <c r="D3257" s="2"/>
      <c r="E3257" s="2"/>
      <c r="F3257" s="2"/>
      <c r="G3257" s="2"/>
      <c r="H3257" s="2"/>
      <c r="I3257" s="2"/>
      <c r="J3257" s="2"/>
      <c r="K3257" s="2"/>
      <c r="L3257" s="24"/>
      <c r="M3257" s="24"/>
      <c r="N3257" s="24"/>
      <c r="O3257" s="24"/>
      <c r="P3257" s="24"/>
      <c r="Q3257" s="2"/>
      <c r="R3257" s="2"/>
      <c r="S3257" s="2"/>
      <c r="T3257" s="2"/>
      <c r="U3257" s="24"/>
      <c r="V3257" s="2"/>
      <c r="W3257" s="2"/>
      <c r="X3257" s="2"/>
      <c r="Y3257" s="2"/>
      <c r="Z3257" s="2"/>
    </row>
    <row r="3258">
      <c r="A3258" s="23"/>
      <c r="B3258" s="2"/>
      <c r="C3258" s="2"/>
      <c r="D3258" s="2"/>
      <c r="E3258" s="2"/>
      <c r="F3258" s="2"/>
      <c r="G3258" s="2"/>
      <c r="H3258" s="2"/>
      <c r="I3258" s="2"/>
      <c r="J3258" s="2"/>
      <c r="K3258" s="2"/>
      <c r="L3258" s="24"/>
      <c r="M3258" s="24"/>
      <c r="N3258" s="24"/>
      <c r="O3258" s="24"/>
      <c r="P3258" s="24"/>
      <c r="Q3258" s="2"/>
      <c r="R3258" s="2"/>
      <c r="S3258" s="2"/>
      <c r="T3258" s="2"/>
      <c r="U3258" s="24"/>
      <c r="V3258" s="2"/>
      <c r="W3258" s="2"/>
      <c r="X3258" s="2"/>
      <c r="Y3258" s="2"/>
      <c r="Z3258" s="2"/>
    </row>
    <row r="3259">
      <c r="A3259" s="23"/>
      <c r="B3259" s="2"/>
      <c r="C3259" s="2"/>
      <c r="D3259" s="2"/>
      <c r="E3259" s="2"/>
      <c r="F3259" s="2"/>
      <c r="G3259" s="2"/>
      <c r="H3259" s="2"/>
      <c r="I3259" s="2"/>
      <c r="J3259" s="2"/>
      <c r="K3259" s="2"/>
      <c r="L3259" s="24"/>
      <c r="M3259" s="24"/>
      <c r="N3259" s="24"/>
      <c r="O3259" s="24"/>
      <c r="P3259" s="24"/>
      <c r="Q3259" s="2"/>
      <c r="R3259" s="2"/>
      <c r="S3259" s="2"/>
      <c r="T3259" s="2"/>
      <c r="U3259" s="24"/>
      <c r="V3259" s="2"/>
      <c r="W3259" s="2"/>
      <c r="X3259" s="2"/>
      <c r="Y3259" s="2"/>
      <c r="Z3259" s="2"/>
    </row>
    <row r="3260">
      <c r="A3260" s="23"/>
      <c r="B3260" s="2"/>
      <c r="C3260" s="2"/>
      <c r="D3260" s="2"/>
      <c r="E3260" s="2"/>
      <c r="F3260" s="2"/>
      <c r="G3260" s="2"/>
      <c r="H3260" s="2"/>
      <c r="I3260" s="2"/>
      <c r="J3260" s="2"/>
      <c r="K3260" s="2"/>
      <c r="L3260" s="24"/>
      <c r="M3260" s="24"/>
      <c r="N3260" s="24"/>
      <c r="O3260" s="24"/>
      <c r="P3260" s="24"/>
      <c r="Q3260" s="2"/>
      <c r="R3260" s="2"/>
      <c r="S3260" s="2"/>
      <c r="T3260" s="2"/>
      <c r="U3260" s="24"/>
      <c r="V3260" s="2"/>
      <c r="W3260" s="2"/>
      <c r="X3260" s="2"/>
      <c r="Y3260" s="2"/>
      <c r="Z3260" s="2"/>
    </row>
    <row r="3261">
      <c r="A3261" s="23"/>
      <c r="B3261" s="2"/>
      <c r="C3261" s="2"/>
      <c r="D3261" s="2"/>
      <c r="E3261" s="2"/>
      <c r="F3261" s="2"/>
      <c r="G3261" s="2"/>
      <c r="H3261" s="2"/>
      <c r="I3261" s="2"/>
      <c r="J3261" s="2"/>
      <c r="K3261" s="2"/>
      <c r="L3261" s="24"/>
      <c r="M3261" s="24"/>
      <c r="N3261" s="24"/>
      <c r="O3261" s="24"/>
      <c r="P3261" s="24"/>
      <c r="Q3261" s="2"/>
      <c r="R3261" s="2"/>
      <c r="S3261" s="2"/>
      <c r="T3261" s="2"/>
      <c r="U3261" s="24"/>
      <c r="V3261" s="2"/>
      <c r="W3261" s="2"/>
      <c r="X3261" s="2"/>
      <c r="Y3261" s="2"/>
      <c r="Z3261" s="2"/>
    </row>
    <row r="3262">
      <c r="A3262" s="23"/>
      <c r="B3262" s="2"/>
      <c r="C3262" s="2"/>
      <c r="D3262" s="2"/>
      <c r="E3262" s="2"/>
      <c r="F3262" s="2"/>
      <c r="G3262" s="2"/>
      <c r="H3262" s="2"/>
      <c r="I3262" s="2"/>
      <c r="J3262" s="2"/>
      <c r="K3262" s="2"/>
      <c r="L3262" s="24"/>
      <c r="M3262" s="24"/>
      <c r="N3262" s="24"/>
      <c r="O3262" s="24"/>
      <c r="P3262" s="24"/>
      <c r="Q3262" s="2"/>
      <c r="R3262" s="2"/>
      <c r="S3262" s="2"/>
      <c r="T3262" s="2"/>
      <c r="U3262" s="24"/>
      <c r="V3262" s="2"/>
      <c r="W3262" s="2"/>
      <c r="X3262" s="2"/>
      <c r="Y3262" s="2"/>
      <c r="Z3262" s="2"/>
    </row>
    <row r="3263">
      <c r="A3263" s="23"/>
      <c r="B3263" s="2"/>
      <c r="C3263" s="2"/>
      <c r="D3263" s="2"/>
      <c r="E3263" s="2"/>
      <c r="F3263" s="2"/>
      <c r="G3263" s="2"/>
      <c r="H3263" s="2"/>
      <c r="I3263" s="2"/>
      <c r="J3263" s="2"/>
      <c r="K3263" s="2"/>
      <c r="L3263" s="24"/>
      <c r="M3263" s="24"/>
      <c r="N3263" s="24"/>
      <c r="O3263" s="24"/>
      <c r="P3263" s="24"/>
      <c r="Q3263" s="2"/>
      <c r="R3263" s="2"/>
      <c r="S3263" s="2"/>
      <c r="T3263" s="2"/>
      <c r="U3263" s="24"/>
      <c r="V3263" s="2"/>
      <c r="W3263" s="2"/>
      <c r="X3263" s="2"/>
      <c r="Y3263" s="2"/>
      <c r="Z3263" s="2"/>
    </row>
    <row r="3264">
      <c r="A3264" s="23"/>
      <c r="B3264" s="2"/>
      <c r="C3264" s="2"/>
      <c r="D3264" s="2"/>
      <c r="E3264" s="2"/>
      <c r="F3264" s="2"/>
      <c r="G3264" s="2"/>
      <c r="H3264" s="2"/>
      <c r="I3264" s="2"/>
      <c r="J3264" s="2"/>
      <c r="K3264" s="2"/>
      <c r="L3264" s="24"/>
      <c r="M3264" s="24"/>
      <c r="N3264" s="24"/>
      <c r="O3264" s="24"/>
      <c r="P3264" s="24"/>
      <c r="Q3264" s="2"/>
      <c r="R3264" s="2"/>
      <c r="S3264" s="2"/>
      <c r="T3264" s="2"/>
      <c r="U3264" s="24"/>
      <c r="V3264" s="2"/>
      <c r="W3264" s="2"/>
      <c r="X3264" s="2"/>
      <c r="Y3264" s="2"/>
      <c r="Z3264" s="2"/>
    </row>
    <row r="3265">
      <c r="A3265" s="23"/>
      <c r="B3265" s="2"/>
      <c r="C3265" s="2"/>
      <c r="D3265" s="2"/>
      <c r="E3265" s="2"/>
      <c r="F3265" s="2"/>
      <c r="G3265" s="2"/>
      <c r="H3265" s="2"/>
      <c r="I3265" s="2"/>
      <c r="J3265" s="2"/>
      <c r="K3265" s="2"/>
      <c r="L3265" s="24"/>
      <c r="M3265" s="24"/>
      <c r="N3265" s="24"/>
      <c r="O3265" s="24"/>
      <c r="P3265" s="24"/>
      <c r="Q3265" s="2"/>
      <c r="R3265" s="2"/>
      <c r="S3265" s="2"/>
      <c r="T3265" s="2"/>
      <c r="U3265" s="24"/>
      <c r="V3265" s="2"/>
      <c r="W3265" s="2"/>
      <c r="X3265" s="2"/>
      <c r="Y3265" s="2"/>
      <c r="Z3265" s="2"/>
    </row>
    <row r="3266">
      <c r="A3266" s="23"/>
      <c r="B3266" s="2"/>
      <c r="C3266" s="2"/>
      <c r="D3266" s="2"/>
      <c r="E3266" s="2"/>
      <c r="F3266" s="2"/>
      <c r="G3266" s="2"/>
      <c r="H3266" s="2"/>
      <c r="I3266" s="2"/>
      <c r="J3266" s="2"/>
      <c r="K3266" s="2"/>
      <c r="L3266" s="24"/>
      <c r="M3266" s="24"/>
      <c r="N3266" s="24"/>
      <c r="O3266" s="24"/>
      <c r="P3266" s="24"/>
      <c r="Q3266" s="2"/>
      <c r="R3266" s="2"/>
      <c r="S3266" s="2"/>
      <c r="T3266" s="2"/>
      <c r="U3266" s="24"/>
      <c r="V3266" s="2"/>
      <c r="W3266" s="2"/>
      <c r="X3266" s="2"/>
      <c r="Y3266" s="2"/>
      <c r="Z3266" s="2"/>
    </row>
    <row r="3267">
      <c r="A3267" s="23"/>
      <c r="B3267" s="2"/>
      <c r="C3267" s="2"/>
      <c r="D3267" s="2"/>
      <c r="E3267" s="2"/>
      <c r="F3267" s="2"/>
      <c r="G3267" s="2"/>
      <c r="H3267" s="2"/>
      <c r="I3267" s="2"/>
      <c r="J3267" s="2"/>
      <c r="K3267" s="2"/>
      <c r="L3267" s="24"/>
      <c r="M3267" s="24"/>
      <c r="N3267" s="24"/>
      <c r="O3267" s="24"/>
      <c r="P3267" s="24"/>
      <c r="Q3267" s="2"/>
      <c r="R3267" s="2"/>
      <c r="S3267" s="2"/>
      <c r="T3267" s="2"/>
      <c r="U3267" s="24"/>
      <c r="V3267" s="2"/>
      <c r="W3267" s="2"/>
      <c r="X3267" s="2"/>
      <c r="Y3267" s="2"/>
      <c r="Z3267" s="2"/>
    </row>
    <row r="3268">
      <c r="A3268" s="23"/>
      <c r="B3268" s="2"/>
      <c r="C3268" s="2"/>
      <c r="D3268" s="2"/>
      <c r="E3268" s="2"/>
      <c r="F3268" s="2"/>
      <c r="G3268" s="2"/>
      <c r="H3268" s="2"/>
      <c r="I3268" s="2"/>
      <c r="J3268" s="2"/>
      <c r="K3268" s="2"/>
      <c r="L3268" s="24"/>
      <c r="M3268" s="24"/>
      <c r="N3268" s="24"/>
      <c r="O3268" s="24"/>
      <c r="P3268" s="24"/>
      <c r="Q3268" s="2"/>
      <c r="R3268" s="2"/>
      <c r="S3268" s="2"/>
      <c r="T3268" s="2"/>
      <c r="U3268" s="24"/>
      <c r="V3268" s="2"/>
      <c r="W3268" s="2"/>
      <c r="X3268" s="2"/>
      <c r="Y3268" s="2"/>
      <c r="Z3268" s="2"/>
    </row>
    <row r="3269">
      <c r="A3269" s="23"/>
      <c r="B3269" s="2"/>
      <c r="C3269" s="2"/>
      <c r="D3269" s="2"/>
      <c r="E3269" s="2"/>
      <c r="F3269" s="2"/>
      <c r="G3269" s="2"/>
      <c r="H3269" s="2"/>
      <c r="I3269" s="2"/>
      <c r="J3269" s="2"/>
      <c r="K3269" s="2"/>
      <c r="L3269" s="24"/>
      <c r="M3269" s="24"/>
      <c r="N3269" s="24"/>
      <c r="O3269" s="24"/>
      <c r="P3269" s="24"/>
      <c r="Q3269" s="2"/>
      <c r="R3269" s="2"/>
      <c r="S3269" s="2"/>
      <c r="T3269" s="2"/>
      <c r="U3269" s="24"/>
      <c r="V3269" s="2"/>
      <c r="W3269" s="2"/>
      <c r="X3269" s="2"/>
      <c r="Y3269" s="2"/>
      <c r="Z3269" s="2"/>
    </row>
    <row r="3270">
      <c r="A3270" s="23"/>
      <c r="B3270" s="2"/>
      <c r="C3270" s="2"/>
      <c r="D3270" s="2"/>
      <c r="E3270" s="2"/>
      <c r="F3270" s="2"/>
      <c r="G3270" s="2"/>
      <c r="H3270" s="2"/>
      <c r="I3270" s="2"/>
      <c r="J3270" s="2"/>
      <c r="K3270" s="2"/>
      <c r="L3270" s="24"/>
      <c r="M3270" s="24"/>
      <c r="N3270" s="24"/>
      <c r="O3270" s="24"/>
      <c r="P3270" s="24"/>
      <c r="Q3270" s="2"/>
      <c r="R3270" s="2"/>
      <c r="S3270" s="2"/>
      <c r="T3270" s="2"/>
      <c r="U3270" s="24"/>
      <c r="V3270" s="2"/>
      <c r="W3270" s="2"/>
      <c r="X3270" s="2"/>
      <c r="Y3270" s="2"/>
      <c r="Z3270" s="2"/>
    </row>
    <row r="3271">
      <c r="A3271" s="23"/>
      <c r="B3271" s="2"/>
      <c r="C3271" s="2"/>
      <c r="D3271" s="2"/>
      <c r="E3271" s="2"/>
      <c r="F3271" s="2"/>
      <c r="G3271" s="2"/>
      <c r="H3271" s="2"/>
      <c r="I3271" s="2"/>
      <c r="J3271" s="2"/>
      <c r="K3271" s="2"/>
      <c r="L3271" s="24"/>
      <c r="M3271" s="24"/>
      <c r="N3271" s="24"/>
      <c r="O3271" s="24"/>
      <c r="P3271" s="24"/>
      <c r="Q3271" s="2"/>
      <c r="R3271" s="2"/>
      <c r="S3271" s="2"/>
      <c r="T3271" s="2"/>
      <c r="U3271" s="24"/>
      <c r="V3271" s="2"/>
      <c r="W3271" s="2"/>
      <c r="X3271" s="2"/>
      <c r="Y3271" s="2"/>
      <c r="Z3271" s="2"/>
    </row>
    <row r="3272">
      <c r="A3272" s="23"/>
      <c r="B3272" s="2"/>
      <c r="C3272" s="2"/>
      <c r="D3272" s="2"/>
      <c r="E3272" s="2"/>
      <c r="F3272" s="2"/>
      <c r="G3272" s="2"/>
      <c r="H3272" s="2"/>
      <c r="I3272" s="2"/>
      <c r="J3272" s="2"/>
      <c r="K3272" s="2"/>
      <c r="L3272" s="24"/>
      <c r="M3272" s="24"/>
      <c r="N3272" s="24"/>
      <c r="O3272" s="24"/>
      <c r="P3272" s="24"/>
      <c r="Q3272" s="2"/>
      <c r="R3272" s="2"/>
      <c r="S3272" s="2"/>
      <c r="T3272" s="2"/>
      <c r="U3272" s="24"/>
      <c r="V3272" s="2"/>
      <c r="W3272" s="2"/>
      <c r="X3272" s="2"/>
      <c r="Y3272" s="2"/>
      <c r="Z3272" s="2"/>
    </row>
    <row r="3273">
      <c r="A3273" s="23"/>
      <c r="B3273" s="2"/>
      <c r="C3273" s="2"/>
      <c r="D3273" s="2"/>
      <c r="E3273" s="2"/>
      <c r="F3273" s="2"/>
      <c r="G3273" s="2"/>
      <c r="H3273" s="2"/>
      <c r="I3273" s="2"/>
      <c r="J3273" s="2"/>
      <c r="K3273" s="2"/>
      <c r="L3273" s="24"/>
      <c r="M3273" s="24"/>
      <c r="N3273" s="24"/>
      <c r="O3273" s="24"/>
      <c r="P3273" s="24"/>
      <c r="Q3273" s="2"/>
      <c r="R3273" s="2"/>
      <c r="S3273" s="2"/>
      <c r="T3273" s="2"/>
      <c r="U3273" s="24"/>
      <c r="V3273" s="2"/>
      <c r="W3273" s="2"/>
      <c r="X3273" s="2"/>
      <c r="Y3273" s="2"/>
      <c r="Z3273" s="2"/>
    </row>
    <row r="3274">
      <c r="A3274" s="23"/>
      <c r="B3274" s="2"/>
      <c r="C3274" s="2"/>
      <c r="D3274" s="2"/>
      <c r="E3274" s="2"/>
      <c r="F3274" s="2"/>
      <c r="G3274" s="2"/>
      <c r="H3274" s="2"/>
      <c r="I3274" s="2"/>
      <c r="J3274" s="2"/>
      <c r="K3274" s="2"/>
      <c r="L3274" s="24"/>
      <c r="M3274" s="24"/>
      <c r="N3274" s="24"/>
      <c r="O3274" s="24"/>
      <c r="P3274" s="24"/>
      <c r="Q3274" s="2"/>
      <c r="R3274" s="2"/>
      <c r="S3274" s="2"/>
      <c r="T3274" s="2"/>
      <c r="U3274" s="24"/>
      <c r="V3274" s="2"/>
      <c r="W3274" s="2"/>
      <c r="X3274" s="2"/>
      <c r="Y3274" s="2"/>
      <c r="Z3274" s="2"/>
    </row>
    <row r="3275">
      <c r="A3275" s="23"/>
      <c r="B3275" s="2"/>
      <c r="C3275" s="2"/>
      <c r="D3275" s="2"/>
      <c r="E3275" s="2"/>
      <c r="F3275" s="2"/>
      <c r="G3275" s="2"/>
      <c r="H3275" s="2"/>
      <c r="I3275" s="2"/>
      <c r="J3275" s="2"/>
      <c r="K3275" s="2"/>
      <c r="L3275" s="24"/>
      <c r="M3275" s="24"/>
      <c r="N3275" s="24"/>
      <c r="O3275" s="24"/>
      <c r="P3275" s="24"/>
      <c r="Q3275" s="2"/>
      <c r="R3275" s="2"/>
      <c r="S3275" s="2"/>
      <c r="T3275" s="2"/>
      <c r="U3275" s="24"/>
      <c r="V3275" s="2"/>
      <c r="W3275" s="2"/>
      <c r="X3275" s="2"/>
      <c r="Y3275" s="2"/>
      <c r="Z3275" s="2"/>
    </row>
    <row r="3276">
      <c r="A3276" s="23"/>
      <c r="B3276" s="2"/>
      <c r="C3276" s="2"/>
      <c r="D3276" s="2"/>
      <c r="E3276" s="2"/>
      <c r="F3276" s="2"/>
      <c r="G3276" s="2"/>
      <c r="H3276" s="2"/>
      <c r="I3276" s="2"/>
      <c r="J3276" s="2"/>
      <c r="K3276" s="2"/>
      <c r="L3276" s="24"/>
      <c r="M3276" s="24"/>
      <c r="N3276" s="24"/>
      <c r="O3276" s="24"/>
      <c r="P3276" s="24"/>
      <c r="Q3276" s="2"/>
      <c r="R3276" s="2"/>
      <c r="S3276" s="2"/>
      <c r="T3276" s="2"/>
      <c r="U3276" s="24"/>
      <c r="V3276" s="2"/>
      <c r="W3276" s="2"/>
      <c r="X3276" s="2"/>
      <c r="Y3276" s="2"/>
      <c r="Z3276" s="2"/>
    </row>
    <row r="3277">
      <c r="A3277" s="23"/>
      <c r="B3277" s="2"/>
      <c r="C3277" s="2"/>
      <c r="D3277" s="2"/>
      <c r="E3277" s="2"/>
      <c r="F3277" s="2"/>
      <c r="G3277" s="2"/>
      <c r="H3277" s="2"/>
      <c r="I3277" s="2"/>
      <c r="J3277" s="2"/>
      <c r="K3277" s="2"/>
      <c r="L3277" s="24"/>
      <c r="M3277" s="24"/>
      <c r="N3277" s="24"/>
      <c r="O3277" s="24"/>
      <c r="P3277" s="24"/>
      <c r="Q3277" s="2"/>
      <c r="R3277" s="2"/>
      <c r="S3277" s="2"/>
      <c r="T3277" s="2"/>
      <c r="U3277" s="24"/>
      <c r="V3277" s="2"/>
      <c r="W3277" s="2"/>
      <c r="X3277" s="2"/>
      <c r="Y3277" s="2"/>
      <c r="Z3277" s="2"/>
    </row>
    <row r="3278">
      <c r="A3278" s="23"/>
      <c r="B3278" s="2"/>
      <c r="C3278" s="2"/>
      <c r="D3278" s="2"/>
      <c r="E3278" s="2"/>
      <c r="F3278" s="2"/>
      <c r="G3278" s="2"/>
      <c r="H3278" s="2"/>
      <c r="I3278" s="2"/>
      <c r="J3278" s="2"/>
      <c r="K3278" s="2"/>
      <c r="L3278" s="24"/>
      <c r="M3278" s="24"/>
      <c r="N3278" s="24"/>
      <c r="O3278" s="24"/>
      <c r="P3278" s="24"/>
      <c r="Q3278" s="2"/>
      <c r="R3278" s="2"/>
      <c r="S3278" s="2"/>
      <c r="T3278" s="2"/>
      <c r="U3278" s="24"/>
      <c r="V3278" s="2"/>
      <c r="W3278" s="2"/>
      <c r="X3278" s="2"/>
      <c r="Y3278" s="2"/>
      <c r="Z3278" s="2"/>
    </row>
    <row r="3279">
      <c r="A3279" s="23"/>
      <c r="B3279" s="2"/>
      <c r="C3279" s="2"/>
      <c r="D3279" s="2"/>
      <c r="E3279" s="2"/>
      <c r="F3279" s="2"/>
      <c r="G3279" s="2"/>
      <c r="H3279" s="2"/>
      <c r="I3279" s="2"/>
      <c r="J3279" s="2"/>
      <c r="K3279" s="2"/>
      <c r="L3279" s="24"/>
      <c r="M3279" s="24"/>
      <c r="N3279" s="24"/>
      <c r="O3279" s="24"/>
      <c r="P3279" s="24"/>
      <c r="Q3279" s="2"/>
      <c r="R3279" s="2"/>
      <c r="S3279" s="2"/>
      <c r="T3279" s="2"/>
      <c r="U3279" s="24"/>
      <c r="V3279" s="2"/>
      <c r="W3279" s="2"/>
      <c r="X3279" s="2"/>
      <c r="Y3279" s="2"/>
      <c r="Z3279" s="2"/>
    </row>
    <row r="3280">
      <c r="A3280" s="23"/>
      <c r="B3280" s="2"/>
      <c r="C3280" s="2"/>
      <c r="D3280" s="2"/>
      <c r="E3280" s="2"/>
      <c r="F3280" s="2"/>
      <c r="G3280" s="2"/>
      <c r="H3280" s="2"/>
      <c r="I3280" s="2"/>
      <c r="J3280" s="2"/>
      <c r="K3280" s="2"/>
      <c r="L3280" s="24"/>
      <c r="M3280" s="24"/>
      <c r="N3280" s="24"/>
      <c r="O3280" s="24"/>
      <c r="P3280" s="24"/>
      <c r="Q3280" s="2"/>
      <c r="R3280" s="2"/>
      <c r="S3280" s="2"/>
      <c r="T3280" s="2"/>
      <c r="U3280" s="24"/>
      <c r="V3280" s="2"/>
      <c r="W3280" s="2"/>
      <c r="X3280" s="2"/>
      <c r="Y3280" s="2"/>
      <c r="Z3280" s="2"/>
    </row>
    <row r="3281">
      <c r="A3281" s="23"/>
      <c r="B3281" s="2"/>
      <c r="C3281" s="2"/>
      <c r="D3281" s="2"/>
      <c r="E3281" s="2"/>
      <c r="F3281" s="2"/>
      <c r="G3281" s="2"/>
      <c r="H3281" s="2"/>
      <c r="I3281" s="2"/>
      <c r="J3281" s="2"/>
      <c r="K3281" s="2"/>
      <c r="L3281" s="24"/>
      <c r="M3281" s="24"/>
      <c r="N3281" s="24"/>
      <c r="O3281" s="24"/>
      <c r="P3281" s="24"/>
      <c r="Q3281" s="2"/>
      <c r="R3281" s="2"/>
      <c r="S3281" s="2"/>
      <c r="T3281" s="2"/>
      <c r="U3281" s="24"/>
      <c r="V3281" s="2"/>
      <c r="W3281" s="2"/>
      <c r="X3281" s="2"/>
      <c r="Y3281" s="2"/>
      <c r="Z3281" s="2"/>
    </row>
    <row r="3282">
      <c r="A3282" s="23"/>
      <c r="B3282" s="2"/>
      <c r="C3282" s="2"/>
      <c r="D3282" s="2"/>
      <c r="E3282" s="2"/>
      <c r="F3282" s="2"/>
      <c r="G3282" s="2"/>
      <c r="H3282" s="2"/>
      <c r="I3282" s="2"/>
      <c r="J3282" s="2"/>
      <c r="K3282" s="2"/>
      <c r="L3282" s="24"/>
      <c r="M3282" s="24"/>
      <c r="N3282" s="24"/>
      <c r="O3282" s="24"/>
      <c r="P3282" s="24"/>
      <c r="Q3282" s="2"/>
      <c r="R3282" s="2"/>
      <c r="S3282" s="2"/>
      <c r="T3282" s="2"/>
      <c r="U3282" s="24"/>
      <c r="V3282" s="2"/>
      <c r="W3282" s="2"/>
      <c r="X3282" s="2"/>
      <c r="Y3282" s="2"/>
      <c r="Z3282" s="2"/>
    </row>
    <row r="3283">
      <c r="A3283" s="23"/>
      <c r="B3283" s="2"/>
      <c r="C3283" s="2"/>
      <c r="D3283" s="2"/>
      <c r="E3283" s="2"/>
      <c r="F3283" s="2"/>
      <c r="G3283" s="2"/>
      <c r="H3283" s="2"/>
      <c r="I3283" s="2"/>
      <c r="J3283" s="2"/>
      <c r="K3283" s="2"/>
      <c r="L3283" s="24"/>
      <c r="M3283" s="24"/>
      <c r="N3283" s="24"/>
      <c r="O3283" s="24"/>
      <c r="P3283" s="24"/>
      <c r="Q3283" s="2"/>
      <c r="R3283" s="2"/>
      <c r="S3283" s="2"/>
      <c r="T3283" s="2"/>
      <c r="U3283" s="24"/>
      <c r="V3283" s="2"/>
      <c r="W3283" s="2"/>
      <c r="X3283" s="2"/>
      <c r="Y3283" s="2"/>
      <c r="Z3283" s="2"/>
    </row>
    <row r="3284">
      <c r="A3284" s="23"/>
      <c r="B3284" s="2"/>
      <c r="C3284" s="2"/>
      <c r="D3284" s="2"/>
      <c r="E3284" s="2"/>
      <c r="F3284" s="2"/>
      <c r="G3284" s="2"/>
      <c r="H3284" s="2"/>
      <c r="I3284" s="2"/>
      <c r="J3284" s="2"/>
      <c r="K3284" s="2"/>
      <c r="L3284" s="24"/>
      <c r="M3284" s="24"/>
      <c r="N3284" s="24"/>
      <c r="O3284" s="24"/>
      <c r="P3284" s="24"/>
      <c r="Q3284" s="2"/>
      <c r="R3284" s="2"/>
      <c r="S3284" s="2"/>
      <c r="T3284" s="2"/>
      <c r="U3284" s="24"/>
      <c r="V3284" s="2"/>
      <c r="W3284" s="2"/>
      <c r="X3284" s="2"/>
      <c r="Y3284" s="2"/>
      <c r="Z3284" s="2"/>
    </row>
    <row r="3285">
      <c r="A3285" s="23"/>
      <c r="B3285" s="2"/>
      <c r="C3285" s="2"/>
      <c r="D3285" s="2"/>
      <c r="E3285" s="2"/>
      <c r="F3285" s="2"/>
      <c r="G3285" s="2"/>
      <c r="H3285" s="2"/>
      <c r="I3285" s="2"/>
      <c r="J3285" s="2"/>
      <c r="K3285" s="2"/>
      <c r="L3285" s="24"/>
      <c r="M3285" s="24"/>
      <c r="N3285" s="24"/>
      <c r="O3285" s="24"/>
      <c r="P3285" s="24"/>
      <c r="Q3285" s="2"/>
      <c r="R3285" s="2"/>
      <c r="S3285" s="2"/>
      <c r="T3285" s="2"/>
      <c r="U3285" s="24"/>
      <c r="V3285" s="2"/>
      <c r="W3285" s="2"/>
      <c r="X3285" s="2"/>
      <c r="Y3285" s="2"/>
      <c r="Z3285" s="2"/>
    </row>
    <row r="3286">
      <c r="A3286" s="23"/>
      <c r="B3286" s="2"/>
      <c r="C3286" s="2"/>
      <c r="D3286" s="2"/>
      <c r="E3286" s="2"/>
      <c r="F3286" s="2"/>
      <c r="G3286" s="2"/>
      <c r="H3286" s="2"/>
      <c r="I3286" s="2"/>
      <c r="J3286" s="2"/>
      <c r="K3286" s="2"/>
      <c r="L3286" s="24"/>
      <c r="M3286" s="24"/>
      <c r="N3286" s="24"/>
      <c r="O3286" s="24"/>
      <c r="P3286" s="24"/>
      <c r="Q3286" s="2"/>
      <c r="R3286" s="2"/>
      <c r="S3286" s="2"/>
      <c r="T3286" s="2"/>
      <c r="U3286" s="24"/>
      <c r="V3286" s="2"/>
      <c r="W3286" s="2"/>
      <c r="X3286" s="2"/>
      <c r="Y3286" s="2"/>
      <c r="Z3286" s="2"/>
    </row>
    <row r="3287">
      <c r="A3287" s="23"/>
      <c r="B3287" s="2"/>
      <c r="C3287" s="2"/>
      <c r="D3287" s="2"/>
      <c r="E3287" s="2"/>
      <c r="F3287" s="2"/>
      <c r="G3287" s="2"/>
      <c r="H3287" s="2"/>
      <c r="I3287" s="2"/>
      <c r="J3287" s="2"/>
      <c r="K3287" s="2"/>
      <c r="L3287" s="24"/>
      <c r="M3287" s="24"/>
      <c r="N3287" s="24"/>
      <c r="O3287" s="24"/>
      <c r="P3287" s="24"/>
      <c r="Q3287" s="2"/>
      <c r="R3287" s="2"/>
      <c r="S3287" s="2"/>
      <c r="T3287" s="2"/>
      <c r="U3287" s="24"/>
      <c r="V3287" s="2"/>
      <c r="W3287" s="2"/>
      <c r="X3287" s="2"/>
      <c r="Y3287" s="2"/>
      <c r="Z3287" s="2"/>
    </row>
    <row r="3288">
      <c r="A3288" s="23"/>
      <c r="B3288" s="2"/>
      <c r="C3288" s="2"/>
      <c r="D3288" s="2"/>
      <c r="E3288" s="2"/>
      <c r="F3288" s="2"/>
      <c r="G3288" s="2"/>
      <c r="H3288" s="2"/>
      <c r="I3288" s="2"/>
      <c r="J3288" s="2"/>
      <c r="K3288" s="2"/>
      <c r="L3288" s="24"/>
      <c r="M3288" s="24"/>
      <c r="N3288" s="24"/>
      <c r="O3288" s="24"/>
      <c r="P3288" s="24"/>
      <c r="Q3288" s="2"/>
      <c r="R3288" s="2"/>
      <c r="S3288" s="2"/>
      <c r="T3288" s="2"/>
      <c r="U3288" s="24"/>
      <c r="V3288" s="2"/>
      <c r="W3288" s="2"/>
      <c r="X3288" s="2"/>
      <c r="Y3288" s="2"/>
      <c r="Z3288" s="2"/>
    </row>
    <row r="3289">
      <c r="A3289" s="23"/>
      <c r="B3289" s="2"/>
      <c r="C3289" s="2"/>
      <c r="D3289" s="2"/>
      <c r="E3289" s="2"/>
      <c r="F3289" s="2"/>
      <c r="G3289" s="2"/>
      <c r="H3289" s="2"/>
      <c r="I3289" s="2"/>
      <c r="J3289" s="2"/>
      <c r="K3289" s="2"/>
      <c r="L3289" s="24"/>
      <c r="M3289" s="24"/>
      <c r="N3289" s="24"/>
      <c r="O3289" s="24"/>
      <c r="P3289" s="24"/>
      <c r="Q3289" s="2"/>
      <c r="R3289" s="2"/>
      <c r="S3289" s="2"/>
      <c r="T3289" s="2"/>
      <c r="U3289" s="24"/>
      <c r="V3289" s="2"/>
      <c r="W3289" s="2"/>
      <c r="X3289" s="2"/>
      <c r="Y3289" s="2"/>
      <c r="Z3289" s="2"/>
    </row>
    <row r="3290">
      <c r="A3290" s="23"/>
      <c r="B3290" s="2"/>
      <c r="C3290" s="2"/>
      <c r="D3290" s="2"/>
      <c r="E3290" s="2"/>
      <c r="F3290" s="2"/>
      <c r="G3290" s="2"/>
      <c r="H3290" s="2"/>
      <c r="I3290" s="2"/>
      <c r="J3290" s="2"/>
      <c r="K3290" s="2"/>
      <c r="L3290" s="24"/>
      <c r="M3290" s="24"/>
      <c r="N3290" s="24"/>
      <c r="O3290" s="24"/>
      <c r="P3290" s="24"/>
      <c r="Q3290" s="2"/>
      <c r="R3290" s="2"/>
      <c r="S3290" s="2"/>
      <c r="T3290" s="2"/>
      <c r="U3290" s="24"/>
      <c r="V3290" s="2"/>
      <c r="W3290" s="2"/>
      <c r="X3290" s="2"/>
      <c r="Y3290" s="2"/>
      <c r="Z3290" s="2"/>
    </row>
    <row r="3291">
      <c r="A3291" s="23"/>
      <c r="B3291" s="2"/>
      <c r="C3291" s="2"/>
      <c r="D3291" s="2"/>
      <c r="E3291" s="2"/>
      <c r="F3291" s="2"/>
      <c r="G3291" s="2"/>
      <c r="H3291" s="2"/>
      <c r="I3291" s="2"/>
      <c r="J3291" s="2"/>
      <c r="K3291" s="2"/>
      <c r="L3291" s="24"/>
      <c r="M3291" s="24"/>
      <c r="N3291" s="24"/>
      <c r="O3291" s="24"/>
      <c r="P3291" s="24"/>
      <c r="Q3291" s="2"/>
      <c r="R3291" s="2"/>
      <c r="S3291" s="2"/>
      <c r="T3291" s="2"/>
      <c r="U3291" s="24"/>
      <c r="V3291" s="2"/>
      <c r="W3291" s="2"/>
      <c r="X3291" s="2"/>
      <c r="Y3291" s="2"/>
      <c r="Z3291" s="2"/>
    </row>
    <row r="3292">
      <c r="A3292" s="23"/>
      <c r="B3292" s="2"/>
      <c r="C3292" s="2"/>
      <c r="D3292" s="2"/>
      <c r="E3292" s="2"/>
      <c r="F3292" s="2"/>
      <c r="G3292" s="2"/>
      <c r="H3292" s="2"/>
      <c r="I3292" s="2"/>
      <c r="J3292" s="2"/>
      <c r="K3292" s="2"/>
      <c r="L3292" s="24"/>
      <c r="M3292" s="24"/>
      <c r="N3292" s="24"/>
      <c r="O3292" s="24"/>
      <c r="P3292" s="24"/>
      <c r="Q3292" s="2"/>
      <c r="R3292" s="2"/>
      <c r="S3292" s="2"/>
      <c r="T3292" s="2"/>
      <c r="U3292" s="24"/>
      <c r="V3292" s="2"/>
      <c r="W3292" s="2"/>
      <c r="X3292" s="2"/>
      <c r="Y3292" s="2"/>
      <c r="Z3292" s="2"/>
    </row>
    <row r="3293">
      <c r="A3293" s="23"/>
      <c r="B3293" s="2"/>
      <c r="C3293" s="2"/>
      <c r="D3293" s="2"/>
      <c r="E3293" s="2"/>
      <c r="F3293" s="2"/>
      <c r="G3293" s="2"/>
      <c r="H3293" s="2"/>
      <c r="I3293" s="2"/>
      <c r="J3293" s="2"/>
      <c r="K3293" s="2"/>
      <c r="L3293" s="24"/>
      <c r="M3293" s="24"/>
      <c r="N3293" s="24"/>
      <c r="O3293" s="24"/>
      <c r="P3293" s="24"/>
      <c r="Q3293" s="2"/>
      <c r="R3293" s="2"/>
      <c r="S3293" s="2"/>
      <c r="T3293" s="2"/>
      <c r="U3293" s="24"/>
      <c r="V3293" s="2"/>
      <c r="W3293" s="2"/>
      <c r="X3293" s="2"/>
      <c r="Y3293" s="2"/>
      <c r="Z3293" s="2"/>
    </row>
    <row r="3294">
      <c r="A3294" s="23"/>
      <c r="B3294" s="2"/>
      <c r="C3294" s="2"/>
      <c r="D3294" s="2"/>
      <c r="E3294" s="2"/>
      <c r="F3294" s="2"/>
      <c r="G3294" s="2"/>
      <c r="H3294" s="2"/>
      <c r="I3294" s="2"/>
      <c r="J3294" s="2"/>
      <c r="K3294" s="2"/>
      <c r="L3294" s="24"/>
      <c r="M3294" s="24"/>
      <c r="N3294" s="24"/>
      <c r="O3294" s="24"/>
      <c r="P3294" s="24"/>
      <c r="Q3294" s="2"/>
      <c r="R3294" s="2"/>
      <c r="S3294" s="2"/>
      <c r="T3294" s="2"/>
      <c r="U3294" s="24"/>
      <c r="V3294" s="2"/>
      <c r="W3294" s="2"/>
      <c r="X3294" s="2"/>
      <c r="Y3294" s="2"/>
      <c r="Z3294" s="2"/>
    </row>
    <row r="3295">
      <c r="A3295" s="23"/>
      <c r="B3295" s="2"/>
      <c r="C3295" s="2"/>
      <c r="D3295" s="2"/>
      <c r="E3295" s="2"/>
      <c r="F3295" s="2"/>
      <c r="G3295" s="2"/>
      <c r="H3295" s="2"/>
      <c r="I3295" s="2"/>
      <c r="J3295" s="2"/>
      <c r="K3295" s="2"/>
      <c r="L3295" s="24"/>
      <c r="M3295" s="24"/>
      <c r="N3295" s="24"/>
      <c r="O3295" s="24"/>
      <c r="P3295" s="24"/>
      <c r="Q3295" s="2"/>
      <c r="R3295" s="2"/>
      <c r="S3295" s="2"/>
      <c r="T3295" s="2"/>
      <c r="U3295" s="24"/>
      <c r="V3295" s="2"/>
      <c r="W3295" s="2"/>
      <c r="X3295" s="2"/>
      <c r="Y3295" s="2"/>
      <c r="Z3295" s="2"/>
    </row>
    <row r="3296">
      <c r="A3296" s="23"/>
      <c r="B3296" s="2"/>
      <c r="C3296" s="2"/>
      <c r="D3296" s="2"/>
      <c r="E3296" s="2"/>
      <c r="F3296" s="2"/>
      <c r="G3296" s="2"/>
      <c r="H3296" s="2"/>
      <c r="I3296" s="2"/>
      <c r="J3296" s="2"/>
      <c r="K3296" s="2"/>
      <c r="L3296" s="24"/>
      <c r="M3296" s="24"/>
      <c r="N3296" s="24"/>
      <c r="O3296" s="24"/>
      <c r="P3296" s="24"/>
      <c r="Q3296" s="2"/>
      <c r="R3296" s="2"/>
      <c r="S3296" s="2"/>
      <c r="T3296" s="2"/>
      <c r="U3296" s="24"/>
      <c r="V3296" s="2"/>
      <c r="W3296" s="2"/>
      <c r="X3296" s="2"/>
      <c r="Y3296" s="2"/>
      <c r="Z3296" s="2"/>
    </row>
    <row r="3297">
      <c r="A3297" s="23"/>
      <c r="B3297" s="2"/>
      <c r="C3297" s="2"/>
      <c r="D3297" s="2"/>
      <c r="E3297" s="2"/>
      <c r="F3297" s="2"/>
      <c r="G3297" s="2"/>
      <c r="H3297" s="2"/>
      <c r="I3297" s="2"/>
      <c r="J3297" s="2"/>
      <c r="K3297" s="2"/>
      <c r="L3297" s="24"/>
      <c r="M3297" s="24"/>
      <c r="N3297" s="24"/>
      <c r="O3297" s="24"/>
      <c r="P3297" s="24"/>
      <c r="Q3297" s="2"/>
      <c r="R3297" s="2"/>
      <c r="S3297" s="2"/>
      <c r="T3297" s="2"/>
      <c r="U3297" s="24"/>
      <c r="V3297" s="2"/>
      <c r="W3297" s="2"/>
      <c r="X3297" s="2"/>
      <c r="Y3297" s="2"/>
      <c r="Z3297" s="2"/>
    </row>
    <row r="3298">
      <c r="A3298" s="23"/>
      <c r="B3298" s="2"/>
      <c r="C3298" s="2"/>
      <c r="D3298" s="2"/>
      <c r="E3298" s="2"/>
      <c r="F3298" s="2"/>
      <c r="G3298" s="2"/>
      <c r="H3298" s="2"/>
      <c r="I3298" s="2"/>
      <c r="J3298" s="2"/>
      <c r="K3298" s="2"/>
      <c r="L3298" s="24"/>
      <c r="M3298" s="24"/>
      <c r="N3298" s="24"/>
      <c r="O3298" s="24"/>
      <c r="P3298" s="24"/>
      <c r="Q3298" s="2"/>
      <c r="R3298" s="2"/>
      <c r="S3298" s="2"/>
      <c r="T3298" s="2"/>
      <c r="U3298" s="24"/>
      <c r="V3298" s="2"/>
      <c r="W3298" s="2"/>
      <c r="X3298" s="2"/>
      <c r="Y3298" s="2"/>
      <c r="Z3298" s="2"/>
    </row>
    <row r="3299">
      <c r="A3299" s="23"/>
      <c r="B3299" s="2"/>
      <c r="C3299" s="2"/>
      <c r="D3299" s="2"/>
      <c r="E3299" s="2"/>
      <c r="F3299" s="2"/>
      <c r="G3299" s="2"/>
      <c r="H3299" s="2"/>
      <c r="I3299" s="2"/>
      <c r="J3299" s="2"/>
      <c r="K3299" s="2"/>
      <c r="L3299" s="24"/>
      <c r="M3299" s="24"/>
      <c r="N3299" s="24"/>
      <c r="O3299" s="24"/>
      <c r="P3299" s="24"/>
      <c r="Q3299" s="2"/>
      <c r="R3299" s="2"/>
      <c r="S3299" s="2"/>
      <c r="T3299" s="2"/>
      <c r="U3299" s="24"/>
      <c r="V3299" s="2"/>
      <c r="W3299" s="2"/>
      <c r="X3299" s="2"/>
      <c r="Y3299" s="2"/>
      <c r="Z3299" s="2"/>
    </row>
    <row r="3300">
      <c r="A3300" s="23"/>
      <c r="B3300" s="2"/>
      <c r="C3300" s="2"/>
      <c r="D3300" s="2"/>
      <c r="E3300" s="2"/>
      <c r="F3300" s="2"/>
      <c r="G3300" s="2"/>
      <c r="H3300" s="2"/>
      <c r="I3300" s="2"/>
      <c r="J3300" s="2"/>
      <c r="K3300" s="2"/>
      <c r="L3300" s="24"/>
      <c r="M3300" s="24"/>
      <c r="N3300" s="24"/>
      <c r="O3300" s="24"/>
      <c r="P3300" s="24"/>
      <c r="Q3300" s="2"/>
      <c r="R3300" s="2"/>
      <c r="S3300" s="2"/>
      <c r="T3300" s="2"/>
      <c r="U3300" s="24"/>
      <c r="V3300" s="2"/>
      <c r="W3300" s="2"/>
      <c r="X3300" s="2"/>
      <c r="Y3300" s="2"/>
      <c r="Z3300" s="2"/>
    </row>
    <row r="3301">
      <c r="A3301" s="23"/>
      <c r="B3301" s="2"/>
      <c r="C3301" s="2"/>
      <c r="D3301" s="2"/>
      <c r="E3301" s="2"/>
      <c r="F3301" s="2"/>
      <c r="G3301" s="2"/>
      <c r="H3301" s="2"/>
      <c r="I3301" s="2"/>
      <c r="J3301" s="2"/>
      <c r="K3301" s="2"/>
      <c r="L3301" s="24"/>
      <c r="M3301" s="24"/>
      <c r="N3301" s="24"/>
      <c r="O3301" s="24"/>
      <c r="P3301" s="24"/>
      <c r="Q3301" s="2"/>
      <c r="R3301" s="2"/>
      <c r="S3301" s="2"/>
      <c r="T3301" s="2"/>
      <c r="U3301" s="24"/>
      <c r="V3301" s="2"/>
      <c r="W3301" s="2"/>
      <c r="X3301" s="2"/>
      <c r="Y3301" s="2"/>
      <c r="Z3301" s="2"/>
    </row>
    <row r="3302">
      <c r="A3302" s="23"/>
      <c r="B3302" s="2"/>
      <c r="C3302" s="2"/>
      <c r="D3302" s="2"/>
      <c r="E3302" s="2"/>
      <c r="F3302" s="2"/>
      <c r="G3302" s="2"/>
      <c r="H3302" s="2"/>
      <c r="I3302" s="2"/>
      <c r="J3302" s="2"/>
      <c r="K3302" s="2"/>
      <c r="L3302" s="24"/>
      <c r="M3302" s="24"/>
      <c r="N3302" s="24"/>
      <c r="O3302" s="24"/>
      <c r="P3302" s="24"/>
      <c r="Q3302" s="2"/>
      <c r="R3302" s="2"/>
      <c r="S3302" s="2"/>
      <c r="T3302" s="2"/>
      <c r="U3302" s="24"/>
      <c r="V3302" s="2"/>
      <c r="W3302" s="2"/>
      <c r="X3302" s="2"/>
      <c r="Y3302" s="2"/>
      <c r="Z3302" s="2"/>
    </row>
    <row r="3303">
      <c r="A3303" s="23"/>
      <c r="B3303" s="2"/>
      <c r="C3303" s="2"/>
      <c r="D3303" s="2"/>
      <c r="E3303" s="2"/>
      <c r="F3303" s="2"/>
      <c r="G3303" s="2"/>
      <c r="H3303" s="2"/>
      <c r="I3303" s="2"/>
      <c r="J3303" s="2"/>
      <c r="K3303" s="2"/>
      <c r="L3303" s="24"/>
      <c r="M3303" s="24"/>
      <c r="N3303" s="24"/>
      <c r="O3303" s="24"/>
      <c r="P3303" s="24"/>
      <c r="Q3303" s="2"/>
      <c r="R3303" s="2"/>
      <c r="S3303" s="2"/>
      <c r="T3303" s="2"/>
      <c r="U3303" s="24"/>
      <c r="V3303" s="2"/>
      <c r="W3303" s="2"/>
      <c r="X3303" s="2"/>
      <c r="Y3303" s="2"/>
      <c r="Z3303" s="2"/>
    </row>
    <row r="3304">
      <c r="A3304" s="23"/>
      <c r="B3304" s="2"/>
      <c r="C3304" s="2"/>
      <c r="D3304" s="2"/>
      <c r="E3304" s="2"/>
      <c r="F3304" s="2"/>
      <c r="G3304" s="2"/>
      <c r="H3304" s="2"/>
      <c r="I3304" s="2"/>
      <c r="J3304" s="2"/>
      <c r="K3304" s="2"/>
      <c r="L3304" s="24"/>
      <c r="M3304" s="24"/>
      <c r="N3304" s="24"/>
      <c r="O3304" s="24"/>
      <c r="P3304" s="24"/>
      <c r="Q3304" s="2"/>
      <c r="R3304" s="2"/>
      <c r="S3304" s="2"/>
      <c r="T3304" s="2"/>
      <c r="U3304" s="24"/>
      <c r="V3304" s="2"/>
      <c r="W3304" s="2"/>
      <c r="X3304" s="2"/>
      <c r="Y3304" s="2"/>
      <c r="Z3304" s="2"/>
    </row>
    <row r="3305">
      <c r="A3305" s="23"/>
      <c r="B3305" s="2"/>
      <c r="C3305" s="2"/>
      <c r="D3305" s="2"/>
      <c r="E3305" s="2"/>
      <c r="F3305" s="2"/>
      <c r="G3305" s="2"/>
      <c r="H3305" s="2"/>
      <c r="I3305" s="2"/>
      <c r="J3305" s="2"/>
      <c r="K3305" s="2"/>
      <c r="L3305" s="24"/>
      <c r="M3305" s="24"/>
      <c r="N3305" s="24"/>
      <c r="O3305" s="24"/>
      <c r="P3305" s="24"/>
      <c r="Q3305" s="2"/>
      <c r="R3305" s="2"/>
      <c r="S3305" s="2"/>
      <c r="T3305" s="2"/>
      <c r="U3305" s="24"/>
      <c r="V3305" s="2"/>
      <c r="W3305" s="2"/>
      <c r="X3305" s="2"/>
      <c r="Y3305" s="2"/>
      <c r="Z3305" s="2"/>
    </row>
    <row r="3306">
      <c r="A3306" s="23"/>
      <c r="B3306" s="2"/>
      <c r="C3306" s="2"/>
      <c r="D3306" s="2"/>
      <c r="E3306" s="2"/>
      <c r="F3306" s="2"/>
      <c r="G3306" s="2"/>
      <c r="H3306" s="2"/>
      <c r="I3306" s="2"/>
      <c r="J3306" s="2"/>
      <c r="K3306" s="2"/>
      <c r="L3306" s="24"/>
      <c r="M3306" s="24"/>
      <c r="N3306" s="24"/>
      <c r="O3306" s="24"/>
      <c r="P3306" s="24"/>
      <c r="Q3306" s="2"/>
      <c r="R3306" s="2"/>
      <c r="S3306" s="2"/>
      <c r="T3306" s="2"/>
      <c r="U3306" s="24"/>
      <c r="V3306" s="2"/>
      <c r="W3306" s="2"/>
      <c r="X3306" s="2"/>
      <c r="Y3306" s="2"/>
      <c r="Z3306" s="2"/>
    </row>
    <row r="3307">
      <c r="A3307" s="23"/>
      <c r="B3307" s="2"/>
      <c r="C3307" s="2"/>
      <c r="D3307" s="2"/>
      <c r="E3307" s="2"/>
      <c r="F3307" s="2"/>
      <c r="G3307" s="2"/>
      <c r="H3307" s="2"/>
      <c r="I3307" s="2"/>
      <c r="J3307" s="2"/>
      <c r="K3307" s="2"/>
      <c r="L3307" s="24"/>
      <c r="M3307" s="24"/>
      <c r="N3307" s="24"/>
      <c r="O3307" s="24"/>
      <c r="P3307" s="24"/>
      <c r="Q3307" s="2"/>
      <c r="R3307" s="2"/>
      <c r="S3307" s="2"/>
      <c r="T3307" s="2"/>
      <c r="U3307" s="24"/>
      <c r="V3307" s="2"/>
      <c r="W3307" s="2"/>
      <c r="X3307" s="2"/>
      <c r="Y3307" s="2"/>
      <c r="Z3307" s="2"/>
    </row>
    <row r="3308">
      <c r="A3308" s="23"/>
      <c r="B3308" s="2"/>
      <c r="C3308" s="2"/>
      <c r="D3308" s="2"/>
      <c r="E3308" s="2"/>
      <c r="F3308" s="2"/>
      <c r="G3308" s="2"/>
      <c r="H3308" s="2"/>
      <c r="I3308" s="2"/>
      <c r="J3308" s="2"/>
      <c r="K3308" s="2"/>
      <c r="L3308" s="24"/>
      <c r="M3308" s="24"/>
      <c r="N3308" s="24"/>
      <c r="O3308" s="24"/>
      <c r="P3308" s="24"/>
      <c r="Q3308" s="2"/>
      <c r="R3308" s="2"/>
      <c r="S3308" s="2"/>
      <c r="T3308" s="2"/>
      <c r="U3308" s="24"/>
      <c r="V3308" s="2"/>
      <c r="W3308" s="2"/>
      <c r="X3308" s="2"/>
      <c r="Y3308" s="2"/>
      <c r="Z3308" s="2"/>
    </row>
    <row r="3309">
      <c r="A3309" s="23"/>
      <c r="B3309" s="2"/>
      <c r="C3309" s="2"/>
      <c r="D3309" s="2"/>
      <c r="E3309" s="2"/>
      <c r="F3309" s="2"/>
      <c r="G3309" s="2"/>
      <c r="H3309" s="2"/>
      <c r="I3309" s="2"/>
      <c r="J3309" s="2"/>
      <c r="K3309" s="2"/>
      <c r="L3309" s="24"/>
      <c r="M3309" s="24"/>
      <c r="N3309" s="24"/>
      <c r="O3309" s="24"/>
      <c r="P3309" s="24"/>
      <c r="Q3309" s="2"/>
      <c r="R3309" s="2"/>
      <c r="S3309" s="2"/>
      <c r="T3309" s="2"/>
      <c r="U3309" s="24"/>
      <c r="V3309" s="2"/>
      <c r="W3309" s="2"/>
      <c r="X3309" s="2"/>
      <c r="Y3309" s="2"/>
      <c r="Z3309" s="2"/>
    </row>
    <row r="3310">
      <c r="A3310" s="23"/>
      <c r="B3310" s="2"/>
      <c r="C3310" s="2"/>
      <c r="D3310" s="2"/>
      <c r="E3310" s="2"/>
      <c r="F3310" s="2"/>
      <c r="G3310" s="2"/>
      <c r="H3310" s="2"/>
      <c r="I3310" s="2"/>
      <c r="J3310" s="2"/>
      <c r="K3310" s="2"/>
      <c r="L3310" s="24"/>
      <c r="M3310" s="24"/>
      <c r="N3310" s="24"/>
      <c r="O3310" s="24"/>
      <c r="P3310" s="24"/>
      <c r="Q3310" s="2"/>
      <c r="R3310" s="2"/>
      <c r="S3310" s="2"/>
      <c r="T3310" s="2"/>
      <c r="U3310" s="24"/>
      <c r="V3310" s="2"/>
      <c r="W3310" s="2"/>
      <c r="X3310" s="2"/>
      <c r="Y3310" s="2"/>
      <c r="Z3310" s="2"/>
    </row>
    <row r="3311">
      <c r="A3311" s="23"/>
      <c r="B3311" s="2"/>
      <c r="C3311" s="2"/>
      <c r="D3311" s="2"/>
      <c r="E3311" s="2"/>
      <c r="F3311" s="2"/>
      <c r="G3311" s="2"/>
      <c r="H3311" s="2"/>
      <c r="I3311" s="2"/>
      <c r="J3311" s="2"/>
      <c r="K3311" s="2"/>
      <c r="L3311" s="24"/>
      <c r="M3311" s="24"/>
      <c r="N3311" s="24"/>
      <c r="O3311" s="24"/>
      <c r="P3311" s="24"/>
      <c r="Q3311" s="2"/>
      <c r="R3311" s="2"/>
      <c r="S3311" s="2"/>
      <c r="T3311" s="2"/>
      <c r="U3311" s="24"/>
      <c r="V3311" s="2"/>
      <c r="W3311" s="2"/>
      <c r="X3311" s="2"/>
      <c r="Y3311" s="2"/>
      <c r="Z3311" s="2"/>
    </row>
    <row r="3312">
      <c r="A3312" s="23"/>
      <c r="B3312" s="2"/>
      <c r="C3312" s="2"/>
      <c r="D3312" s="2"/>
      <c r="E3312" s="2"/>
      <c r="F3312" s="2"/>
      <c r="G3312" s="2"/>
      <c r="H3312" s="2"/>
      <c r="I3312" s="2"/>
      <c r="J3312" s="2"/>
      <c r="K3312" s="2"/>
      <c r="L3312" s="24"/>
      <c r="M3312" s="24"/>
      <c r="N3312" s="24"/>
      <c r="O3312" s="24"/>
      <c r="P3312" s="24"/>
      <c r="Q3312" s="2"/>
      <c r="R3312" s="2"/>
      <c r="S3312" s="2"/>
      <c r="T3312" s="2"/>
      <c r="U3312" s="24"/>
      <c r="V3312" s="2"/>
      <c r="W3312" s="2"/>
      <c r="X3312" s="2"/>
      <c r="Y3312" s="2"/>
      <c r="Z3312" s="2"/>
    </row>
    <row r="3313">
      <c r="A3313" s="23"/>
      <c r="B3313" s="2"/>
      <c r="C3313" s="2"/>
      <c r="D3313" s="2"/>
      <c r="E3313" s="2"/>
      <c r="F3313" s="2"/>
      <c r="G3313" s="2"/>
      <c r="H3313" s="2"/>
      <c r="I3313" s="2"/>
      <c r="J3313" s="2"/>
      <c r="K3313" s="2"/>
      <c r="L3313" s="24"/>
      <c r="M3313" s="24"/>
      <c r="N3313" s="24"/>
      <c r="O3313" s="24"/>
      <c r="P3313" s="24"/>
      <c r="Q3313" s="2"/>
      <c r="R3313" s="2"/>
      <c r="S3313" s="2"/>
      <c r="T3313" s="2"/>
      <c r="U3313" s="24"/>
      <c r="V3313" s="2"/>
      <c r="W3313" s="2"/>
      <c r="X3313" s="2"/>
      <c r="Y3313" s="2"/>
      <c r="Z3313" s="2"/>
    </row>
    <row r="3314">
      <c r="A3314" s="23"/>
      <c r="B3314" s="2"/>
      <c r="C3314" s="2"/>
      <c r="D3314" s="2"/>
      <c r="E3314" s="2"/>
      <c r="F3314" s="2"/>
      <c r="G3314" s="2"/>
      <c r="H3314" s="2"/>
      <c r="I3314" s="2"/>
      <c r="J3314" s="2"/>
      <c r="K3314" s="2"/>
      <c r="L3314" s="24"/>
      <c r="M3314" s="24"/>
      <c r="N3314" s="24"/>
      <c r="O3314" s="24"/>
      <c r="P3314" s="24"/>
      <c r="Q3314" s="2"/>
      <c r="R3314" s="2"/>
      <c r="S3314" s="2"/>
      <c r="T3314" s="2"/>
      <c r="U3314" s="24"/>
      <c r="V3314" s="2"/>
      <c r="W3314" s="2"/>
      <c r="X3314" s="2"/>
      <c r="Y3314" s="2"/>
      <c r="Z3314" s="2"/>
    </row>
    <row r="3315">
      <c r="A3315" s="23"/>
      <c r="B3315" s="2"/>
      <c r="C3315" s="2"/>
      <c r="D3315" s="2"/>
      <c r="E3315" s="2"/>
      <c r="F3315" s="2"/>
      <c r="G3315" s="2"/>
      <c r="H3315" s="2"/>
      <c r="I3315" s="2"/>
      <c r="J3315" s="2"/>
      <c r="K3315" s="2"/>
      <c r="L3315" s="24"/>
      <c r="M3315" s="24"/>
      <c r="N3315" s="24"/>
      <c r="O3315" s="24"/>
      <c r="P3315" s="24"/>
      <c r="Q3315" s="2"/>
      <c r="R3315" s="2"/>
      <c r="S3315" s="2"/>
      <c r="T3315" s="2"/>
      <c r="U3315" s="24"/>
      <c r="V3315" s="2"/>
      <c r="W3315" s="2"/>
      <c r="X3315" s="2"/>
      <c r="Y3315" s="2"/>
      <c r="Z3315" s="2"/>
    </row>
    <row r="3316">
      <c r="A3316" s="23"/>
      <c r="B3316" s="2"/>
      <c r="C3316" s="2"/>
      <c r="D3316" s="2"/>
      <c r="E3316" s="2"/>
      <c r="F3316" s="2"/>
      <c r="G3316" s="2"/>
      <c r="H3316" s="2"/>
      <c r="I3316" s="2"/>
      <c r="J3316" s="2"/>
      <c r="K3316" s="2"/>
      <c r="L3316" s="24"/>
      <c r="M3316" s="24"/>
      <c r="N3316" s="24"/>
      <c r="O3316" s="24"/>
      <c r="P3316" s="24"/>
      <c r="Q3316" s="2"/>
      <c r="R3316" s="2"/>
      <c r="S3316" s="2"/>
      <c r="T3316" s="2"/>
      <c r="U3316" s="24"/>
      <c r="V3316" s="2"/>
      <c r="W3316" s="2"/>
      <c r="X3316" s="2"/>
      <c r="Y3316" s="2"/>
      <c r="Z3316" s="2"/>
    </row>
    <row r="3317">
      <c r="A3317" s="23"/>
      <c r="B3317" s="2"/>
      <c r="C3317" s="2"/>
      <c r="D3317" s="2"/>
      <c r="E3317" s="2"/>
      <c r="F3317" s="2"/>
      <c r="G3317" s="2"/>
      <c r="H3317" s="2"/>
      <c r="I3317" s="2"/>
      <c r="J3317" s="2"/>
      <c r="K3317" s="2"/>
      <c r="L3317" s="24"/>
      <c r="M3317" s="24"/>
      <c r="N3317" s="24"/>
      <c r="O3317" s="24"/>
      <c r="P3317" s="24"/>
      <c r="Q3317" s="2"/>
      <c r="R3317" s="2"/>
      <c r="S3317" s="2"/>
      <c r="T3317" s="2"/>
      <c r="U3317" s="24"/>
      <c r="V3317" s="2"/>
      <c r="W3317" s="2"/>
      <c r="X3317" s="2"/>
      <c r="Y3317" s="2"/>
      <c r="Z3317" s="2"/>
    </row>
    <row r="3318">
      <c r="A3318" s="23"/>
      <c r="B3318" s="2"/>
      <c r="C3318" s="2"/>
      <c r="D3318" s="2"/>
      <c r="E3318" s="2"/>
      <c r="F3318" s="2"/>
      <c r="G3318" s="2"/>
      <c r="H3318" s="2"/>
      <c r="I3318" s="2"/>
      <c r="J3318" s="2"/>
      <c r="K3318" s="2"/>
      <c r="L3318" s="24"/>
      <c r="M3318" s="24"/>
      <c r="N3318" s="24"/>
      <c r="O3318" s="24"/>
      <c r="P3318" s="24"/>
      <c r="Q3318" s="2"/>
      <c r="R3318" s="2"/>
      <c r="S3318" s="2"/>
      <c r="T3318" s="2"/>
      <c r="U3318" s="24"/>
      <c r="V3318" s="2"/>
      <c r="W3318" s="2"/>
      <c r="X3318" s="2"/>
      <c r="Y3318" s="2"/>
      <c r="Z3318" s="2"/>
    </row>
    <row r="3319">
      <c r="A3319" s="23"/>
      <c r="B3319" s="2"/>
      <c r="C3319" s="2"/>
      <c r="D3319" s="2"/>
      <c r="E3319" s="2"/>
      <c r="F3319" s="2"/>
      <c r="G3319" s="2"/>
      <c r="H3319" s="2"/>
      <c r="I3319" s="2"/>
      <c r="J3319" s="2"/>
      <c r="K3319" s="2"/>
      <c r="L3319" s="24"/>
      <c r="M3319" s="24"/>
      <c r="N3319" s="24"/>
      <c r="O3319" s="24"/>
      <c r="P3319" s="24"/>
      <c r="Q3319" s="2"/>
      <c r="R3319" s="2"/>
      <c r="S3319" s="2"/>
      <c r="T3319" s="2"/>
      <c r="U3319" s="24"/>
      <c r="V3319" s="2"/>
      <c r="W3319" s="2"/>
      <c r="X3319" s="2"/>
      <c r="Y3319" s="2"/>
      <c r="Z3319" s="2"/>
    </row>
    <row r="3320">
      <c r="A3320" s="23"/>
      <c r="B3320" s="2"/>
      <c r="C3320" s="2"/>
      <c r="D3320" s="2"/>
      <c r="E3320" s="2"/>
      <c r="F3320" s="2"/>
      <c r="G3320" s="2"/>
      <c r="H3320" s="2"/>
      <c r="I3320" s="2"/>
      <c r="J3320" s="2"/>
      <c r="K3320" s="2"/>
      <c r="L3320" s="24"/>
      <c r="M3320" s="24"/>
      <c r="N3320" s="24"/>
      <c r="O3320" s="24"/>
      <c r="P3320" s="24"/>
      <c r="Q3320" s="2"/>
      <c r="R3320" s="2"/>
      <c r="S3320" s="2"/>
      <c r="T3320" s="2"/>
      <c r="U3320" s="24"/>
      <c r="V3320" s="2"/>
      <c r="W3320" s="2"/>
      <c r="X3320" s="2"/>
      <c r="Y3320" s="2"/>
      <c r="Z3320" s="2"/>
    </row>
    <row r="3321">
      <c r="A3321" s="23"/>
      <c r="B3321" s="2"/>
      <c r="C3321" s="2"/>
      <c r="D3321" s="2"/>
      <c r="E3321" s="2"/>
      <c r="F3321" s="2"/>
      <c r="G3321" s="2"/>
      <c r="H3321" s="2"/>
      <c r="I3321" s="2"/>
      <c r="J3321" s="2"/>
      <c r="K3321" s="2"/>
      <c r="L3321" s="24"/>
      <c r="M3321" s="24"/>
      <c r="N3321" s="24"/>
      <c r="O3321" s="24"/>
      <c r="P3321" s="24"/>
      <c r="Q3321" s="2"/>
      <c r="R3321" s="2"/>
      <c r="S3321" s="2"/>
      <c r="T3321" s="2"/>
      <c r="U3321" s="24"/>
      <c r="V3321" s="2"/>
      <c r="W3321" s="2"/>
      <c r="X3321" s="2"/>
      <c r="Y3321" s="2"/>
      <c r="Z3321" s="2"/>
    </row>
    <row r="3322">
      <c r="A3322" s="23"/>
      <c r="B3322" s="2"/>
      <c r="C3322" s="2"/>
      <c r="D3322" s="2"/>
      <c r="E3322" s="2"/>
      <c r="F3322" s="2"/>
      <c r="G3322" s="2"/>
      <c r="H3322" s="2"/>
      <c r="I3322" s="2"/>
      <c r="J3322" s="2"/>
      <c r="K3322" s="2"/>
      <c r="L3322" s="24"/>
      <c r="M3322" s="24"/>
      <c r="N3322" s="24"/>
      <c r="O3322" s="24"/>
      <c r="P3322" s="24"/>
      <c r="Q3322" s="2"/>
      <c r="R3322" s="2"/>
      <c r="S3322" s="2"/>
      <c r="T3322" s="2"/>
      <c r="U3322" s="24"/>
      <c r="V3322" s="2"/>
      <c r="W3322" s="2"/>
      <c r="X3322" s="2"/>
      <c r="Y3322" s="2"/>
      <c r="Z3322" s="2"/>
    </row>
    <row r="3323">
      <c r="A3323" s="23"/>
      <c r="B3323" s="2"/>
      <c r="C3323" s="2"/>
      <c r="D3323" s="2"/>
      <c r="E3323" s="2"/>
      <c r="F3323" s="2"/>
      <c r="G3323" s="2"/>
      <c r="H3323" s="2"/>
      <c r="I3323" s="2"/>
      <c r="J3323" s="2"/>
      <c r="K3323" s="2"/>
      <c r="L3323" s="24"/>
      <c r="M3323" s="24"/>
      <c r="N3323" s="24"/>
      <c r="O3323" s="24"/>
      <c r="P3323" s="24"/>
      <c r="Q3323" s="2"/>
      <c r="R3323" s="2"/>
      <c r="S3323" s="2"/>
      <c r="T3323" s="2"/>
      <c r="U3323" s="24"/>
      <c r="V3323" s="2"/>
      <c r="W3323" s="2"/>
      <c r="X3323" s="2"/>
      <c r="Y3323" s="2"/>
      <c r="Z3323" s="2"/>
    </row>
    <row r="3324">
      <c r="A3324" s="23"/>
      <c r="B3324" s="2"/>
      <c r="C3324" s="2"/>
      <c r="D3324" s="2"/>
      <c r="E3324" s="2"/>
      <c r="F3324" s="2"/>
      <c r="G3324" s="2"/>
      <c r="H3324" s="2"/>
      <c r="I3324" s="2"/>
      <c r="J3324" s="2"/>
      <c r="K3324" s="2"/>
      <c r="L3324" s="24"/>
      <c r="M3324" s="24"/>
      <c r="N3324" s="24"/>
      <c r="O3324" s="24"/>
      <c r="P3324" s="24"/>
      <c r="Q3324" s="2"/>
      <c r="R3324" s="2"/>
      <c r="S3324" s="2"/>
      <c r="T3324" s="2"/>
      <c r="U3324" s="24"/>
      <c r="V3324" s="2"/>
      <c r="W3324" s="2"/>
      <c r="X3324" s="2"/>
      <c r="Y3324" s="2"/>
      <c r="Z3324" s="2"/>
    </row>
    <row r="3325">
      <c r="A3325" s="23"/>
      <c r="B3325" s="2"/>
      <c r="C3325" s="2"/>
      <c r="D3325" s="2"/>
      <c r="E3325" s="2"/>
      <c r="F3325" s="2"/>
      <c r="G3325" s="2"/>
      <c r="H3325" s="2"/>
      <c r="I3325" s="2"/>
      <c r="J3325" s="2"/>
      <c r="K3325" s="2"/>
      <c r="L3325" s="24"/>
      <c r="M3325" s="24"/>
      <c r="N3325" s="24"/>
      <c r="O3325" s="24"/>
      <c r="P3325" s="24"/>
      <c r="Q3325" s="2"/>
      <c r="R3325" s="2"/>
      <c r="S3325" s="2"/>
      <c r="T3325" s="2"/>
      <c r="U3325" s="24"/>
      <c r="V3325" s="2"/>
      <c r="W3325" s="2"/>
      <c r="X3325" s="2"/>
      <c r="Y3325" s="2"/>
      <c r="Z3325" s="2"/>
    </row>
    <row r="3326">
      <c r="A3326" s="23"/>
      <c r="B3326" s="2"/>
      <c r="C3326" s="2"/>
      <c r="D3326" s="2"/>
      <c r="E3326" s="2"/>
      <c r="F3326" s="2"/>
      <c r="G3326" s="2"/>
      <c r="H3326" s="2"/>
      <c r="I3326" s="2"/>
      <c r="J3326" s="2"/>
      <c r="K3326" s="2"/>
      <c r="L3326" s="24"/>
      <c r="M3326" s="24"/>
      <c r="N3326" s="24"/>
      <c r="O3326" s="24"/>
      <c r="P3326" s="24"/>
      <c r="Q3326" s="2"/>
      <c r="R3326" s="2"/>
      <c r="S3326" s="2"/>
      <c r="T3326" s="2"/>
      <c r="U3326" s="24"/>
      <c r="V3326" s="2"/>
      <c r="W3326" s="2"/>
      <c r="X3326" s="2"/>
      <c r="Y3326" s="2"/>
      <c r="Z3326" s="2"/>
    </row>
    <row r="3327">
      <c r="A3327" s="23"/>
      <c r="B3327" s="2"/>
      <c r="C3327" s="2"/>
      <c r="D3327" s="2"/>
      <c r="E3327" s="2"/>
      <c r="F3327" s="2"/>
      <c r="G3327" s="2"/>
      <c r="H3327" s="2"/>
      <c r="I3327" s="2"/>
      <c r="J3327" s="2"/>
      <c r="K3327" s="2"/>
      <c r="L3327" s="24"/>
      <c r="M3327" s="24"/>
      <c r="N3327" s="24"/>
      <c r="O3327" s="24"/>
      <c r="P3327" s="24"/>
      <c r="Q3327" s="2"/>
      <c r="R3327" s="2"/>
      <c r="S3327" s="2"/>
      <c r="T3327" s="2"/>
      <c r="U3327" s="24"/>
      <c r="V3327" s="2"/>
      <c r="W3327" s="2"/>
      <c r="X3327" s="2"/>
      <c r="Y3327" s="2"/>
      <c r="Z3327" s="2"/>
    </row>
    <row r="3328">
      <c r="A3328" s="23"/>
      <c r="B3328" s="2"/>
      <c r="C3328" s="2"/>
      <c r="D3328" s="2"/>
      <c r="E3328" s="2"/>
      <c r="F3328" s="2"/>
      <c r="G3328" s="2"/>
      <c r="H3328" s="2"/>
      <c r="I3328" s="2"/>
      <c r="J3328" s="2"/>
      <c r="K3328" s="2"/>
      <c r="L3328" s="24"/>
      <c r="M3328" s="24"/>
      <c r="N3328" s="24"/>
      <c r="O3328" s="24"/>
      <c r="P3328" s="24"/>
      <c r="Q3328" s="2"/>
      <c r="R3328" s="2"/>
      <c r="S3328" s="2"/>
      <c r="T3328" s="2"/>
      <c r="U3328" s="24"/>
      <c r="V3328" s="2"/>
      <c r="W3328" s="2"/>
      <c r="X3328" s="2"/>
      <c r="Y3328" s="2"/>
      <c r="Z3328" s="2"/>
    </row>
    <row r="3329">
      <c r="A3329" s="23"/>
      <c r="B3329" s="2"/>
      <c r="C3329" s="2"/>
      <c r="D3329" s="2"/>
      <c r="E3329" s="2"/>
      <c r="F3329" s="2"/>
      <c r="G3329" s="2"/>
      <c r="H3329" s="2"/>
      <c r="I3329" s="2"/>
      <c r="J3329" s="2"/>
      <c r="K3329" s="2"/>
      <c r="L3329" s="24"/>
      <c r="M3329" s="24"/>
      <c r="N3329" s="24"/>
      <c r="O3329" s="24"/>
      <c r="P3329" s="24"/>
      <c r="Q3329" s="2"/>
      <c r="R3329" s="2"/>
      <c r="S3329" s="2"/>
      <c r="T3329" s="2"/>
      <c r="U3329" s="24"/>
      <c r="V3329" s="2"/>
      <c r="W3329" s="2"/>
      <c r="X3329" s="2"/>
      <c r="Y3329" s="2"/>
      <c r="Z3329" s="2"/>
    </row>
    <row r="3330">
      <c r="A3330" s="23"/>
      <c r="B3330" s="2"/>
      <c r="C3330" s="2"/>
      <c r="D3330" s="2"/>
      <c r="E3330" s="2"/>
      <c r="F3330" s="2"/>
      <c r="G3330" s="2"/>
      <c r="H3330" s="2"/>
      <c r="I3330" s="2"/>
      <c r="J3330" s="2"/>
      <c r="K3330" s="2"/>
      <c r="L3330" s="24"/>
      <c r="M3330" s="24"/>
      <c r="N3330" s="24"/>
      <c r="O3330" s="24"/>
      <c r="P3330" s="24"/>
      <c r="Q3330" s="2"/>
      <c r="R3330" s="2"/>
      <c r="S3330" s="2"/>
      <c r="T3330" s="2"/>
      <c r="U3330" s="24"/>
      <c r="V3330" s="2"/>
      <c r="W3330" s="2"/>
      <c r="X3330" s="2"/>
      <c r="Y3330" s="2"/>
      <c r="Z3330" s="2"/>
    </row>
    <row r="3331">
      <c r="A3331" s="23"/>
      <c r="B3331" s="2"/>
      <c r="C3331" s="2"/>
      <c r="D3331" s="2"/>
      <c r="E3331" s="2"/>
      <c r="F3331" s="2"/>
      <c r="G3331" s="2"/>
      <c r="H3331" s="2"/>
      <c r="I3331" s="2"/>
      <c r="J3331" s="2"/>
      <c r="K3331" s="2"/>
      <c r="L3331" s="24"/>
      <c r="M3331" s="24"/>
      <c r="N3331" s="24"/>
      <c r="O3331" s="24"/>
      <c r="P3331" s="24"/>
      <c r="Q3331" s="2"/>
      <c r="R3331" s="2"/>
      <c r="S3331" s="2"/>
      <c r="T3331" s="2"/>
      <c r="U3331" s="24"/>
      <c r="V3331" s="2"/>
      <c r="W3331" s="2"/>
      <c r="X3331" s="2"/>
      <c r="Y3331" s="2"/>
      <c r="Z3331" s="2"/>
    </row>
    <row r="3332">
      <c r="A3332" s="23"/>
      <c r="B3332" s="2"/>
      <c r="C3332" s="2"/>
      <c r="D3332" s="2"/>
      <c r="E3332" s="2"/>
      <c r="F3332" s="2"/>
      <c r="G3332" s="2"/>
      <c r="H3332" s="2"/>
      <c r="I3332" s="2"/>
      <c r="J3332" s="2"/>
      <c r="K3332" s="2"/>
      <c r="L3332" s="24"/>
      <c r="M3332" s="24"/>
      <c r="N3332" s="24"/>
      <c r="O3332" s="24"/>
      <c r="P3332" s="24"/>
      <c r="Q3332" s="2"/>
      <c r="R3332" s="2"/>
      <c r="S3332" s="2"/>
      <c r="T3332" s="2"/>
      <c r="U3332" s="24"/>
      <c r="V3332" s="2"/>
      <c r="W3332" s="2"/>
      <c r="X3332" s="2"/>
      <c r="Y3332" s="2"/>
      <c r="Z3332" s="2"/>
    </row>
    <row r="3333">
      <c r="A3333" s="23"/>
      <c r="B3333" s="2"/>
      <c r="C3333" s="2"/>
      <c r="D3333" s="2"/>
      <c r="E3333" s="2"/>
      <c r="F3333" s="2"/>
      <c r="G3333" s="2"/>
      <c r="H3333" s="2"/>
      <c r="I3333" s="2"/>
      <c r="J3333" s="2"/>
      <c r="K3333" s="2"/>
      <c r="L3333" s="24"/>
      <c r="M3333" s="24"/>
      <c r="N3333" s="24"/>
      <c r="O3333" s="24"/>
      <c r="P3333" s="24"/>
      <c r="Q3333" s="2"/>
      <c r="R3333" s="2"/>
      <c r="S3333" s="2"/>
      <c r="T3333" s="2"/>
      <c r="U3333" s="24"/>
      <c r="V3333" s="2"/>
      <c r="W3333" s="2"/>
      <c r="X3333" s="2"/>
      <c r="Y3333" s="2"/>
      <c r="Z3333" s="2"/>
    </row>
    <row r="3334">
      <c r="A3334" s="23"/>
      <c r="B3334" s="2"/>
      <c r="C3334" s="2"/>
      <c r="D3334" s="2"/>
      <c r="E3334" s="2"/>
      <c r="F3334" s="2"/>
      <c r="G3334" s="2"/>
      <c r="H3334" s="2"/>
      <c r="I3334" s="2"/>
      <c r="J3334" s="2"/>
      <c r="K3334" s="2"/>
      <c r="L3334" s="24"/>
      <c r="M3334" s="24"/>
      <c r="N3334" s="24"/>
      <c r="O3334" s="24"/>
      <c r="P3334" s="24"/>
      <c r="Q3334" s="2"/>
      <c r="R3334" s="2"/>
      <c r="S3334" s="2"/>
      <c r="T3334" s="2"/>
      <c r="U3334" s="24"/>
      <c r="V3334" s="2"/>
      <c r="W3334" s="2"/>
      <c r="X3334" s="2"/>
      <c r="Y3334" s="2"/>
      <c r="Z3334" s="2"/>
    </row>
    <row r="3335">
      <c r="A3335" s="23"/>
      <c r="B3335" s="2"/>
      <c r="C3335" s="2"/>
      <c r="D3335" s="2"/>
      <c r="E3335" s="2"/>
      <c r="F3335" s="2"/>
      <c r="G3335" s="2"/>
      <c r="H3335" s="2"/>
      <c r="I3335" s="2"/>
      <c r="J3335" s="2"/>
      <c r="K3335" s="2"/>
      <c r="L3335" s="24"/>
      <c r="M3335" s="24"/>
      <c r="N3335" s="24"/>
      <c r="O3335" s="24"/>
      <c r="P3335" s="24"/>
      <c r="Q3335" s="2"/>
      <c r="R3335" s="2"/>
      <c r="S3335" s="2"/>
      <c r="T3335" s="2"/>
      <c r="U3335" s="24"/>
      <c r="V3335" s="2"/>
      <c r="W3335" s="2"/>
      <c r="X3335" s="2"/>
      <c r="Y3335" s="2"/>
      <c r="Z3335" s="2"/>
    </row>
    <row r="3336">
      <c r="A3336" s="23"/>
      <c r="B3336" s="2"/>
      <c r="C3336" s="2"/>
      <c r="D3336" s="2"/>
      <c r="E3336" s="2"/>
      <c r="F3336" s="2"/>
      <c r="G3336" s="2"/>
      <c r="H3336" s="2"/>
      <c r="I3336" s="2"/>
      <c r="J3336" s="2"/>
      <c r="K3336" s="2"/>
      <c r="L3336" s="24"/>
      <c r="M3336" s="24"/>
      <c r="N3336" s="24"/>
      <c r="O3336" s="24"/>
      <c r="P3336" s="24"/>
      <c r="Q3336" s="2"/>
      <c r="R3336" s="2"/>
      <c r="S3336" s="2"/>
      <c r="T3336" s="2"/>
      <c r="U3336" s="24"/>
      <c r="V3336" s="2"/>
      <c r="W3336" s="2"/>
      <c r="X3336" s="2"/>
      <c r="Y3336" s="2"/>
      <c r="Z3336" s="2"/>
    </row>
    <row r="3337">
      <c r="A3337" s="23"/>
      <c r="B3337" s="2"/>
      <c r="C3337" s="2"/>
      <c r="D3337" s="2"/>
      <c r="E3337" s="2"/>
      <c r="F3337" s="2"/>
      <c r="G3337" s="2"/>
      <c r="H3337" s="2"/>
      <c r="I3337" s="2"/>
      <c r="J3337" s="2"/>
      <c r="K3337" s="2"/>
      <c r="L3337" s="24"/>
      <c r="M3337" s="24"/>
      <c r="N3337" s="24"/>
      <c r="O3337" s="24"/>
      <c r="P3337" s="24"/>
      <c r="Q3337" s="2"/>
      <c r="R3337" s="2"/>
      <c r="S3337" s="2"/>
      <c r="T3337" s="2"/>
      <c r="U3337" s="24"/>
      <c r="V3337" s="2"/>
      <c r="W3337" s="2"/>
      <c r="X3337" s="2"/>
      <c r="Y3337" s="2"/>
      <c r="Z3337" s="2"/>
    </row>
    <row r="3338">
      <c r="A3338" s="23"/>
      <c r="B3338" s="2"/>
      <c r="C3338" s="2"/>
      <c r="D3338" s="2"/>
      <c r="E3338" s="2"/>
      <c r="F3338" s="2"/>
      <c r="G3338" s="2"/>
      <c r="H3338" s="2"/>
      <c r="I3338" s="2"/>
      <c r="J3338" s="2"/>
      <c r="K3338" s="2"/>
      <c r="L3338" s="24"/>
      <c r="M3338" s="24"/>
      <c r="N3338" s="24"/>
      <c r="O3338" s="24"/>
      <c r="P3338" s="24"/>
      <c r="Q3338" s="2"/>
      <c r="R3338" s="2"/>
      <c r="S3338" s="2"/>
      <c r="T3338" s="2"/>
      <c r="U3338" s="24"/>
      <c r="V3338" s="2"/>
      <c r="W3338" s="2"/>
      <c r="X3338" s="2"/>
      <c r="Y3338" s="2"/>
      <c r="Z3338" s="2"/>
    </row>
    <row r="3339">
      <c r="A3339" s="23"/>
      <c r="B3339" s="2"/>
      <c r="C3339" s="2"/>
      <c r="D3339" s="2"/>
      <c r="E3339" s="2"/>
      <c r="F3339" s="2"/>
      <c r="G3339" s="2"/>
      <c r="H3339" s="2"/>
      <c r="I3339" s="2"/>
      <c r="J3339" s="2"/>
      <c r="K3339" s="2"/>
      <c r="L3339" s="24"/>
      <c r="M3339" s="24"/>
      <c r="N3339" s="24"/>
      <c r="O3339" s="24"/>
      <c r="P3339" s="24"/>
      <c r="Q3339" s="2"/>
      <c r="R3339" s="2"/>
      <c r="S3339" s="2"/>
      <c r="T3339" s="2"/>
      <c r="U3339" s="24"/>
      <c r="V3339" s="2"/>
      <c r="W3339" s="2"/>
      <c r="X3339" s="2"/>
      <c r="Y3339" s="2"/>
      <c r="Z3339" s="2"/>
    </row>
    <row r="3340">
      <c r="A3340" s="23"/>
      <c r="B3340" s="2"/>
      <c r="C3340" s="2"/>
      <c r="D3340" s="2"/>
      <c r="E3340" s="2"/>
      <c r="F3340" s="2"/>
      <c r="G3340" s="2"/>
      <c r="H3340" s="2"/>
      <c r="I3340" s="2"/>
      <c r="J3340" s="2"/>
      <c r="K3340" s="2"/>
      <c r="L3340" s="24"/>
      <c r="M3340" s="24"/>
      <c r="N3340" s="24"/>
      <c r="O3340" s="24"/>
      <c r="P3340" s="24"/>
      <c r="Q3340" s="2"/>
      <c r="R3340" s="2"/>
      <c r="S3340" s="2"/>
      <c r="T3340" s="2"/>
      <c r="U3340" s="24"/>
      <c r="V3340" s="2"/>
      <c r="W3340" s="2"/>
      <c r="X3340" s="2"/>
      <c r="Y3340" s="2"/>
      <c r="Z3340" s="2"/>
    </row>
    <row r="3341">
      <c r="A3341" s="23"/>
      <c r="B3341" s="2"/>
      <c r="C3341" s="2"/>
      <c r="D3341" s="2"/>
      <c r="E3341" s="2"/>
      <c r="F3341" s="2"/>
      <c r="G3341" s="2"/>
      <c r="H3341" s="2"/>
      <c r="I3341" s="2"/>
      <c r="J3341" s="2"/>
      <c r="K3341" s="2"/>
      <c r="L3341" s="24"/>
      <c r="M3341" s="24"/>
      <c r="N3341" s="24"/>
      <c r="O3341" s="24"/>
      <c r="P3341" s="24"/>
      <c r="Q3341" s="2"/>
      <c r="R3341" s="2"/>
      <c r="S3341" s="2"/>
      <c r="T3341" s="2"/>
      <c r="U3341" s="24"/>
      <c r="V3341" s="2"/>
      <c r="W3341" s="2"/>
      <c r="X3341" s="2"/>
      <c r="Y3341" s="2"/>
      <c r="Z3341" s="2"/>
    </row>
    <row r="3342">
      <c r="A3342" s="23"/>
      <c r="B3342" s="2"/>
      <c r="C3342" s="2"/>
      <c r="D3342" s="2"/>
      <c r="E3342" s="2"/>
      <c r="F3342" s="2"/>
      <c r="G3342" s="2"/>
      <c r="H3342" s="2"/>
      <c r="I3342" s="2"/>
      <c r="J3342" s="2"/>
      <c r="K3342" s="2"/>
      <c r="L3342" s="24"/>
      <c r="M3342" s="24"/>
      <c r="N3342" s="24"/>
      <c r="O3342" s="24"/>
      <c r="P3342" s="24"/>
      <c r="Q3342" s="2"/>
      <c r="R3342" s="2"/>
      <c r="S3342" s="2"/>
      <c r="T3342" s="2"/>
      <c r="U3342" s="24"/>
      <c r="V3342" s="2"/>
      <c r="W3342" s="2"/>
      <c r="X3342" s="2"/>
      <c r="Y3342" s="2"/>
      <c r="Z3342" s="2"/>
    </row>
    <row r="3343">
      <c r="A3343" s="23"/>
      <c r="B3343" s="2"/>
      <c r="C3343" s="2"/>
      <c r="D3343" s="2"/>
      <c r="E3343" s="2"/>
      <c r="F3343" s="2"/>
      <c r="G3343" s="2"/>
      <c r="H3343" s="2"/>
      <c r="I3343" s="2"/>
      <c r="J3343" s="2"/>
      <c r="K3343" s="2"/>
      <c r="L3343" s="24"/>
      <c r="M3343" s="24"/>
      <c r="N3343" s="24"/>
      <c r="O3343" s="24"/>
      <c r="P3343" s="24"/>
      <c r="Q3343" s="2"/>
      <c r="R3343" s="2"/>
      <c r="S3343" s="2"/>
      <c r="T3343" s="2"/>
      <c r="U3343" s="24"/>
      <c r="V3343" s="2"/>
      <c r="W3343" s="2"/>
      <c r="X3343" s="2"/>
      <c r="Y3343" s="2"/>
      <c r="Z3343" s="2"/>
    </row>
    <row r="3344">
      <c r="A3344" s="23"/>
      <c r="B3344" s="2"/>
      <c r="C3344" s="2"/>
      <c r="D3344" s="2"/>
      <c r="E3344" s="2"/>
      <c r="F3344" s="2"/>
      <c r="G3344" s="2"/>
      <c r="H3344" s="2"/>
      <c r="I3344" s="2"/>
      <c r="J3344" s="2"/>
      <c r="K3344" s="2"/>
      <c r="L3344" s="24"/>
      <c r="M3344" s="24"/>
      <c r="N3344" s="24"/>
      <c r="O3344" s="24"/>
      <c r="P3344" s="24"/>
      <c r="Q3344" s="2"/>
      <c r="R3344" s="2"/>
      <c r="S3344" s="2"/>
      <c r="T3344" s="2"/>
      <c r="U3344" s="24"/>
      <c r="V3344" s="2"/>
      <c r="W3344" s="2"/>
      <c r="X3344" s="2"/>
      <c r="Y3344" s="2"/>
      <c r="Z3344" s="2"/>
    </row>
    <row r="3345">
      <c r="A3345" s="23"/>
      <c r="B3345" s="2"/>
      <c r="C3345" s="2"/>
      <c r="D3345" s="2"/>
      <c r="E3345" s="2"/>
      <c r="F3345" s="2"/>
      <c r="G3345" s="2"/>
      <c r="H3345" s="2"/>
      <c r="I3345" s="2"/>
      <c r="J3345" s="2"/>
      <c r="K3345" s="2"/>
      <c r="L3345" s="24"/>
      <c r="M3345" s="24"/>
      <c r="N3345" s="24"/>
      <c r="O3345" s="24"/>
      <c r="P3345" s="24"/>
      <c r="Q3345" s="2"/>
      <c r="R3345" s="2"/>
      <c r="S3345" s="2"/>
      <c r="T3345" s="2"/>
      <c r="U3345" s="24"/>
      <c r="V3345" s="2"/>
      <c r="W3345" s="2"/>
      <c r="X3345" s="2"/>
      <c r="Y3345" s="2"/>
      <c r="Z3345" s="2"/>
    </row>
    <row r="3346">
      <c r="A3346" s="23"/>
      <c r="B3346" s="2"/>
      <c r="C3346" s="2"/>
      <c r="D3346" s="2"/>
      <c r="E3346" s="2"/>
      <c r="F3346" s="2"/>
      <c r="G3346" s="2"/>
      <c r="H3346" s="2"/>
      <c r="I3346" s="2"/>
      <c r="J3346" s="2"/>
      <c r="K3346" s="2"/>
      <c r="L3346" s="24"/>
      <c r="M3346" s="24"/>
      <c r="N3346" s="24"/>
      <c r="O3346" s="24"/>
      <c r="P3346" s="24"/>
      <c r="Q3346" s="2"/>
      <c r="R3346" s="2"/>
      <c r="S3346" s="2"/>
      <c r="T3346" s="2"/>
      <c r="U3346" s="24"/>
      <c r="V3346" s="2"/>
      <c r="W3346" s="2"/>
      <c r="X3346" s="2"/>
      <c r="Y3346" s="2"/>
      <c r="Z3346" s="2"/>
    </row>
    <row r="3347">
      <c r="A3347" s="23"/>
      <c r="B3347" s="2"/>
      <c r="C3347" s="2"/>
      <c r="D3347" s="2"/>
      <c r="E3347" s="2"/>
      <c r="F3347" s="2"/>
      <c r="G3347" s="2"/>
      <c r="H3347" s="2"/>
      <c r="I3347" s="2"/>
      <c r="J3347" s="2"/>
      <c r="K3347" s="2"/>
      <c r="L3347" s="24"/>
      <c r="M3347" s="24"/>
      <c r="N3347" s="24"/>
      <c r="O3347" s="24"/>
      <c r="P3347" s="24"/>
      <c r="Q3347" s="2"/>
      <c r="R3347" s="2"/>
      <c r="S3347" s="2"/>
      <c r="T3347" s="2"/>
      <c r="U3347" s="24"/>
      <c r="V3347" s="2"/>
      <c r="W3347" s="2"/>
      <c r="X3347" s="2"/>
      <c r="Y3347" s="2"/>
      <c r="Z3347" s="2"/>
    </row>
    <row r="3348">
      <c r="A3348" s="23"/>
      <c r="B3348" s="2"/>
      <c r="C3348" s="2"/>
      <c r="D3348" s="2"/>
      <c r="E3348" s="2"/>
      <c r="F3348" s="2"/>
      <c r="G3348" s="2"/>
      <c r="H3348" s="2"/>
      <c r="I3348" s="2"/>
      <c r="J3348" s="2"/>
      <c r="K3348" s="2"/>
      <c r="L3348" s="24"/>
      <c r="M3348" s="24"/>
      <c r="N3348" s="24"/>
      <c r="O3348" s="24"/>
      <c r="P3348" s="24"/>
      <c r="Q3348" s="2"/>
      <c r="R3348" s="2"/>
      <c r="S3348" s="2"/>
      <c r="T3348" s="2"/>
      <c r="U3348" s="24"/>
      <c r="V3348" s="2"/>
      <c r="W3348" s="2"/>
      <c r="X3348" s="2"/>
      <c r="Y3348" s="2"/>
      <c r="Z3348" s="2"/>
    </row>
    <row r="3349">
      <c r="A3349" s="23"/>
      <c r="B3349" s="2"/>
      <c r="C3349" s="2"/>
      <c r="D3349" s="2"/>
      <c r="E3349" s="2"/>
      <c r="F3349" s="2"/>
      <c r="G3349" s="2"/>
      <c r="H3349" s="2"/>
      <c r="I3349" s="2"/>
      <c r="J3349" s="2"/>
      <c r="K3349" s="2"/>
      <c r="L3349" s="24"/>
      <c r="M3349" s="24"/>
      <c r="N3349" s="24"/>
      <c r="O3349" s="24"/>
      <c r="P3349" s="24"/>
      <c r="Q3349" s="2"/>
      <c r="R3349" s="2"/>
      <c r="S3349" s="2"/>
      <c r="T3349" s="2"/>
      <c r="U3349" s="24"/>
      <c r="V3349" s="2"/>
      <c r="W3349" s="2"/>
      <c r="X3349" s="2"/>
      <c r="Y3349" s="2"/>
      <c r="Z3349" s="2"/>
    </row>
    <row r="3350">
      <c r="A3350" s="23"/>
      <c r="B3350" s="2"/>
      <c r="C3350" s="2"/>
      <c r="D3350" s="2"/>
      <c r="E3350" s="2"/>
      <c r="F3350" s="2"/>
      <c r="G3350" s="2"/>
      <c r="H3350" s="2"/>
      <c r="I3350" s="2"/>
      <c r="J3350" s="2"/>
      <c r="K3350" s="2"/>
      <c r="L3350" s="24"/>
      <c r="M3350" s="24"/>
      <c r="N3350" s="24"/>
      <c r="O3350" s="24"/>
      <c r="P3350" s="24"/>
      <c r="Q3350" s="2"/>
      <c r="R3350" s="2"/>
      <c r="S3350" s="2"/>
      <c r="T3350" s="2"/>
      <c r="U3350" s="24"/>
      <c r="V3350" s="2"/>
      <c r="W3350" s="2"/>
      <c r="X3350" s="2"/>
      <c r="Y3350" s="2"/>
      <c r="Z3350" s="2"/>
    </row>
    <row r="3351">
      <c r="A3351" s="23"/>
      <c r="B3351" s="2"/>
      <c r="C3351" s="2"/>
      <c r="D3351" s="2"/>
      <c r="E3351" s="2"/>
      <c r="F3351" s="2"/>
      <c r="G3351" s="2"/>
      <c r="H3351" s="2"/>
      <c r="I3351" s="2"/>
      <c r="J3351" s="2"/>
      <c r="K3351" s="2"/>
      <c r="L3351" s="24"/>
      <c r="M3351" s="24"/>
      <c r="N3351" s="24"/>
      <c r="O3351" s="24"/>
      <c r="P3351" s="24"/>
      <c r="Q3351" s="2"/>
      <c r="R3351" s="2"/>
      <c r="S3351" s="2"/>
      <c r="T3351" s="2"/>
      <c r="U3351" s="24"/>
      <c r="V3351" s="2"/>
      <c r="W3351" s="2"/>
      <c r="X3351" s="2"/>
      <c r="Y3351" s="2"/>
      <c r="Z3351" s="2"/>
    </row>
    <row r="3352">
      <c r="A3352" s="23"/>
      <c r="B3352" s="2"/>
      <c r="C3352" s="2"/>
      <c r="D3352" s="2"/>
      <c r="E3352" s="2"/>
      <c r="F3352" s="2"/>
      <c r="G3352" s="2"/>
      <c r="H3352" s="2"/>
      <c r="I3352" s="2"/>
      <c r="J3352" s="2"/>
      <c r="K3352" s="2"/>
      <c r="L3352" s="24"/>
      <c r="M3352" s="24"/>
      <c r="N3352" s="24"/>
      <c r="O3352" s="24"/>
      <c r="P3352" s="24"/>
      <c r="Q3352" s="2"/>
      <c r="R3352" s="2"/>
      <c r="S3352" s="2"/>
      <c r="T3352" s="2"/>
      <c r="U3352" s="24"/>
      <c r="V3352" s="2"/>
      <c r="W3352" s="2"/>
      <c r="X3352" s="2"/>
      <c r="Y3352" s="2"/>
      <c r="Z3352" s="2"/>
    </row>
    <row r="3353">
      <c r="A3353" s="23"/>
      <c r="B3353" s="2"/>
      <c r="C3353" s="2"/>
      <c r="D3353" s="2"/>
      <c r="E3353" s="2"/>
      <c r="F3353" s="2"/>
      <c r="G3353" s="2"/>
      <c r="H3353" s="2"/>
      <c r="I3353" s="2"/>
      <c r="J3353" s="2"/>
      <c r="K3353" s="2"/>
      <c r="L3353" s="24"/>
      <c r="M3353" s="24"/>
      <c r="N3353" s="24"/>
      <c r="O3353" s="24"/>
      <c r="P3353" s="24"/>
      <c r="Q3353" s="2"/>
      <c r="R3353" s="2"/>
      <c r="S3353" s="2"/>
      <c r="T3353" s="2"/>
      <c r="U3353" s="24"/>
      <c r="V3353" s="2"/>
      <c r="W3353" s="2"/>
      <c r="X3353" s="2"/>
      <c r="Y3353" s="2"/>
      <c r="Z3353" s="2"/>
    </row>
    <row r="3354">
      <c r="A3354" s="23"/>
      <c r="B3354" s="2"/>
      <c r="C3354" s="2"/>
      <c r="D3354" s="2"/>
      <c r="E3354" s="2"/>
      <c r="F3354" s="2"/>
      <c r="G3354" s="2"/>
      <c r="H3354" s="2"/>
      <c r="I3354" s="2"/>
      <c r="J3354" s="2"/>
      <c r="K3354" s="2"/>
      <c r="L3354" s="24"/>
      <c r="M3354" s="24"/>
      <c r="N3354" s="24"/>
      <c r="O3354" s="24"/>
      <c r="P3354" s="24"/>
      <c r="Q3354" s="2"/>
      <c r="R3354" s="2"/>
      <c r="S3354" s="2"/>
      <c r="T3354" s="2"/>
      <c r="U3354" s="24"/>
      <c r="V3354" s="2"/>
      <c r="W3354" s="2"/>
      <c r="X3354" s="2"/>
      <c r="Y3354" s="2"/>
      <c r="Z3354" s="2"/>
    </row>
    <row r="3355">
      <c r="A3355" s="23"/>
      <c r="B3355" s="2"/>
      <c r="C3355" s="2"/>
      <c r="D3355" s="2"/>
      <c r="E3355" s="2"/>
      <c r="F3355" s="2"/>
      <c r="G3355" s="2"/>
      <c r="H3355" s="2"/>
      <c r="I3355" s="2"/>
      <c r="J3355" s="2"/>
      <c r="K3355" s="2"/>
      <c r="L3355" s="24"/>
      <c r="M3355" s="24"/>
      <c r="N3355" s="24"/>
      <c r="O3355" s="24"/>
      <c r="P3355" s="24"/>
      <c r="Q3355" s="2"/>
      <c r="R3355" s="2"/>
      <c r="S3355" s="2"/>
      <c r="T3355" s="2"/>
      <c r="U3355" s="24"/>
      <c r="V3355" s="2"/>
      <c r="W3355" s="2"/>
      <c r="X3355" s="2"/>
      <c r="Y3355" s="2"/>
      <c r="Z3355" s="2"/>
    </row>
    <row r="3356">
      <c r="A3356" s="23"/>
      <c r="B3356" s="2"/>
      <c r="C3356" s="2"/>
      <c r="D3356" s="2"/>
      <c r="E3356" s="2"/>
      <c r="F3356" s="2"/>
      <c r="G3356" s="2"/>
      <c r="H3356" s="2"/>
      <c r="I3356" s="2"/>
      <c r="J3356" s="2"/>
      <c r="K3356" s="2"/>
      <c r="L3356" s="24"/>
      <c r="M3356" s="24"/>
      <c r="N3356" s="24"/>
      <c r="O3356" s="24"/>
      <c r="P3356" s="24"/>
      <c r="Q3356" s="2"/>
      <c r="R3356" s="2"/>
      <c r="S3356" s="2"/>
      <c r="T3356" s="2"/>
      <c r="U3356" s="24"/>
      <c r="V3356" s="2"/>
      <c r="W3356" s="2"/>
      <c r="X3356" s="2"/>
      <c r="Y3356" s="2"/>
      <c r="Z3356" s="2"/>
    </row>
    <row r="3357">
      <c r="A3357" s="23"/>
      <c r="B3357" s="2"/>
      <c r="C3357" s="2"/>
      <c r="D3357" s="2"/>
      <c r="E3357" s="2"/>
      <c r="F3357" s="2"/>
      <c r="G3357" s="2"/>
      <c r="H3357" s="2"/>
      <c r="I3357" s="2"/>
      <c r="J3357" s="2"/>
      <c r="K3357" s="2"/>
      <c r="L3357" s="24"/>
      <c r="M3357" s="24"/>
      <c r="N3357" s="24"/>
      <c r="O3357" s="24"/>
      <c r="P3357" s="24"/>
      <c r="Q3357" s="2"/>
      <c r="R3357" s="2"/>
      <c r="S3357" s="2"/>
      <c r="T3357" s="2"/>
      <c r="U3357" s="24"/>
      <c r="V3357" s="2"/>
      <c r="W3357" s="2"/>
      <c r="X3357" s="2"/>
      <c r="Y3357" s="2"/>
      <c r="Z3357" s="2"/>
    </row>
    <row r="3358">
      <c r="A3358" s="23"/>
      <c r="B3358" s="2"/>
      <c r="C3358" s="2"/>
      <c r="D3358" s="2"/>
      <c r="E3358" s="2"/>
      <c r="F3358" s="2"/>
      <c r="G3358" s="2"/>
      <c r="H3358" s="2"/>
      <c r="I3358" s="2"/>
      <c r="J3358" s="2"/>
      <c r="K3358" s="2"/>
      <c r="L3358" s="24"/>
      <c r="M3358" s="24"/>
      <c r="N3358" s="24"/>
      <c r="O3358" s="24"/>
      <c r="P3358" s="24"/>
      <c r="Q3358" s="2"/>
      <c r="R3358" s="2"/>
      <c r="S3358" s="2"/>
      <c r="T3358" s="2"/>
      <c r="U3358" s="24"/>
      <c r="V3358" s="2"/>
      <c r="W3358" s="2"/>
      <c r="X3358" s="2"/>
      <c r="Y3358" s="2"/>
      <c r="Z3358" s="2"/>
    </row>
    <row r="3359">
      <c r="A3359" s="23"/>
      <c r="B3359" s="2"/>
      <c r="C3359" s="2"/>
      <c r="D3359" s="2"/>
      <c r="E3359" s="2"/>
      <c r="F3359" s="2"/>
      <c r="G3359" s="2"/>
      <c r="H3359" s="2"/>
      <c r="I3359" s="2"/>
      <c r="J3359" s="2"/>
      <c r="K3359" s="2"/>
      <c r="L3359" s="24"/>
      <c r="M3359" s="24"/>
      <c r="N3359" s="24"/>
      <c r="O3359" s="24"/>
      <c r="P3359" s="24"/>
      <c r="Q3359" s="2"/>
      <c r="R3359" s="2"/>
      <c r="S3359" s="2"/>
      <c r="T3359" s="2"/>
      <c r="U3359" s="24"/>
      <c r="V3359" s="2"/>
      <c r="W3359" s="2"/>
      <c r="X3359" s="2"/>
      <c r="Y3359" s="2"/>
      <c r="Z3359" s="2"/>
    </row>
    <row r="3360">
      <c r="A3360" s="23"/>
      <c r="B3360" s="2"/>
      <c r="C3360" s="2"/>
      <c r="D3360" s="2"/>
      <c r="E3360" s="2"/>
      <c r="F3360" s="2"/>
      <c r="G3360" s="2"/>
      <c r="H3360" s="2"/>
      <c r="I3360" s="2"/>
      <c r="J3360" s="2"/>
      <c r="K3360" s="2"/>
      <c r="L3360" s="24"/>
      <c r="M3360" s="24"/>
      <c r="N3360" s="24"/>
      <c r="O3360" s="24"/>
      <c r="P3360" s="24"/>
      <c r="Q3360" s="2"/>
      <c r="R3360" s="2"/>
      <c r="S3360" s="2"/>
      <c r="T3360" s="2"/>
      <c r="U3360" s="24"/>
      <c r="V3360" s="2"/>
      <c r="W3360" s="2"/>
      <c r="X3360" s="2"/>
      <c r="Y3360" s="2"/>
      <c r="Z3360" s="2"/>
    </row>
    <row r="3361">
      <c r="A3361" s="23"/>
      <c r="B3361" s="2"/>
      <c r="C3361" s="2"/>
      <c r="D3361" s="2"/>
      <c r="E3361" s="2"/>
      <c r="F3361" s="2"/>
      <c r="G3361" s="2"/>
      <c r="H3361" s="2"/>
      <c r="I3361" s="2"/>
      <c r="J3361" s="2"/>
      <c r="K3361" s="2"/>
      <c r="L3361" s="24"/>
      <c r="M3361" s="24"/>
      <c r="N3361" s="24"/>
      <c r="O3361" s="24"/>
      <c r="P3361" s="24"/>
      <c r="Q3361" s="2"/>
      <c r="R3361" s="2"/>
      <c r="S3361" s="2"/>
      <c r="T3361" s="2"/>
      <c r="U3361" s="24"/>
      <c r="V3361" s="2"/>
      <c r="W3361" s="2"/>
      <c r="X3361" s="2"/>
      <c r="Y3361" s="2"/>
      <c r="Z3361" s="2"/>
    </row>
    <row r="3362">
      <c r="A3362" s="23"/>
      <c r="B3362" s="2"/>
      <c r="C3362" s="2"/>
      <c r="D3362" s="2"/>
      <c r="E3362" s="2"/>
      <c r="F3362" s="2"/>
      <c r="G3362" s="2"/>
      <c r="H3362" s="2"/>
      <c r="I3362" s="2"/>
      <c r="J3362" s="2"/>
      <c r="K3362" s="2"/>
      <c r="L3362" s="24"/>
      <c r="M3362" s="24"/>
      <c r="N3362" s="24"/>
      <c r="O3362" s="24"/>
      <c r="P3362" s="24"/>
      <c r="Q3362" s="2"/>
      <c r="R3362" s="2"/>
      <c r="S3362" s="2"/>
      <c r="T3362" s="2"/>
      <c r="U3362" s="24"/>
      <c r="V3362" s="2"/>
      <c r="W3362" s="2"/>
      <c r="X3362" s="2"/>
      <c r="Y3362" s="2"/>
      <c r="Z3362" s="2"/>
    </row>
    <row r="3363">
      <c r="A3363" s="23"/>
      <c r="B3363" s="2"/>
      <c r="C3363" s="2"/>
      <c r="D3363" s="2"/>
      <c r="E3363" s="2"/>
      <c r="F3363" s="2"/>
      <c r="G3363" s="2"/>
      <c r="H3363" s="2"/>
      <c r="I3363" s="2"/>
      <c r="J3363" s="2"/>
      <c r="K3363" s="2"/>
      <c r="L3363" s="24"/>
      <c r="M3363" s="24"/>
      <c r="N3363" s="24"/>
      <c r="O3363" s="24"/>
      <c r="P3363" s="24"/>
      <c r="Q3363" s="2"/>
      <c r="R3363" s="2"/>
      <c r="S3363" s="2"/>
      <c r="T3363" s="2"/>
      <c r="U3363" s="24"/>
      <c r="V3363" s="2"/>
      <c r="W3363" s="2"/>
      <c r="X3363" s="2"/>
      <c r="Y3363" s="2"/>
      <c r="Z3363" s="2"/>
    </row>
    <row r="3364">
      <c r="A3364" s="23"/>
      <c r="B3364" s="2"/>
      <c r="C3364" s="2"/>
      <c r="D3364" s="2"/>
      <c r="E3364" s="2"/>
      <c r="F3364" s="2"/>
      <c r="G3364" s="2"/>
      <c r="H3364" s="2"/>
      <c r="I3364" s="2"/>
      <c r="J3364" s="2"/>
      <c r="K3364" s="2"/>
      <c r="L3364" s="24"/>
      <c r="M3364" s="24"/>
      <c r="N3364" s="24"/>
      <c r="O3364" s="24"/>
      <c r="P3364" s="24"/>
      <c r="Q3364" s="2"/>
      <c r="R3364" s="2"/>
      <c r="S3364" s="2"/>
      <c r="T3364" s="2"/>
      <c r="U3364" s="24"/>
      <c r="V3364" s="2"/>
      <c r="W3364" s="2"/>
      <c r="X3364" s="2"/>
      <c r="Y3364" s="2"/>
      <c r="Z3364" s="2"/>
    </row>
    <row r="3365">
      <c r="A3365" s="23"/>
      <c r="B3365" s="2"/>
      <c r="C3365" s="2"/>
      <c r="D3365" s="2"/>
      <c r="E3365" s="2"/>
      <c r="F3365" s="2"/>
      <c r="G3365" s="2"/>
      <c r="H3365" s="2"/>
      <c r="I3365" s="2"/>
      <c r="J3365" s="2"/>
      <c r="K3365" s="2"/>
      <c r="L3365" s="24"/>
      <c r="M3365" s="24"/>
      <c r="N3365" s="24"/>
      <c r="O3365" s="24"/>
      <c r="P3365" s="24"/>
      <c r="Q3365" s="2"/>
      <c r="R3365" s="2"/>
      <c r="S3365" s="2"/>
      <c r="T3365" s="2"/>
      <c r="U3365" s="24"/>
      <c r="V3365" s="2"/>
      <c r="W3365" s="2"/>
      <c r="X3365" s="2"/>
      <c r="Y3365" s="2"/>
      <c r="Z3365" s="2"/>
    </row>
    <row r="3366">
      <c r="A3366" s="23"/>
      <c r="B3366" s="2"/>
      <c r="C3366" s="2"/>
      <c r="D3366" s="2"/>
      <c r="E3366" s="2"/>
      <c r="F3366" s="2"/>
      <c r="G3366" s="2"/>
      <c r="H3366" s="2"/>
      <c r="I3366" s="2"/>
      <c r="J3366" s="2"/>
      <c r="K3366" s="2"/>
      <c r="L3366" s="24"/>
      <c r="M3366" s="24"/>
      <c r="N3366" s="24"/>
      <c r="O3366" s="24"/>
      <c r="P3366" s="24"/>
      <c r="Q3366" s="2"/>
      <c r="R3366" s="2"/>
      <c r="S3366" s="2"/>
      <c r="T3366" s="2"/>
      <c r="U3366" s="24"/>
      <c r="V3366" s="2"/>
      <c r="W3366" s="2"/>
      <c r="X3366" s="2"/>
      <c r="Y3366" s="2"/>
      <c r="Z3366" s="2"/>
    </row>
    <row r="3367">
      <c r="A3367" s="23"/>
      <c r="B3367" s="2"/>
      <c r="C3367" s="2"/>
      <c r="D3367" s="2"/>
      <c r="E3367" s="2"/>
      <c r="F3367" s="2"/>
      <c r="G3367" s="2"/>
      <c r="H3367" s="2"/>
      <c r="I3367" s="2"/>
      <c r="J3367" s="2"/>
      <c r="K3367" s="2"/>
      <c r="L3367" s="24"/>
      <c r="M3367" s="24"/>
      <c r="N3367" s="24"/>
      <c r="O3367" s="24"/>
      <c r="P3367" s="24"/>
      <c r="Q3367" s="2"/>
      <c r="R3367" s="2"/>
      <c r="S3367" s="2"/>
      <c r="T3367" s="2"/>
      <c r="U3367" s="24"/>
      <c r="V3367" s="2"/>
      <c r="W3367" s="2"/>
      <c r="X3367" s="2"/>
      <c r="Y3367" s="2"/>
      <c r="Z3367" s="2"/>
    </row>
    <row r="3368">
      <c r="A3368" s="23"/>
      <c r="B3368" s="2"/>
      <c r="C3368" s="2"/>
      <c r="D3368" s="2"/>
      <c r="E3368" s="2"/>
      <c r="F3368" s="2"/>
      <c r="G3368" s="2"/>
      <c r="H3368" s="2"/>
      <c r="I3368" s="2"/>
      <c r="J3368" s="2"/>
      <c r="K3368" s="2"/>
      <c r="L3368" s="24"/>
      <c r="M3368" s="24"/>
      <c r="N3368" s="24"/>
      <c r="O3368" s="24"/>
      <c r="P3368" s="24"/>
      <c r="Q3368" s="2"/>
      <c r="R3368" s="2"/>
      <c r="S3368" s="2"/>
      <c r="T3368" s="2"/>
      <c r="U3368" s="24"/>
      <c r="V3368" s="2"/>
      <c r="W3368" s="2"/>
      <c r="X3368" s="2"/>
      <c r="Y3368" s="2"/>
      <c r="Z3368" s="2"/>
    </row>
    <row r="3369">
      <c r="A3369" s="23"/>
      <c r="B3369" s="2"/>
      <c r="C3369" s="2"/>
      <c r="D3369" s="2"/>
      <c r="E3369" s="2"/>
      <c r="F3369" s="2"/>
      <c r="G3369" s="2"/>
      <c r="H3369" s="2"/>
      <c r="I3369" s="2"/>
      <c r="J3369" s="2"/>
      <c r="K3369" s="2"/>
      <c r="L3369" s="24"/>
      <c r="M3369" s="24"/>
      <c r="N3369" s="24"/>
      <c r="O3369" s="24"/>
      <c r="P3369" s="24"/>
      <c r="Q3369" s="2"/>
      <c r="R3369" s="2"/>
      <c r="S3369" s="2"/>
      <c r="T3369" s="2"/>
      <c r="U3369" s="24"/>
      <c r="V3369" s="2"/>
      <c r="W3369" s="2"/>
      <c r="X3369" s="2"/>
      <c r="Y3369" s="2"/>
      <c r="Z3369" s="2"/>
    </row>
    <row r="3370">
      <c r="A3370" s="23"/>
      <c r="B3370" s="2"/>
      <c r="C3370" s="2"/>
      <c r="D3370" s="2"/>
      <c r="E3370" s="2"/>
      <c r="F3370" s="2"/>
      <c r="G3370" s="2"/>
      <c r="H3370" s="2"/>
      <c r="I3370" s="2"/>
      <c r="J3370" s="2"/>
      <c r="K3370" s="2"/>
      <c r="L3370" s="24"/>
      <c r="M3370" s="24"/>
      <c r="N3370" s="24"/>
      <c r="O3370" s="24"/>
      <c r="P3370" s="24"/>
      <c r="Q3370" s="2"/>
      <c r="R3370" s="2"/>
      <c r="S3370" s="2"/>
      <c r="T3370" s="2"/>
      <c r="U3370" s="24"/>
      <c r="V3370" s="2"/>
      <c r="W3370" s="2"/>
      <c r="X3370" s="2"/>
      <c r="Y3370" s="2"/>
      <c r="Z3370" s="2"/>
    </row>
    <row r="3371">
      <c r="A3371" s="23"/>
      <c r="B3371" s="2"/>
      <c r="C3371" s="2"/>
      <c r="D3371" s="2"/>
      <c r="E3371" s="2"/>
      <c r="F3371" s="2"/>
      <c r="G3371" s="2"/>
      <c r="H3371" s="2"/>
      <c r="I3371" s="2"/>
      <c r="J3371" s="2"/>
      <c r="K3371" s="2"/>
      <c r="L3371" s="24"/>
      <c r="M3371" s="24"/>
      <c r="N3371" s="24"/>
      <c r="O3371" s="24"/>
      <c r="P3371" s="24"/>
      <c r="Q3371" s="2"/>
      <c r="R3371" s="2"/>
      <c r="S3371" s="2"/>
      <c r="T3371" s="2"/>
      <c r="U3371" s="24"/>
      <c r="V3371" s="2"/>
      <c r="W3371" s="2"/>
      <c r="X3371" s="2"/>
      <c r="Y3371" s="2"/>
      <c r="Z3371" s="2"/>
    </row>
    <row r="3372">
      <c r="A3372" s="23"/>
      <c r="B3372" s="2"/>
      <c r="C3372" s="2"/>
      <c r="D3372" s="2"/>
      <c r="E3372" s="2"/>
      <c r="F3372" s="2"/>
      <c r="G3372" s="2"/>
      <c r="H3372" s="2"/>
      <c r="I3372" s="2"/>
      <c r="J3372" s="2"/>
      <c r="K3372" s="2"/>
      <c r="L3372" s="24"/>
      <c r="M3372" s="24"/>
      <c r="N3372" s="24"/>
      <c r="O3372" s="24"/>
      <c r="P3372" s="24"/>
      <c r="Q3372" s="2"/>
      <c r="R3372" s="2"/>
      <c r="S3372" s="2"/>
      <c r="T3372" s="2"/>
      <c r="U3372" s="24"/>
      <c r="V3372" s="2"/>
      <c r="W3372" s="2"/>
      <c r="X3372" s="2"/>
      <c r="Y3372" s="2"/>
      <c r="Z3372" s="2"/>
    </row>
    <row r="3373">
      <c r="A3373" s="23"/>
      <c r="B3373" s="2"/>
      <c r="C3373" s="2"/>
      <c r="D3373" s="2"/>
      <c r="E3373" s="2"/>
      <c r="F3373" s="2"/>
      <c r="G3373" s="2"/>
      <c r="H3373" s="2"/>
      <c r="I3373" s="2"/>
      <c r="J3373" s="2"/>
      <c r="K3373" s="2"/>
      <c r="L3373" s="24"/>
      <c r="M3373" s="24"/>
      <c r="N3373" s="24"/>
      <c r="O3373" s="24"/>
      <c r="P3373" s="24"/>
      <c r="Q3373" s="2"/>
      <c r="R3373" s="2"/>
      <c r="S3373" s="2"/>
      <c r="T3373" s="2"/>
      <c r="U3373" s="24"/>
      <c r="V3373" s="2"/>
      <c r="W3373" s="2"/>
      <c r="X3373" s="2"/>
      <c r="Y3373" s="2"/>
      <c r="Z3373" s="2"/>
    </row>
    <row r="3374">
      <c r="A3374" s="23"/>
      <c r="B3374" s="2"/>
      <c r="C3374" s="2"/>
      <c r="D3374" s="2"/>
      <c r="E3374" s="2"/>
      <c r="F3374" s="2"/>
      <c r="G3374" s="2"/>
      <c r="H3374" s="2"/>
      <c r="I3374" s="2"/>
      <c r="J3374" s="2"/>
      <c r="K3374" s="2"/>
      <c r="L3374" s="24"/>
      <c r="M3374" s="24"/>
      <c r="N3374" s="24"/>
      <c r="O3374" s="24"/>
      <c r="P3374" s="24"/>
      <c r="Q3374" s="2"/>
      <c r="R3374" s="2"/>
      <c r="S3374" s="2"/>
      <c r="T3374" s="2"/>
      <c r="U3374" s="24"/>
      <c r="V3374" s="2"/>
      <c r="W3374" s="2"/>
      <c r="X3374" s="2"/>
      <c r="Y3374" s="2"/>
      <c r="Z3374" s="2"/>
    </row>
    <row r="3375">
      <c r="A3375" s="23"/>
      <c r="B3375" s="2"/>
      <c r="C3375" s="2"/>
      <c r="D3375" s="2"/>
      <c r="E3375" s="2"/>
      <c r="F3375" s="2"/>
      <c r="G3375" s="2"/>
      <c r="H3375" s="2"/>
      <c r="I3375" s="2"/>
      <c r="J3375" s="2"/>
      <c r="K3375" s="2"/>
      <c r="L3375" s="24"/>
      <c r="M3375" s="24"/>
      <c r="N3375" s="24"/>
      <c r="O3375" s="24"/>
      <c r="P3375" s="24"/>
      <c r="Q3375" s="2"/>
      <c r="R3375" s="2"/>
      <c r="S3375" s="2"/>
      <c r="T3375" s="2"/>
      <c r="U3375" s="24"/>
      <c r="V3375" s="2"/>
      <c r="W3375" s="2"/>
      <c r="X3375" s="2"/>
      <c r="Y3375" s="2"/>
      <c r="Z3375" s="2"/>
    </row>
    <row r="3376">
      <c r="A3376" s="23"/>
      <c r="B3376" s="2"/>
      <c r="C3376" s="2"/>
      <c r="D3376" s="2"/>
      <c r="E3376" s="2"/>
      <c r="F3376" s="2"/>
      <c r="G3376" s="2"/>
      <c r="H3376" s="2"/>
      <c r="I3376" s="2"/>
      <c r="J3376" s="2"/>
      <c r="K3376" s="2"/>
      <c r="L3376" s="24"/>
      <c r="M3376" s="24"/>
      <c r="N3376" s="24"/>
      <c r="O3376" s="24"/>
      <c r="P3376" s="24"/>
      <c r="Q3376" s="2"/>
      <c r="R3376" s="2"/>
      <c r="S3376" s="2"/>
      <c r="T3376" s="2"/>
      <c r="U3376" s="24"/>
      <c r="V3376" s="2"/>
      <c r="W3376" s="2"/>
      <c r="X3376" s="2"/>
      <c r="Y3376" s="2"/>
      <c r="Z3376" s="2"/>
    </row>
    <row r="3377">
      <c r="A3377" s="23"/>
      <c r="B3377" s="2"/>
      <c r="C3377" s="2"/>
      <c r="D3377" s="2"/>
      <c r="E3377" s="2"/>
      <c r="F3377" s="2"/>
      <c r="G3377" s="2"/>
      <c r="H3377" s="2"/>
      <c r="I3377" s="2"/>
      <c r="J3377" s="2"/>
      <c r="K3377" s="2"/>
      <c r="L3377" s="24"/>
      <c r="M3377" s="24"/>
      <c r="N3377" s="24"/>
      <c r="O3377" s="24"/>
      <c r="P3377" s="24"/>
      <c r="Q3377" s="2"/>
      <c r="R3377" s="2"/>
      <c r="S3377" s="2"/>
      <c r="T3377" s="2"/>
      <c r="U3377" s="24"/>
      <c r="V3377" s="2"/>
      <c r="W3377" s="2"/>
      <c r="X3377" s="2"/>
      <c r="Y3377" s="2"/>
      <c r="Z3377" s="2"/>
    </row>
    <row r="3378">
      <c r="A3378" s="23"/>
      <c r="B3378" s="2"/>
      <c r="C3378" s="2"/>
      <c r="D3378" s="2"/>
      <c r="E3378" s="2"/>
      <c r="F3378" s="2"/>
      <c r="G3378" s="2"/>
      <c r="H3378" s="2"/>
      <c r="I3378" s="2"/>
      <c r="J3378" s="2"/>
      <c r="K3378" s="2"/>
      <c r="L3378" s="24"/>
      <c r="M3378" s="24"/>
      <c r="N3378" s="24"/>
      <c r="O3378" s="24"/>
      <c r="P3378" s="24"/>
      <c r="Q3378" s="2"/>
      <c r="R3378" s="2"/>
      <c r="S3378" s="2"/>
      <c r="T3378" s="2"/>
      <c r="U3378" s="24"/>
      <c r="V3378" s="2"/>
      <c r="W3378" s="2"/>
      <c r="X3378" s="2"/>
      <c r="Y3378" s="2"/>
      <c r="Z3378" s="2"/>
    </row>
    <row r="3379">
      <c r="A3379" s="23"/>
      <c r="B3379" s="2"/>
      <c r="C3379" s="2"/>
      <c r="D3379" s="2"/>
      <c r="E3379" s="2"/>
      <c r="F3379" s="2"/>
      <c r="G3379" s="2"/>
      <c r="H3379" s="2"/>
      <c r="I3379" s="2"/>
      <c r="J3379" s="2"/>
      <c r="K3379" s="2"/>
      <c r="L3379" s="24"/>
      <c r="M3379" s="24"/>
      <c r="N3379" s="24"/>
      <c r="O3379" s="24"/>
      <c r="P3379" s="24"/>
      <c r="Q3379" s="2"/>
      <c r="R3379" s="2"/>
      <c r="S3379" s="2"/>
      <c r="T3379" s="2"/>
      <c r="U3379" s="24"/>
      <c r="V3379" s="2"/>
      <c r="W3379" s="2"/>
      <c r="X3379" s="2"/>
      <c r="Y3379" s="2"/>
      <c r="Z3379" s="2"/>
    </row>
    <row r="3380">
      <c r="A3380" s="23"/>
      <c r="B3380" s="2"/>
      <c r="C3380" s="2"/>
      <c r="D3380" s="2"/>
      <c r="E3380" s="2"/>
      <c r="F3380" s="2"/>
      <c r="G3380" s="2"/>
      <c r="H3380" s="2"/>
      <c r="I3380" s="2"/>
      <c r="J3380" s="2"/>
      <c r="K3380" s="2"/>
      <c r="L3380" s="24"/>
      <c r="M3380" s="24"/>
      <c r="N3380" s="24"/>
      <c r="O3380" s="24"/>
      <c r="P3380" s="24"/>
      <c r="Q3380" s="2"/>
      <c r="R3380" s="2"/>
      <c r="S3380" s="2"/>
      <c r="T3380" s="2"/>
      <c r="U3380" s="24"/>
      <c r="V3380" s="2"/>
      <c r="W3380" s="2"/>
      <c r="X3380" s="2"/>
      <c r="Y3380" s="2"/>
      <c r="Z3380" s="2"/>
    </row>
    <row r="3381">
      <c r="A3381" s="23"/>
      <c r="B3381" s="2"/>
      <c r="C3381" s="2"/>
      <c r="D3381" s="2"/>
      <c r="E3381" s="2"/>
      <c r="F3381" s="2"/>
      <c r="G3381" s="2"/>
      <c r="H3381" s="2"/>
      <c r="I3381" s="2"/>
      <c r="J3381" s="2"/>
      <c r="K3381" s="2"/>
      <c r="L3381" s="24"/>
      <c r="M3381" s="24"/>
      <c r="N3381" s="24"/>
      <c r="O3381" s="24"/>
      <c r="P3381" s="24"/>
      <c r="Q3381" s="2"/>
      <c r="R3381" s="2"/>
      <c r="S3381" s="2"/>
      <c r="T3381" s="2"/>
      <c r="U3381" s="24"/>
      <c r="V3381" s="2"/>
      <c r="W3381" s="2"/>
      <c r="X3381" s="2"/>
      <c r="Y3381" s="2"/>
      <c r="Z3381" s="2"/>
    </row>
    <row r="3382">
      <c r="A3382" s="23"/>
      <c r="B3382" s="2"/>
      <c r="C3382" s="2"/>
      <c r="D3382" s="2"/>
      <c r="E3382" s="2"/>
      <c r="F3382" s="2"/>
      <c r="G3382" s="2"/>
      <c r="H3382" s="2"/>
      <c r="I3382" s="2"/>
      <c r="J3382" s="2"/>
      <c r="K3382" s="2"/>
      <c r="L3382" s="24"/>
      <c r="M3382" s="24"/>
      <c r="N3382" s="24"/>
      <c r="O3382" s="24"/>
      <c r="P3382" s="24"/>
      <c r="Q3382" s="2"/>
      <c r="R3382" s="2"/>
      <c r="S3382" s="2"/>
      <c r="T3382" s="2"/>
      <c r="U3382" s="24"/>
      <c r="V3382" s="2"/>
      <c r="W3382" s="2"/>
      <c r="X3382" s="2"/>
      <c r="Y3382" s="2"/>
      <c r="Z3382" s="2"/>
    </row>
    <row r="3383">
      <c r="A3383" s="23"/>
      <c r="B3383" s="2"/>
      <c r="C3383" s="2"/>
      <c r="D3383" s="2"/>
      <c r="E3383" s="2"/>
      <c r="F3383" s="2"/>
      <c r="G3383" s="2"/>
      <c r="H3383" s="2"/>
      <c r="I3383" s="2"/>
      <c r="J3383" s="2"/>
      <c r="K3383" s="2"/>
      <c r="L3383" s="24"/>
      <c r="M3383" s="24"/>
      <c r="N3383" s="24"/>
      <c r="O3383" s="24"/>
      <c r="P3383" s="24"/>
      <c r="Q3383" s="2"/>
      <c r="R3383" s="2"/>
      <c r="S3383" s="2"/>
      <c r="T3383" s="2"/>
      <c r="U3383" s="24"/>
      <c r="V3383" s="2"/>
      <c r="W3383" s="2"/>
      <c r="X3383" s="2"/>
      <c r="Y3383" s="2"/>
      <c r="Z3383" s="2"/>
    </row>
    <row r="3384">
      <c r="A3384" s="23"/>
      <c r="B3384" s="2"/>
      <c r="C3384" s="2"/>
      <c r="D3384" s="2"/>
      <c r="E3384" s="2"/>
      <c r="F3384" s="2"/>
      <c r="G3384" s="2"/>
      <c r="H3384" s="2"/>
      <c r="I3384" s="2"/>
      <c r="J3384" s="2"/>
      <c r="K3384" s="2"/>
      <c r="L3384" s="24"/>
      <c r="M3384" s="24"/>
      <c r="N3384" s="24"/>
      <c r="O3384" s="24"/>
      <c r="P3384" s="24"/>
      <c r="Q3384" s="2"/>
      <c r="R3384" s="2"/>
      <c r="S3384" s="2"/>
      <c r="T3384" s="2"/>
      <c r="U3384" s="24"/>
      <c r="V3384" s="2"/>
      <c r="W3384" s="2"/>
      <c r="X3384" s="2"/>
      <c r="Y3384" s="2"/>
      <c r="Z3384" s="2"/>
    </row>
    <row r="3385">
      <c r="A3385" s="23"/>
      <c r="B3385" s="2"/>
      <c r="C3385" s="2"/>
      <c r="D3385" s="2"/>
      <c r="E3385" s="2"/>
      <c r="F3385" s="2"/>
      <c r="G3385" s="2"/>
      <c r="H3385" s="2"/>
      <c r="I3385" s="2"/>
      <c r="J3385" s="2"/>
      <c r="K3385" s="2"/>
      <c r="L3385" s="24"/>
      <c r="M3385" s="24"/>
      <c r="N3385" s="24"/>
      <c r="O3385" s="24"/>
      <c r="P3385" s="24"/>
      <c r="Q3385" s="2"/>
      <c r="R3385" s="2"/>
      <c r="S3385" s="2"/>
      <c r="T3385" s="2"/>
      <c r="U3385" s="24"/>
      <c r="V3385" s="2"/>
      <c r="W3385" s="2"/>
      <c r="X3385" s="2"/>
      <c r="Y3385" s="2"/>
      <c r="Z3385" s="2"/>
    </row>
    <row r="3386">
      <c r="A3386" s="23"/>
      <c r="B3386" s="2"/>
      <c r="C3386" s="2"/>
      <c r="D3386" s="2"/>
      <c r="E3386" s="2"/>
      <c r="F3386" s="2"/>
      <c r="G3386" s="2"/>
      <c r="H3386" s="2"/>
      <c r="I3386" s="2"/>
      <c r="J3386" s="2"/>
      <c r="K3386" s="2"/>
      <c r="L3386" s="24"/>
      <c r="M3386" s="24"/>
      <c r="N3386" s="24"/>
      <c r="O3386" s="24"/>
      <c r="P3386" s="24"/>
      <c r="Q3386" s="2"/>
      <c r="R3386" s="2"/>
      <c r="S3386" s="2"/>
      <c r="T3386" s="2"/>
      <c r="U3386" s="24"/>
      <c r="V3386" s="2"/>
      <c r="W3386" s="2"/>
      <c r="X3386" s="2"/>
      <c r="Y3386" s="2"/>
      <c r="Z3386" s="2"/>
    </row>
    <row r="3387">
      <c r="A3387" s="23"/>
      <c r="B3387" s="2"/>
      <c r="C3387" s="2"/>
      <c r="D3387" s="2"/>
      <c r="E3387" s="2"/>
      <c r="F3387" s="2"/>
      <c r="G3387" s="2"/>
      <c r="H3387" s="2"/>
      <c r="I3387" s="2"/>
      <c r="J3387" s="2"/>
      <c r="K3387" s="2"/>
      <c r="L3387" s="24"/>
      <c r="M3387" s="24"/>
      <c r="N3387" s="24"/>
      <c r="O3387" s="24"/>
      <c r="P3387" s="24"/>
      <c r="Q3387" s="2"/>
      <c r="R3387" s="2"/>
      <c r="S3387" s="2"/>
      <c r="T3387" s="2"/>
      <c r="U3387" s="24"/>
      <c r="V3387" s="2"/>
      <c r="W3387" s="2"/>
      <c r="X3387" s="2"/>
      <c r="Y3387" s="2"/>
      <c r="Z3387" s="2"/>
    </row>
    <row r="3388">
      <c r="A3388" s="23"/>
      <c r="B3388" s="2"/>
      <c r="C3388" s="2"/>
      <c r="D3388" s="2"/>
      <c r="E3388" s="2"/>
      <c r="F3388" s="2"/>
      <c r="G3388" s="2"/>
      <c r="H3388" s="2"/>
      <c r="I3388" s="2"/>
      <c r="J3388" s="2"/>
      <c r="K3388" s="2"/>
      <c r="L3388" s="24"/>
      <c r="M3388" s="24"/>
      <c r="N3388" s="24"/>
      <c r="O3388" s="24"/>
      <c r="P3388" s="24"/>
      <c r="Q3388" s="2"/>
      <c r="R3388" s="2"/>
      <c r="S3388" s="2"/>
      <c r="T3388" s="2"/>
      <c r="U3388" s="24"/>
      <c r="V3388" s="2"/>
      <c r="W3388" s="2"/>
      <c r="X3388" s="2"/>
      <c r="Y3388" s="2"/>
      <c r="Z3388" s="2"/>
    </row>
    <row r="3389">
      <c r="A3389" s="23"/>
      <c r="B3389" s="2"/>
      <c r="C3389" s="2"/>
      <c r="D3389" s="2"/>
      <c r="E3389" s="2"/>
      <c r="F3389" s="2"/>
      <c r="G3389" s="2"/>
      <c r="H3389" s="2"/>
      <c r="I3389" s="2"/>
      <c r="J3389" s="2"/>
      <c r="K3389" s="2"/>
      <c r="L3389" s="24"/>
      <c r="M3389" s="24"/>
      <c r="N3389" s="24"/>
      <c r="O3389" s="24"/>
      <c r="P3389" s="24"/>
      <c r="Q3389" s="2"/>
      <c r="R3389" s="2"/>
      <c r="S3389" s="2"/>
      <c r="T3389" s="2"/>
      <c r="U3389" s="24"/>
      <c r="V3389" s="2"/>
      <c r="W3389" s="2"/>
      <c r="X3389" s="2"/>
      <c r="Y3389" s="2"/>
      <c r="Z3389" s="2"/>
    </row>
    <row r="3390">
      <c r="A3390" s="23"/>
      <c r="B3390" s="2"/>
      <c r="C3390" s="2"/>
      <c r="D3390" s="2"/>
      <c r="E3390" s="2"/>
      <c r="F3390" s="2"/>
      <c r="G3390" s="2"/>
      <c r="H3390" s="2"/>
      <c r="I3390" s="2"/>
      <c r="J3390" s="2"/>
      <c r="K3390" s="2"/>
      <c r="L3390" s="24"/>
      <c r="M3390" s="24"/>
      <c r="N3390" s="24"/>
      <c r="O3390" s="24"/>
      <c r="P3390" s="24"/>
      <c r="Q3390" s="2"/>
      <c r="R3390" s="2"/>
      <c r="S3390" s="2"/>
      <c r="T3390" s="2"/>
      <c r="U3390" s="24"/>
      <c r="V3390" s="2"/>
      <c r="W3390" s="2"/>
      <c r="X3390" s="2"/>
      <c r="Y3390" s="2"/>
      <c r="Z3390" s="2"/>
    </row>
    <row r="3391">
      <c r="A3391" s="23"/>
      <c r="B3391" s="2"/>
      <c r="C3391" s="2"/>
      <c r="D3391" s="2"/>
      <c r="E3391" s="2"/>
      <c r="F3391" s="2"/>
      <c r="G3391" s="2"/>
      <c r="H3391" s="2"/>
      <c r="I3391" s="2"/>
      <c r="J3391" s="2"/>
      <c r="K3391" s="2"/>
      <c r="L3391" s="24"/>
      <c r="M3391" s="24"/>
      <c r="N3391" s="24"/>
      <c r="O3391" s="24"/>
      <c r="P3391" s="24"/>
      <c r="Q3391" s="2"/>
      <c r="R3391" s="2"/>
      <c r="S3391" s="2"/>
      <c r="T3391" s="2"/>
      <c r="U3391" s="24"/>
      <c r="V3391" s="2"/>
      <c r="W3391" s="2"/>
      <c r="X3391" s="2"/>
      <c r="Y3391" s="2"/>
      <c r="Z3391" s="2"/>
    </row>
    <row r="3392">
      <c r="A3392" s="23"/>
      <c r="B3392" s="2"/>
      <c r="C3392" s="2"/>
      <c r="D3392" s="2"/>
      <c r="E3392" s="2"/>
      <c r="F3392" s="2"/>
      <c r="G3392" s="2"/>
      <c r="H3392" s="2"/>
      <c r="I3392" s="2"/>
      <c r="J3392" s="2"/>
      <c r="K3392" s="2"/>
      <c r="L3392" s="24"/>
      <c r="M3392" s="24"/>
      <c r="N3392" s="24"/>
      <c r="O3392" s="24"/>
      <c r="P3392" s="24"/>
      <c r="Q3392" s="2"/>
      <c r="R3392" s="2"/>
      <c r="S3392" s="2"/>
      <c r="T3392" s="2"/>
      <c r="U3392" s="24"/>
      <c r="V3392" s="2"/>
      <c r="W3392" s="2"/>
      <c r="X3392" s="2"/>
      <c r="Y3392" s="2"/>
      <c r="Z3392" s="2"/>
    </row>
    <row r="3393">
      <c r="A3393" s="23"/>
      <c r="B3393" s="2"/>
      <c r="C3393" s="2"/>
      <c r="D3393" s="2"/>
      <c r="E3393" s="2"/>
      <c r="F3393" s="2"/>
      <c r="G3393" s="2"/>
      <c r="H3393" s="2"/>
      <c r="I3393" s="2"/>
      <c r="J3393" s="2"/>
      <c r="K3393" s="2"/>
      <c r="L3393" s="24"/>
      <c r="M3393" s="24"/>
      <c r="N3393" s="24"/>
      <c r="O3393" s="24"/>
      <c r="P3393" s="24"/>
      <c r="Q3393" s="2"/>
      <c r="R3393" s="2"/>
      <c r="S3393" s="2"/>
      <c r="T3393" s="2"/>
      <c r="U3393" s="24"/>
      <c r="V3393" s="2"/>
      <c r="W3393" s="2"/>
      <c r="X3393" s="2"/>
      <c r="Y3393" s="2"/>
      <c r="Z3393" s="2"/>
    </row>
    <row r="3394">
      <c r="A3394" s="23"/>
      <c r="B3394" s="2"/>
      <c r="C3394" s="2"/>
      <c r="D3394" s="2"/>
      <c r="E3394" s="2"/>
      <c r="F3394" s="2"/>
      <c r="G3394" s="2"/>
      <c r="H3394" s="2"/>
      <c r="I3394" s="2"/>
      <c r="J3394" s="2"/>
      <c r="K3394" s="2"/>
      <c r="L3394" s="24"/>
      <c r="M3394" s="24"/>
      <c r="N3394" s="24"/>
      <c r="O3394" s="24"/>
      <c r="P3394" s="24"/>
      <c r="Q3394" s="2"/>
      <c r="R3394" s="2"/>
      <c r="S3394" s="2"/>
      <c r="T3394" s="2"/>
      <c r="U3394" s="24"/>
      <c r="V3394" s="2"/>
      <c r="W3394" s="2"/>
      <c r="X3394" s="2"/>
      <c r="Y3394" s="2"/>
      <c r="Z3394" s="2"/>
    </row>
    <row r="3395">
      <c r="A3395" s="23"/>
      <c r="B3395" s="2"/>
      <c r="C3395" s="2"/>
      <c r="D3395" s="2"/>
      <c r="E3395" s="2"/>
      <c r="F3395" s="2"/>
      <c r="G3395" s="2"/>
      <c r="H3395" s="2"/>
      <c r="I3395" s="2"/>
      <c r="J3395" s="2"/>
      <c r="K3395" s="2"/>
      <c r="L3395" s="24"/>
      <c r="M3395" s="24"/>
      <c r="N3395" s="24"/>
      <c r="O3395" s="24"/>
      <c r="P3395" s="24"/>
      <c r="Q3395" s="2"/>
      <c r="R3395" s="2"/>
      <c r="S3395" s="2"/>
      <c r="T3395" s="2"/>
      <c r="U3395" s="24"/>
      <c r="V3395" s="2"/>
      <c r="W3395" s="2"/>
      <c r="X3395" s="2"/>
      <c r="Y3395" s="2"/>
      <c r="Z3395" s="2"/>
    </row>
    <row r="3396">
      <c r="A3396" s="23"/>
      <c r="B3396" s="2"/>
      <c r="C3396" s="2"/>
      <c r="D3396" s="2"/>
      <c r="E3396" s="2"/>
      <c r="F3396" s="2"/>
      <c r="G3396" s="2"/>
      <c r="H3396" s="2"/>
      <c r="I3396" s="2"/>
      <c r="J3396" s="2"/>
      <c r="K3396" s="2"/>
      <c r="L3396" s="24"/>
      <c r="M3396" s="24"/>
      <c r="N3396" s="24"/>
      <c r="O3396" s="24"/>
      <c r="P3396" s="24"/>
      <c r="Q3396" s="2"/>
      <c r="R3396" s="2"/>
      <c r="S3396" s="2"/>
      <c r="T3396" s="2"/>
      <c r="U3396" s="24"/>
      <c r="V3396" s="2"/>
      <c r="W3396" s="2"/>
      <c r="X3396" s="2"/>
      <c r="Y3396" s="2"/>
      <c r="Z3396" s="2"/>
    </row>
    <row r="3397">
      <c r="A3397" s="23"/>
      <c r="B3397" s="2"/>
      <c r="C3397" s="2"/>
      <c r="D3397" s="2"/>
      <c r="E3397" s="2"/>
      <c r="F3397" s="2"/>
      <c r="G3397" s="2"/>
      <c r="H3397" s="2"/>
      <c r="I3397" s="2"/>
      <c r="J3397" s="2"/>
      <c r="K3397" s="2"/>
      <c r="L3397" s="24"/>
      <c r="M3397" s="24"/>
      <c r="N3397" s="24"/>
      <c r="O3397" s="24"/>
      <c r="P3397" s="24"/>
      <c r="Q3397" s="2"/>
      <c r="R3397" s="2"/>
      <c r="S3397" s="2"/>
      <c r="T3397" s="2"/>
      <c r="U3397" s="24"/>
      <c r="V3397" s="2"/>
      <c r="W3397" s="2"/>
      <c r="X3397" s="2"/>
      <c r="Y3397" s="2"/>
      <c r="Z3397" s="2"/>
    </row>
    <row r="3398">
      <c r="A3398" s="23"/>
      <c r="B3398" s="2"/>
      <c r="C3398" s="2"/>
      <c r="D3398" s="2"/>
      <c r="E3398" s="2"/>
      <c r="F3398" s="2"/>
      <c r="G3398" s="2"/>
      <c r="H3398" s="2"/>
      <c r="I3398" s="2"/>
      <c r="J3398" s="2"/>
      <c r="K3398" s="2"/>
      <c r="L3398" s="24"/>
      <c r="M3398" s="24"/>
      <c r="N3398" s="24"/>
      <c r="O3398" s="24"/>
      <c r="P3398" s="24"/>
      <c r="Q3398" s="2"/>
      <c r="R3398" s="2"/>
      <c r="S3398" s="2"/>
      <c r="T3398" s="2"/>
      <c r="U3398" s="24"/>
      <c r="V3398" s="2"/>
      <c r="W3398" s="2"/>
      <c r="X3398" s="2"/>
      <c r="Y3398" s="2"/>
      <c r="Z3398" s="2"/>
    </row>
    <row r="3399">
      <c r="A3399" s="23"/>
      <c r="B3399" s="2"/>
      <c r="C3399" s="2"/>
      <c r="D3399" s="2"/>
      <c r="E3399" s="2"/>
      <c r="F3399" s="2"/>
      <c r="G3399" s="2"/>
      <c r="H3399" s="2"/>
      <c r="I3399" s="2"/>
      <c r="J3399" s="2"/>
      <c r="K3399" s="2"/>
      <c r="L3399" s="24"/>
      <c r="M3399" s="24"/>
      <c r="N3399" s="24"/>
      <c r="O3399" s="24"/>
      <c r="P3399" s="24"/>
      <c r="Q3399" s="2"/>
      <c r="R3399" s="2"/>
      <c r="S3399" s="2"/>
      <c r="T3399" s="2"/>
      <c r="U3399" s="24"/>
      <c r="V3399" s="2"/>
      <c r="W3399" s="2"/>
      <c r="X3399" s="2"/>
      <c r="Y3399" s="2"/>
      <c r="Z3399" s="2"/>
    </row>
    <row r="3400">
      <c r="A3400" s="23"/>
      <c r="B3400" s="2"/>
      <c r="C3400" s="2"/>
      <c r="D3400" s="2"/>
      <c r="E3400" s="2"/>
      <c r="F3400" s="2"/>
      <c r="G3400" s="2"/>
      <c r="H3400" s="2"/>
      <c r="I3400" s="2"/>
      <c r="J3400" s="2"/>
      <c r="K3400" s="2"/>
      <c r="L3400" s="24"/>
      <c r="M3400" s="24"/>
      <c r="N3400" s="24"/>
      <c r="O3400" s="24"/>
      <c r="P3400" s="24"/>
      <c r="Q3400" s="2"/>
      <c r="R3400" s="2"/>
      <c r="S3400" s="2"/>
      <c r="T3400" s="2"/>
      <c r="U3400" s="24"/>
      <c r="V3400" s="2"/>
      <c r="W3400" s="2"/>
      <c r="X3400" s="2"/>
      <c r="Y3400" s="2"/>
      <c r="Z3400" s="2"/>
    </row>
    <row r="3401">
      <c r="A3401" s="23"/>
      <c r="B3401" s="2"/>
      <c r="C3401" s="2"/>
      <c r="D3401" s="2"/>
      <c r="E3401" s="2"/>
      <c r="F3401" s="2"/>
      <c r="G3401" s="2"/>
      <c r="H3401" s="2"/>
      <c r="I3401" s="2"/>
      <c r="J3401" s="2"/>
      <c r="K3401" s="2"/>
      <c r="L3401" s="24"/>
      <c r="M3401" s="24"/>
      <c r="N3401" s="24"/>
      <c r="O3401" s="24"/>
      <c r="P3401" s="24"/>
      <c r="Q3401" s="2"/>
      <c r="R3401" s="2"/>
      <c r="S3401" s="2"/>
      <c r="T3401" s="2"/>
      <c r="U3401" s="24"/>
      <c r="V3401" s="2"/>
      <c r="W3401" s="2"/>
      <c r="X3401" s="2"/>
      <c r="Y3401" s="2"/>
      <c r="Z3401" s="2"/>
    </row>
    <row r="3402">
      <c r="A3402" s="23"/>
      <c r="B3402" s="2"/>
      <c r="C3402" s="2"/>
      <c r="D3402" s="2"/>
      <c r="E3402" s="2"/>
      <c r="F3402" s="2"/>
      <c r="G3402" s="2"/>
      <c r="H3402" s="2"/>
      <c r="I3402" s="2"/>
      <c r="J3402" s="2"/>
      <c r="K3402" s="2"/>
      <c r="L3402" s="24"/>
      <c r="M3402" s="24"/>
      <c r="N3402" s="24"/>
      <c r="O3402" s="24"/>
      <c r="P3402" s="24"/>
      <c r="Q3402" s="2"/>
      <c r="R3402" s="2"/>
      <c r="S3402" s="2"/>
      <c r="T3402" s="2"/>
      <c r="U3402" s="24"/>
      <c r="V3402" s="2"/>
      <c r="W3402" s="2"/>
      <c r="X3402" s="2"/>
      <c r="Y3402" s="2"/>
      <c r="Z3402" s="2"/>
    </row>
    <row r="3403">
      <c r="A3403" s="23"/>
      <c r="B3403" s="2"/>
      <c r="C3403" s="2"/>
      <c r="D3403" s="2"/>
      <c r="E3403" s="2"/>
      <c r="F3403" s="2"/>
      <c r="G3403" s="2"/>
      <c r="H3403" s="2"/>
      <c r="I3403" s="2"/>
      <c r="J3403" s="2"/>
      <c r="K3403" s="2"/>
      <c r="L3403" s="24"/>
      <c r="M3403" s="24"/>
      <c r="N3403" s="24"/>
      <c r="O3403" s="24"/>
      <c r="P3403" s="24"/>
      <c r="Q3403" s="2"/>
      <c r="R3403" s="2"/>
      <c r="S3403" s="2"/>
      <c r="T3403" s="2"/>
      <c r="U3403" s="24"/>
      <c r="V3403" s="2"/>
      <c r="W3403" s="2"/>
      <c r="X3403" s="2"/>
      <c r="Y3403" s="2"/>
      <c r="Z3403" s="2"/>
    </row>
    <row r="3404">
      <c r="A3404" s="23"/>
      <c r="B3404" s="2"/>
      <c r="C3404" s="2"/>
      <c r="D3404" s="2"/>
      <c r="E3404" s="2"/>
      <c r="F3404" s="2"/>
      <c r="G3404" s="2"/>
      <c r="H3404" s="2"/>
      <c r="I3404" s="2"/>
      <c r="J3404" s="2"/>
      <c r="K3404" s="2"/>
      <c r="L3404" s="24"/>
      <c r="M3404" s="24"/>
      <c r="N3404" s="24"/>
      <c r="O3404" s="24"/>
      <c r="P3404" s="24"/>
      <c r="Q3404" s="2"/>
      <c r="R3404" s="2"/>
      <c r="S3404" s="2"/>
      <c r="T3404" s="2"/>
      <c r="U3404" s="24"/>
      <c r="V3404" s="2"/>
      <c r="W3404" s="2"/>
      <c r="X3404" s="2"/>
      <c r="Y3404" s="2"/>
      <c r="Z3404" s="2"/>
    </row>
    <row r="3405">
      <c r="A3405" s="23"/>
      <c r="B3405" s="2"/>
      <c r="C3405" s="2"/>
      <c r="D3405" s="2"/>
      <c r="E3405" s="2"/>
      <c r="F3405" s="2"/>
      <c r="G3405" s="2"/>
      <c r="H3405" s="2"/>
      <c r="I3405" s="2"/>
      <c r="J3405" s="2"/>
      <c r="K3405" s="2"/>
      <c r="L3405" s="24"/>
      <c r="M3405" s="24"/>
      <c r="N3405" s="24"/>
      <c r="O3405" s="24"/>
      <c r="P3405" s="24"/>
      <c r="Q3405" s="2"/>
      <c r="R3405" s="2"/>
      <c r="S3405" s="2"/>
      <c r="T3405" s="2"/>
      <c r="U3405" s="24"/>
      <c r="V3405" s="2"/>
      <c r="W3405" s="2"/>
      <c r="X3405" s="2"/>
      <c r="Y3405" s="2"/>
      <c r="Z3405" s="2"/>
    </row>
    <row r="3406">
      <c r="A3406" s="23"/>
      <c r="B3406" s="2"/>
      <c r="C3406" s="2"/>
      <c r="D3406" s="2"/>
      <c r="E3406" s="2"/>
      <c r="F3406" s="2"/>
      <c r="G3406" s="2"/>
      <c r="H3406" s="2"/>
      <c r="I3406" s="2"/>
      <c r="J3406" s="2"/>
      <c r="K3406" s="2"/>
      <c r="L3406" s="24"/>
      <c r="M3406" s="24"/>
      <c r="N3406" s="24"/>
      <c r="O3406" s="24"/>
      <c r="P3406" s="24"/>
      <c r="Q3406" s="2"/>
      <c r="R3406" s="2"/>
      <c r="S3406" s="2"/>
      <c r="T3406" s="2"/>
      <c r="U3406" s="24"/>
      <c r="V3406" s="2"/>
      <c r="W3406" s="2"/>
      <c r="X3406" s="2"/>
      <c r="Y3406" s="2"/>
      <c r="Z3406" s="2"/>
    </row>
    <row r="3407">
      <c r="A3407" s="23"/>
      <c r="B3407" s="2"/>
      <c r="C3407" s="2"/>
      <c r="D3407" s="2"/>
      <c r="E3407" s="2"/>
      <c r="F3407" s="2"/>
      <c r="G3407" s="2"/>
      <c r="H3407" s="2"/>
      <c r="I3407" s="2"/>
      <c r="J3407" s="2"/>
      <c r="K3407" s="2"/>
      <c r="L3407" s="24"/>
      <c r="M3407" s="24"/>
      <c r="N3407" s="24"/>
      <c r="O3407" s="24"/>
      <c r="P3407" s="24"/>
      <c r="Q3407" s="2"/>
      <c r="R3407" s="2"/>
      <c r="S3407" s="2"/>
      <c r="T3407" s="2"/>
      <c r="U3407" s="24"/>
      <c r="V3407" s="2"/>
      <c r="W3407" s="2"/>
      <c r="X3407" s="2"/>
      <c r="Y3407" s="2"/>
      <c r="Z3407" s="2"/>
    </row>
    <row r="3408">
      <c r="A3408" s="23"/>
      <c r="B3408" s="2"/>
      <c r="C3408" s="2"/>
      <c r="D3408" s="2"/>
      <c r="E3408" s="2"/>
      <c r="F3408" s="2"/>
      <c r="G3408" s="2"/>
      <c r="H3408" s="2"/>
      <c r="I3408" s="2"/>
      <c r="J3408" s="2"/>
      <c r="K3408" s="2"/>
      <c r="L3408" s="24"/>
      <c r="M3408" s="24"/>
      <c r="N3408" s="24"/>
      <c r="O3408" s="24"/>
      <c r="P3408" s="24"/>
      <c r="Q3408" s="2"/>
      <c r="R3408" s="2"/>
      <c r="S3408" s="2"/>
      <c r="T3408" s="2"/>
      <c r="U3408" s="24"/>
      <c r="V3408" s="2"/>
      <c r="W3408" s="2"/>
      <c r="X3408" s="2"/>
      <c r="Y3408" s="2"/>
      <c r="Z3408" s="2"/>
    </row>
    <row r="3409">
      <c r="A3409" s="23"/>
      <c r="B3409" s="2"/>
      <c r="C3409" s="2"/>
      <c r="D3409" s="2"/>
      <c r="E3409" s="2"/>
      <c r="F3409" s="2"/>
      <c r="G3409" s="2"/>
      <c r="H3409" s="2"/>
      <c r="I3409" s="2"/>
      <c r="J3409" s="2"/>
      <c r="K3409" s="2"/>
      <c r="L3409" s="24"/>
      <c r="M3409" s="24"/>
      <c r="N3409" s="24"/>
      <c r="O3409" s="24"/>
      <c r="P3409" s="24"/>
      <c r="Q3409" s="2"/>
      <c r="R3409" s="2"/>
      <c r="S3409" s="2"/>
      <c r="T3409" s="2"/>
      <c r="U3409" s="24"/>
      <c r="V3409" s="2"/>
      <c r="W3409" s="2"/>
      <c r="X3409" s="2"/>
      <c r="Y3409" s="2"/>
      <c r="Z3409" s="2"/>
    </row>
    <row r="3410">
      <c r="A3410" s="23"/>
      <c r="B3410" s="2"/>
      <c r="C3410" s="2"/>
      <c r="D3410" s="2"/>
      <c r="E3410" s="2"/>
      <c r="F3410" s="2"/>
      <c r="G3410" s="2"/>
      <c r="H3410" s="2"/>
      <c r="I3410" s="2"/>
      <c r="J3410" s="2"/>
      <c r="K3410" s="2"/>
      <c r="L3410" s="24"/>
      <c r="M3410" s="24"/>
      <c r="N3410" s="24"/>
      <c r="O3410" s="24"/>
      <c r="P3410" s="24"/>
      <c r="Q3410" s="2"/>
      <c r="R3410" s="2"/>
      <c r="S3410" s="2"/>
      <c r="T3410" s="2"/>
      <c r="U3410" s="24"/>
      <c r="V3410" s="2"/>
      <c r="W3410" s="2"/>
      <c r="X3410" s="2"/>
      <c r="Y3410" s="2"/>
      <c r="Z3410" s="2"/>
    </row>
    <row r="3411">
      <c r="A3411" s="23"/>
      <c r="B3411" s="2"/>
      <c r="C3411" s="2"/>
      <c r="D3411" s="2"/>
      <c r="E3411" s="2"/>
      <c r="F3411" s="2"/>
      <c r="G3411" s="2"/>
      <c r="H3411" s="2"/>
      <c r="I3411" s="2"/>
      <c r="J3411" s="2"/>
      <c r="K3411" s="2"/>
      <c r="L3411" s="24"/>
      <c r="M3411" s="24"/>
      <c r="N3411" s="24"/>
      <c r="O3411" s="24"/>
      <c r="P3411" s="24"/>
      <c r="Q3411" s="2"/>
      <c r="R3411" s="2"/>
      <c r="S3411" s="2"/>
      <c r="T3411" s="2"/>
      <c r="U3411" s="24"/>
      <c r="V3411" s="2"/>
      <c r="W3411" s="2"/>
      <c r="X3411" s="2"/>
      <c r="Y3411" s="2"/>
      <c r="Z3411" s="2"/>
    </row>
    <row r="3412">
      <c r="A3412" s="23"/>
      <c r="B3412" s="2"/>
      <c r="C3412" s="2"/>
      <c r="D3412" s="2"/>
      <c r="E3412" s="2"/>
      <c r="F3412" s="2"/>
      <c r="G3412" s="2"/>
      <c r="H3412" s="2"/>
      <c r="I3412" s="2"/>
      <c r="J3412" s="2"/>
      <c r="K3412" s="2"/>
      <c r="L3412" s="24"/>
      <c r="M3412" s="24"/>
      <c r="N3412" s="24"/>
      <c r="O3412" s="24"/>
      <c r="P3412" s="24"/>
      <c r="Q3412" s="2"/>
      <c r="R3412" s="2"/>
      <c r="S3412" s="2"/>
      <c r="T3412" s="2"/>
      <c r="U3412" s="24"/>
      <c r="V3412" s="2"/>
      <c r="W3412" s="2"/>
      <c r="X3412" s="2"/>
      <c r="Y3412" s="2"/>
      <c r="Z3412" s="2"/>
    </row>
    <row r="3413">
      <c r="A3413" s="23"/>
      <c r="B3413" s="2"/>
      <c r="C3413" s="2"/>
      <c r="D3413" s="2"/>
      <c r="E3413" s="2"/>
      <c r="F3413" s="2"/>
      <c r="G3413" s="2"/>
      <c r="H3413" s="2"/>
      <c r="I3413" s="2"/>
      <c r="J3413" s="2"/>
      <c r="K3413" s="2"/>
      <c r="L3413" s="24"/>
      <c r="M3413" s="24"/>
      <c r="N3413" s="24"/>
      <c r="O3413" s="24"/>
      <c r="P3413" s="24"/>
      <c r="Q3413" s="2"/>
      <c r="R3413" s="2"/>
      <c r="S3413" s="2"/>
      <c r="T3413" s="2"/>
      <c r="U3413" s="24"/>
      <c r="V3413" s="2"/>
      <c r="W3413" s="2"/>
      <c r="X3413" s="2"/>
      <c r="Y3413" s="2"/>
      <c r="Z3413" s="2"/>
    </row>
    <row r="3414">
      <c r="A3414" s="23"/>
      <c r="B3414" s="2"/>
      <c r="C3414" s="2"/>
      <c r="D3414" s="2"/>
      <c r="E3414" s="2"/>
      <c r="F3414" s="2"/>
      <c r="G3414" s="2"/>
      <c r="H3414" s="2"/>
      <c r="I3414" s="2"/>
      <c r="J3414" s="2"/>
      <c r="K3414" s="2"/>
      <c r="L3414" s="24"/>
      <c r="M3414" s="24"/>
      <c r="N3414" s="24"/>
      <c r="O3414" s="24"/>
      <c r="P3414" s="24"/>
      <c r="Q3414" s="2"/>
      <c r="R3414" s="2"/>
      <c r="S3414" s="2"/>
      <c r="T3414" s="2"/>
      <c r="U3414" s="24"/>
      <c r="V3414" s="2"/>
      <c r="W3414" s="2"/>
      <c r="X3414" s="2"/>
      <c r="Y3414" s="2"/>
      <c r="Z3414" s="2"/>
    </row>
    <row r="3415">
      <c r="A3415" s="23"/>
      <c r="B3415" s="2"/>
      <c r="C3415" s="2"/>
      <c r="D3415" s="2"/>
      <c r="E3415" s="2"/>
      <c r="F3415" s="2"/>
      <c r="G3415" s="2"/>
      <c r="H3415" s="2"/>
      <c r="I3415" s="2"/>
      <c r="J3415" s="2"/>
      <c r="K3415" s="2"/>
      <c r="L3415" s="24"/>
      <c r="M3415" s="24"/>
      <c r="N3415" s="24"/>
      <c r="O3415" s="24"/>
      <c r="P3415" s="24"/>
      <c r="Q3415" s="2"/>
      <c r="R3415" s="2"/>
      <c r="S3415" s="2"/>
      <c r="T3415" s="2"/>
      <c r="U3415" s="24"/>
      <c r="V3415" s="2"/>
      <c r="W3415" s="2"/>
      <c r="X3415" s="2"/>
      <c r="Y3415" s="2"/>
      <c r="Z3415" s="2"/>
    </row>
    <row r="3416">
      <c r="A3416" s="23"/>
      <c r="B3416" s="2"/>
      <c r="C3416" s="2"/>
      <c r="D3416" s="2"/>
      <c r="E3416" s="2"/>
      <c r="F3416" s="2"/>
      <c r="G3416" s="2"/>
      <c r="H3416" s="2"/>
      <c r="I3416" s="2"/>
      <c r="J3416" s="2"/>
      <c r="K3416" s="2"/>
      <c r="L3416" s="24"/>
      <c r="M3416" s="24"/>
      <c r="N3416" s="24"/>
      <c r="O3416" s="24"/>
      <c r="P3416" s="24"/>
      <c r="Q3416" s="2"/>
      <c r="R3416" s="2"/>
      <c r="S3416" s="2"/>
      <c r="T3416" s="2"/>
      <c r="U3416" s="24"/>
      <c r="V3416" s="2"/>
      <c r="W3416" s="2"/>
      <c r="X3416" s="2"/>
      <c r="Y3416" s="2"/>
      <c r="Z3416" s="2"/>
    </row>
    <row r="3417">
      <c r="A3417" s="23"/>
      <c r="B3417" s="2"/>
      <c r="C3417" s="2"/>
      <c r="D3417" s="2"/>
      <c r="E3417" s="2"/>
      <c r="F3417" s="2"/>
      <c r="G3417" s="2"/>
      <c r="H3417" s="2"/>
      <c r="I3417" s="2"/>
      <c r="J3417" s="2"/>
      <c r="K3417" s="2"/>
      <c r="L3417" s="24"/>
      <c r="M3417" s="24"/>
      <c r="N3417" s="24"/>
      <c r="O3417" s="24"/>
      <c r="P3417" s="24"/>
      <c r="Q3417" s="2"/>
      <c r="R3417" s="2"/>
      <c r="S3417" s="2"/>
      <c r="T3417" s="2"/>
      <c r="U3417" s="24"/>
      <c r="V3417" s="2"/>
      <c r="W3417" s="2"/>
      <c r="X3417" s="2"/>
      <c r="Y3417" s="2"/>
      <c r="Z3417" s="2"/>
    </row>
    <row r="3418">
      <c r="A3418" s="23"/>
      <c r="B3418" s="2"/>
      <c r="C3418" s="2"/>
      <c r="D3418" s="2"/>
      <c r="E3418" s="2"/>
      <c r="F3418" s="2"/>
      <c r="G3418" s="2"/>
      <c r="H3418" s="2"/>
      <c r="I3418" s="2"/>
      <c r="J3418" s="2"/>
      <c r="K3418" s="2"/>
      <c r="L3418" s="24"/>
      <c r="M3418" s="24"/>
      <c r="N3418" s="24"/>
      <c r="O3418" s="24"/>
      <c r="P3418" s="24"/>
      <c r="Q3418" s="2"/>
      <c r="R3418" s="2"/>
      <c r="S3418" s="2"/>
      <c r="T3418" s="2"/>
      <c r="U3418" s="24"/>
      <c r="V3418" s="2"/>
      <c r="W3418" s="2"/>
      <c r="X3418" s="2"/>
      <c r="Y3418" s="2"/>
      <c r="Z3418" s="2"/>
    </row>
    <row r="3419">
      <c r="A3419" s="23"/>
      <c r="B3419" s="2"/>
      <c r="C3419" s="2"/>
      <c r="D3419" s="2"/>
      <c r="E3419" s="2"/>
      <c r="F3419" s="2"/>
      <c r="G3419" s="2"/>
      <c r="H3419" s="2"/>
      <c r="I3419" s="2"/>
      <c r="J3419" s="2"/>
      <c r="K3419" s="2"/>
      <c r="L3419" s="24"/>
      <c r="M3419" s="24"/>
      <c r="N3419" s="24"/>
      <c r="O3419" s="24"/>
      <c r="P3419" s="24"/>
      <c r="Q3419" s="2"/>
      <c r="R3419" s="2"/>
      <c r="S3419" s="2"/>
      <c r="T3419" s="2"/>
      <c r="U3419" s="24"/>
      <c r="V3419" s="2"/>
      <c r="W3419" s="2"/>
      <c r="X3419" s="2"/>
      <c r="Y3419" s="2"/>
      <c r="Z3419" s="2"/>
    </row>
    <row r="3420">
      <c r="A3420" s="23"/>
      <c r="B3420" s="2"/>
      <c r="C3420" s="2"/>
      <c r="D3420" s="2"/>
      <c r="E3420" s="2"/>
      <c r="F3420" s="2"/>
      <c r="G3420" s="2"/>
      <c r="H3420" s="2"/>
      <c r="I3420" s="2"/>
      <c r="J3420" s="2"/>
      <c r="K3420" s="2"/>
      <c r="L3420" s="24"/>
      <c r="M3420" s="24"/>
      <c r="N3420" s="24"/>
      <c r="O3420" s="24"/>
      <c r="P3420" s="24"/>
      <c r="Q3420" s="2"/>
      <c r="R3420" s="2"/>
      <c r="S3420" s="2"/>
      <c r="T3420" s="2"/>
      <c r="U3420" s="24"/>
      <c r="V3420" s="2"/>
      <c r="W3420" s="2"/>
      <c r="X3420" s="2"/>
      <c r="Y3420" s="2"/>
      <c r="Z3420" s="2"/>
    </row>
    <row r="3421">
      <c r="A3421" s="23"/>
      <c r="B3421" s="2"/>
      <c r="C3421" s="2"/>
      <c r="D3421" s="2"/>
      <c r="E3421" s="2"/>
      <c r="F3421" s="2"/>
      <c r="G3421" s="2"/>
      <c r="H3421" s="2"/>
      <c r="I3421" s="2"/>
      <c r="J3421" s="2"/>
      <c r="K3421" s="2"/>
      <c r="L3421" s="24"/>
      <c r="M3421" s="24"/>
      <c r="N3421" s="24"/>
      <c r="O3421" s="24"/>
      <c r="P3421" s="24"/>
      <c r="Q3421" s="2"/>
      <c r="R3421" s="2"/>
      <c r="S3421" s="2"/>
      <c r="T3421" s="2"/>
      <c r="U3421" s="24"/>
      <c r="V3421" s="2"/>
      <c r="W3421" s="2"/>
      <c r="X3421" s="2"/>
      <c r="Y3421" s="2"/>
      <c r="Z3421" s="2"/>
    </row>
    <row r="3422">
      <c r="A3422" s="23"/>
      <c r="B3422" s="2"/>
      <c r="C3422" s="2"/>
      <c r="D3422" s="2"/>
      <c r="E3422" s="2"/>
      <c r="F3422" s="2"/>
      <c r="G3422" s="2"/>
      <c r="H3422" s="2"/>
      <c r="I3422" s="2"/>
      <c r="J3422" s="2"/>
      <c r="K3422" s="2"/>
      <c r="L3422" s="24"/>
      <c r="M3422" s="24"/>
      <c r="N3422" s="24"/>
      <c r="O3422" s="24"/>
      <c r="P3422" s="24"/>
      <c r="Q3422" s="2"/>
      <c r="R3422" s="2"/>
      <c r="S3422" s="2"/>
      <c r="T3422" s="2"/>
      <c r="U3422" s="24"/>
      <c r="V3422" s="2"/>
      <c r="W3422" s="2"/>
      <c r="X3422" s="2"/>
      <c r="Y3422" s="2"/>
      <c r="Z3422" s="2"/>
    </row>
    <row r="3423">
      <c r="A3423" s="23"/>
      <c r="B3423" s="2"/>
      <c r="C3423" s="2"/>
      <c r="D3423" s="2"/>
      <c r="E3423" s="2"/>
      <c r="F3423" s="2"/>
      <c r="G3423" s="2"/>
      <c r="H3423" s="2"/>
      <c r="I3423" s="2"/>
      <c r="J3423" s="2"/>
      <c r="K3423" s="2"/>
      <c r="L3423" s="24"/>
      <c r="M3423" s="24"/>
      <c r="N3423" s="24"/>
      <c r="O3423" s="24"/>
      <c r="P3423" s="24"/>
      <c r="Q3423" s="2"/>
      <c r="R3423" s="2"/>
      <c r="S3423" s="2"/>
      <c r="T3423" s="2"/>
      <c r="U3423" s="24"/>
      <c r="V3423" s="2"/>
      <c r="W3423" s="2"/>
      <c r="X3423" s="2"/>
      <c r="Y3423" s="2"/>
      <c r="Z3423" s="2"/>
    </row>
    <row r="3424">
      <c r="A3424" s="23"/>
      <c r="B3424" s="2"/>
      <c r="C3424" s="2"/>
      <c r="D3424" s="2"/>
      <c r="E3424" s="2"/>
      <c r="F3424" s="2"/>
      <c r="G3424" s="2"/>
      <c r="H3424" s="2"/>
      <c r="I3424" s="2"/>
      <c r="J3424" s="2"/>
      <c r="K3424" s="2"/>
      <c r="L3424" s="24"/>
      <c r="M3424" s="24"/>
      <c r="N3424" s="24"/>
      <c r="O3424" s="24"/>
      <c r="P3424" s="24"/>
      <c r="Q3424" s="2"/>
      <c r="R3424" s="2"/>
      <c r="S3424" s="2"/>
      <c r="T3424" s="2"/>
      <c r="U3424" s="24"/>
      <c r="V3424" s="2"/>
      <c r="W3424" s="2"/>
      <c r="X3424" s="2"/>
      <c r="Y3424" s="2"/>
      <c r="Z3424" s="2"/>
    </row>
    <row r="3425">
      <c r="A3425" s="23"/>
      <c r="B3425" s="2"/>
      <c r="C3425" s="2"/>
      <c r="D3425" s="2"/>
      <c r="E3425" s="2"/>
      <c r="F3425" s="2"/>
      <c r="G3425" s="2"/>
      <c r="H3425" s="2"/>
      <c r="I3425" s="2"/>
      <c r="J3425" s="2"/>
      <c r="K3425" s="2"/>
      <c r="L3425" s="24"/>
      <c r="M3425" s="24"/>
      <c r="N3425" s="24"/>
      <c r="O3425" s="24"/>
      <c r="P3425" s="24"/>
      <c r="Q3425" s="2"/>
      <c r="R3425" s="2"/>
      <c r="S3425" s="2"/>
      <c r="T3425" s="2"/>
      <c r="U3425" s="24"/>
      <c r="V3425" s="2"/>
      <c r="W3425" s="2"/>
      <c r="X3425" s="2"/>
      <c r="Y3425" s="2"/>
      <c r="Z3425" s="2"/>
    </row>
    <row r="3426">
      <c r="A3426" s="23"/>
      <c r="B3426" s="2"/>
      <c r="C3426" s="2"/>
      <c r="D3426" s="2"/>
      <c r="E3426" s="2"/>
      <c r="F3426" s="2"/>
      <c r="G3426" s="2"/>
      <c r="H3426" s="2"/>
      <c r="I3426" s="2"/>
      <c r="J3426" s="2"/>
      <c r="K3426" s="2"/>
      <c r="L3426" s="24"/>
      <c r="M3426" s="24"/>
      <c r="N3426" s="24"/>
      <c r="O3426" s="24"/>
      <c r="P3426" s="24"/>
      <c r="Q3426" s="2"/>
      <c r="R3426" s="2"/>
      <c r="S3426" s="2"/>
      <c r="T3426" s="2"/>
      <c r="U3426" s="24"/>
      <c r="V3426" s="2"/>
      <c r="W3426" s="2"/>
      <c r="X3426" s="2"/>
      <c r="Y3426" s="2"/>
      <c r="Z3426" s="2"/>
    </row>
    <row r="3427">
      <c r="A3427" s="23"/>
      <c r="B3427" s="2"/>
      <c r="C3427" s="2"/>
      <c r="D3427" s="2"/>
      <c r="E3427" s="2"/>
      <c r="F3427" s="2"/>
      <c r="G3427" s="2"/>
      <c r="H3427" s="2"/>
      <c r="I3427" s="2"/>
      <c r="J3427" s="2"/>
      <c r="K3427" s="2"/>
      <c r="L3427" s="24"/>
      <c r="M3427" s="24"/>
      <c r="N3427" s="24"/>
      <c r="O3427" s="24"/>
      <c r="P3427" s="24"/>
      <c r="Q3427" s="2"/>
      <c r="R3427" s="2"/>
      <c r="S3427" s="2"/>
      <c r="T3427" s="2"/>
      <c r="U3427" s="24"/>
      <c r="V3427" s="2"/>
      <c r="W3427" s="2"/>
      <c r="X3427" s="2"/>
      <c r="Y3427" s="2"/>
      <c r="Z3427" s="2"/>
    </row>
    <row r="3428">
      <c r="A3428" s="23"/>
      <c r="B3428" s="2"/>
      <c r="C3428" s="2"/>
      <c r="D3428" s="2"/>
      <c r="E3428" s="2"/>
      <c r="F3428" s="2"/>
      <c r="G3428" s="2"/>
      <c r="H3428" s="2"/>
      <c r="I3428" s="2"/>
      <c r="J3428" s="2"/>
      <c r="K3428" s="2"/>
      <c r="L3428" s="24"/>
      <c r="M3428" s="24"/>
      <c r="N3428" s="24"/>
      <c r="O3428" s="24"/>
      <c r="P3428" s="24"/>
      <c r="Q3428" s="2"/>
      <c r="R3428" s="2"/>
      <c r="S3428" s="2"/>
      <c r="T3428" s="2"/>
      <c r="U3428" s="24"/>
      <c r="V3428" s="2"/>
      <c r="W3428" s="2"/>
      <c r="X3428" s="2"/>
      <c r="Y3428" s="2"/>
      <c r="Z3428" s="2"/>
    </row>
    <row r="3429">
      <c r="A3429" s="23"/>
      <c r="B3429" s="2"/>
      <c r="C3429" s="2"/>
      <c r="D3429" s="2"/>
      <c r="E3429" s="2"/>
      <c r="F3429" s="2"/>
      <c r="G3429" s="2"/>
      <c r="H3429" s="2"/>
      <c r="I3429" s="2"/>
      <c r="J3429" s="2"/>
      <c r="K3429" s="2"/>
      <c r="L3429" s="24"/>
      <c r="M3429" s="24"/>
      <c r="N3429" s="24"/>
      <c r="O3429" s="24"/>
      <c r="P3429" s="24"/>
      <c r="Q3429" s="2"/>
      <c r="R3429" s="2"/>
      <c r="S3429" s="2"/>
      <c r="T3429" s="2"/>
      <c r="U3429" s="24"/>
      <c r="V3429" s="2"/>
      <c r="W3429" s="2"/>
      <c r="X3429" s="2"/>
      <c r="Y3429" s="2"/>
      <c r="Z3429" s="2"/>
    </row>
    <row r="3430">
      <c r="A3430" s="23"/>
      <c r="B3430" s="2"/>
      <c r="C3430" s="2"/>
      <c r="D3430" s="2"/>
      <c r="E3430" s="2"/>
      <c r="F3430" s="2"/>
      <c r="G3430" s="2"/>
      <c r="H3430" s="2"/>
      <c r="I3430" s="2"/>
      <c r="J3430" s="2"/>
      <c r="K3430" s="2"/>
      <c r="L3430" s="24"/>
      <c r="M3430" s="24"/>
      <c r="N3430" s="24"/>
      <c r="O3430" s="24"/>
      <c r="P3430" s="24"/>
      <c r="Q3430" s="2"/>
      <c r="R3430" s="2"/>
      <c r="S3430" s="2"/>
      <c r="T3430" s="2"/>
      <c r="U3430" s="24"/>
      <c r="V3430" s="2"/>
      <c r="W3430" s="2"/>
      <c r="X3430" s="2"/>
      <c r="Y3430" s="2"/>
      <c r="Z3430" s="2"/>
    </row>
    <row r="3431">
      <c r="A3431" s="23"/>
      <c r="B3431" s="2"/>
      <c r="C3431" s="2"/>
      <c r="D3431" s="2"/>
      <c r="E3431" s="2"/>
      <c r="F3431" s="2"/>
      <c r="G3431" s="2"/>
      <c r="H3431" s="2"/>
      <c r="I3431" s="2"/>
      <c r="J3431" s="2"/>
      <c r="K3431" s="2"/>
      <c r="L3431" s="24"/>
      <c r="M3431" s="24"/>
      <c r="N3431" s="24"/>
      <c r="O3431" s="24"/>
      <c r="P3431" s="24"/>
      <c r="Q3431" s="2"/>
      <c r="R3431" s="2"/>
      <c r="S3431" s="2"/>
      <c r="T3431" s="2"/>
      <c r="U3431" s="24"/>
      <c r="V3431" s="2"/>
      <c r="W3431" s="2"/>
      <c r="X3431" s="2"/>
      <c r="Y3431" s="2"/>
      <c r="Z3431" s="2"/>
    </row>
    <row r="3432">
      <c r="A3432" s="23"/>
      <c r="B3432" s="2"/>
      <c r="C3432" s="2"/>
      <c r="D3432" s="2"/>
      <c r="E3432" s="2"/>
      <c r="F3432" s="2"/>
      <c r="G3432" s="2"/>
      <c r="H3432" s="2"/>
      <c r="I3432" s="2"/>
      <c r="J3432" s="2"/>
      <c r="K3432" s="2"/>
      <c r="L3432" s="24"/>
      <c r="M3432" s="24"/>
      <c r="N3432" s="24"/>
      <c r="O3432" s="24"/>
      <c r="P3432" s="24"/>
      <c r="Q3432" s="2"/>
      <c r="R3432" s="2"/>
      <c r="S3432" s="2"/>
      <c r="T3432" s="2"/>
      <c r="U3432" s="24"/>
      <c r="V3432" s="2"/>
      <c r="W3432" s="2"/>
      <c r="X3432" s="2"/>
      <c r="Y3432" s="2"/>
      <c r="Z3432" s="2"/>
    </row>
    <row r="3433">
      <c r="A3433" s="23"/>
      <c r="B3433" s="2"/>
      <c r="C3433" s="2"/>
      <c r="D3433" s="2"/>
      <c r="E3433" s="2"/>
      <c r="F3433" s="2"/>
      <c r="G3433" s="2"/>
      <c r="H3433" s="2"/>
      <c r="I3433" s="2"/>
      <c r="J3433" s="2"/>
      <c r="K3433" s="2"/>
      <c r="L3433" s="24"/>
      <c r="M3433" s="24"/>
      <c r="N3433" s="24"/>
      <c r="O3433" s="24"/>
      <c r="P3433" s="24"/>
      <c r="Q3433" s="2"/>
      <c r="R3433" s="2"/>
      <c r="S3433" s="2"/>
      <c r="T3433" s="2"/>
      <c r="U3433" s="24"/>
      <c r="V3433" s="2"/>
      <c r="W3433" s="2"/>
      <c r="X3433" s="2"/>
      <c r="Y3433" s="2"/>
      <c r="Z3433" s="2"/>
    </row>
    <row r="3434">
      <c r="A3434" s="23"/>
      <c r="B3434" s="2"/>
      <c r="C3434" s="2"/>
      <c r="D3434" s="2"/>
      <c r="E3434" s="2"/>
      <c r="F3434" s="2"/>
      <c r="G3434" s="2"/>
      <c r="H3434" s="2"/>
      <c r="I3434" s="2"/>
      <c r="J3434" s="2"/>
      <c r="K3434" s="2"/>
      <c r="L3434" s="24"/>
      <c r="M3434" s="24"/>
      <c r="N3434" s="24"/>
      <c r="O3434" s="24"/>
      <c r="P3434" s="24"/>
      <c r="Q3434" s="2"/>
      <c r="R3434" s="2"/>
      <c r="S3434" s="2"/>
      <c r="T3434" s="2"/>
      <c r="U3434" s="24"/>
      <c r="V3434" s="2"/>
      <c r="W3434" s="2"/>
      <c r="X3434" s="2"/>
      <c r="Y3434" s="2"/>
      <c r="Z3434" s="2"/>
    </row>
    <row r="3435">
      <c r="A3435" s="23"/>
      <c r="B3435" s="2"/>
      <c r="C3435" s="2"/>
      <c r="D3435" s="2"/>
      <c r="E3435" s="2"/>
      <c r="F3435" s="2"/>
      <c r="G3435" s="2"/>
      <c r="H3435" s="2"/>
      <c r="I3435" s="2"/>
      <c r="J3435" s="2"/>
      <c r="K3435" s="2"/>
      <c r="L3435" s="24"/>
      <c r="M3435" s="24"/>
      <c r="N3435" s="24"/>
      <c r="O3435" s="24"/>
      <c r="P3435" s="24"/>
      <c r="Q3435" s="2"/>
      <c r="R3435" s="2"/>
      <c r="S3435" s="2"/>
      <c r="T3435" s="2"/>
      <c r="U3435" s="24"/>
      <c r="V3435" s="2"/>
      <c r="W3435" s="2"/>
      <c r="X3435" s="2"/>
      <c r="Y3435" s="2"/>
      <c r="Z3435" s="2"/>
    </row>
    <row r="3436">
      <c r="A3436" s="23"/>
      <c r="B3436" s="2"/>
      <c r="C3436" s="2"/>
      <c r="D3436" s="2"/>
      <c r="E3436" s="2"/>
      <c r="F3436" s="2"/>
      <c r="G3436" s="2"/>
      <c r="H3436" s="2"/>
      <c r="I3436" s="2"/>
      <c r="J3436" s="2"/>
      <c r="K3436" s="2"/>
      <c r="L3436" s="24"/>
      <c r="M3436" s="24"/>
      <c r="N3436" s="24"/>
      <c r="O3436" s="24"/>
      <c r="P3436" s="24"/>
      <c r="Q3436" s="2"/>
      <c r="R3436" s="2"/>
      <c r="S3436" s="2"/>
      <c r="T3436" s="2"/>
      <c r="U3436" s="24"/>
      <c r="V3436" s="2"/>
      <c r="W3436" s="2"/>
      <c r="X3436" s="2"/>
      <c r="Y3436" s="2"/>
      <c r="Z3436" s="2"/>
    </row>
    <row r="3437">
      <c r="A3437" s="23"/>
      <c r="B3437" s="2"/>
      <c r="C3437" s="2"/>
      <c r="D3437" s="2"/>
      <c r="E3437" s="2"/>
      <c r="F3437" s="2"/>
      <c r="G3437" s="2"/>
      <c r="H3437" s="2"/>
      <c r="I3437" s="2"/>
      <c r="J3437" s="2"/>
      <c r="K3437" s="2"/>
      <c r="L3437" s="24"/>
      <c r="M3437" s="24"/>
      <c r="N3437" s="24"/>
      <c r="O3437" s="24"/>
      <c r="P3437" s="24"/>
      <c r="Q3437" s="2"/>
      <c r="R3437" s="2"/>
      <c r="S3437" s="2"/>
      <c r="T3437" s="2"/>
      <c r="U3437" s="24"/>
      <c r="V3437" s="2"/>
      <c r="W3437" s="2"/>
      <c r="X3437" s="2"/>
      <c r="Y3437" s="2"/>
      <c r="Z3437" s="2"/>
    </row>
    <row r="3438">
      <c r="A3438" s="23"/>
      <c r="B3438" s="2"/>
      <c r="C3438" s="2"/>
      <c r="D3438" s="2"/>
      <c r="E3438" s="2"/>
      <c r="F3438" s="2"/>
      <c r="G3438" s="2"/>
      <c r="H3438" s="2"/>
      <c r="I3438" s="2"/>
      <c r="J3438" s="2"/>
      <c r="K3438" s="2"/>
      <c r="L3438" s="24"/>
      <c r="M3438" s="24"/>
      <c r="N3438" s="24"/>
      <c r="O3438" s="24"/>
      <c r="P3438" s="24"/>
      <c r="Q3438" s="2"/>
      <c r="R3438" s="2"/>
      <c r="S3438" s="2"/>
      <c r="T3438" s="2"/>
      <c r="U3438" s="24"/>
      <c r="V3438" s="2"/>
      <c r="W3438" s="2"/>
      <c r="X3438" s="2"/>
      <c r="Y3438" s="2"/>
      <c r="Z3438" s="2"/>
    </row>
    <row r="3439">
      <c r="A3439" s="23"/>
      <c r="B3439" s="2"/>
      <c r="C3439" s="2"/>
      <c r="D3439" s="2"/>
      <c r="E3439" s="2"/>
      <c r="F3439" s="2"/>
      <c r="G3439" s="2"/>
      <c r="H3439" s="2"/>
      <c r="I3439" s="2"/>
      <c r="J3439" s="2"/>
      <c r="K3439" s="2"/>
      <c r="L3439" s="24"/>
      <c r="M3439" s="24"/>
      <c r="N3439" s="24"/>
      <c r="O3439" s="24"/>
      <c r="P3439" s="24"/>
      <c r="Q3439" s="2"/>
      <c r="R3439" s="2"/>
      <c r="S3439" s="2"/>
      <c r="T3439" s="2"/>
      <c r="U3439" s="24"/>
      <c r="V3439" s="2"/>
      <c r="W3439" s="2"/>
      <c r="X3439" s="2"/>
      <c r="Y3439" s="2"/>
      <c r="Z3439" s="2"/>
    </row>
    <row r="3440">
      <c r="A3440" s="23"/>
      <c r="B3440" s="2"/>
      <c r="C3440" s="2"/>
      <c r="D3440" s="2"/>
      <c r="E3440" s="2"/>
      <c r="F3440" s="2"/>
      <c r="G3440" s="2"/>
      <c r="H3440" s="2"/>
      <c r="I3440" s="2"/>
      <c r="J3440" s="2"/>
      <c r="K3440" s="2"/>
      <c r="L3440" s="24"/>
      <c r="M3440" s="24"/>
      <c r="N3440" s="24"/>
      <c r="O3440" s="24"/>
      <c r="P3440" s="24"/>
      <c r="Q3440" s="2"/>
      <c r="R3440" s="2"/>
      <c r="S3440" s="2"/>
      <c r="T3440" s="2"/>
      <c r="U3440" s="24"/>
      <c r="V3440" s="2"/>
      <c r="W3440" s="2"/>
      <c r="X3440" s="2"/>
      <c r="Y3440" s="2"/>
      <c r="Z3440" s="2"/>
    </row>
    <row r="3441">
      <c r="A3441" s="23"/>
      <c r="B3441" s="2"/>
      <c r="C3441" s="2"/>
      <c r="D3441" s="2"/>
      <c r="E3441" s="2"/>
      <c r="F3441" s="2"/>
      <c r="G3441" s="2"/>
      <c r="H3441" s="2"/>
      <c r="I3441" s="2"/>
      <c r="J3441" s="2"/>
      <c r="K3441" s="2"/>
      <c r="L3441" s="24"/>
      <c r="M3441" s="24"/>
      <c r="N3441" s="24"/>
      <c r="O3441" s="24"/>
      <c r="P3441" s="24"/>
      <c r="Q3441" s="2"/>
      <c r="R3441" s="2"/>
      <c r="S3441" s="2"/>
      <c r="T3441" s="2"/>
      <c r="U3441" s="24"/>
      <c r="V3441" s="2"/>
      <c r="W3441" s="2"/>
      <c r="X3441" s="2"/>
      <c r="Y3441" s="2"/>
      <c r="Z3441" s="2"/>
    </row>
    <row r="3442">
      <c r="A3442" s="23"/>
      <c r="B3442" s="2"/>
      <c r="C3442" s="2"/>
      <c r="D3442" s="2"/>
      <c r="E3442" s="2"/>
      <c r="F3442" s="2"/>
      <c r="G3442" s="2"/>
      <c r="H3442" s="2"/>
      <c r="I3442" s="2"/>
      <c r="J3442" s="2"/>
      <c r="K3442" s="2"/>
      <c r="L3442" s="24"/>
      <c r="M3442" s="24"/>
      <c r="N3442" s="24"/>
      <c r="O3442" s="24"/>
      <c r="P3442" s="24"/>
      <c r="Q3442" s="2"/>
      <c r="R3442" s="2"/>
      <c r="S3442" s="2"/>
      <c r="T3442" s="2"/>
      <c r="U3442" s="24"/>
      <c r="V3442" s="2"/>
      <c r="W3442" s="2"/>
      <c r="X3442" s="2"/>
      <c r="Y3442" s="2"/>
      <c r="Z3442" s="2"/>
    </row>
    <row r="3443">
      <c r="A3443" s="23"/>
      <c r="B3443" s="2"/>
      <c r="C3443" s="2"/>
      <c r="D3443" s="2"/>
      <c r="E3443" s="2"/>
      <c r="F3443" s="2"/>
      <c r="G3443" s="2"/>
      <c r="H3443" s="2"/>
      <c r="I3443" s="2"/>
      <c r="J3443" s="2"/>
      <c r="K3443" s="2"/>
      <c r="L3443" s="24"/>
      <c r="M3443" s="24"/>
      <c r="N3443" s="24"/>
      <c r="O3443" s="24"/>
      <c r="P3443" s="24"/>
      <c r="Q3443" s="2"/>
      <c r="R3443" s="2"/>
      <c r="S3443" s="2"/>
      <c r="T3443" s="2"/>
      <c r="U3443" s="24"/>
      <c r="V3443" s="2"/>
      <c r="W3443" s="2"/>
      <c r="X3443" s="2"/>
      <c r="Y3443" s="2"/>
      <c r="Z3443" s="2"/>
    </row>
    <row r="3444">
      <c r="A3444" s="23"/>
      <c r="B3444" s="2"/>
      <c r="C3444" s="2"/>
      <c r="D3444" s="2"/>
      <c r="E3444" s="2"/>
      <c r="F3444" s="2"/>
      <c r="G3444" s="2"/>
      <c r="H3444" s="2"/>
      <c r="I3444" s="2"/>
      <c r="J3444" s="2"/>
      <c r="K3444" s="2"/>
      <c r="L3444" s="24"/>
      <c r="M3444" s="24"/>
      <c r="N3444" s="24"/>
      <c r="O3444" s="24"/>
      <c r="P3444" s="24"/>
      <c r="Q3444" s="2"/>
      <c r="R3444" s="2"/>
      <c r="S3444" s="2"/>
      <c r="T3444" s="2"/>
      <c r="U3444" s="24"/>
      <c r="V3444" s="2"/>
      <c r="W3444" s="2"/>
      <c r="X3444" s="2"/>
      <c r="Y3444" s="2"/>
      <c r="Z3444" s="2"/>
    </row>
    <row r="3445">
      <c r="A3445" s="23"/>
      <c r="B3445" s="2"/>
      <c r="C3445" s="2"/>
      <c r="D3445" s="2"/>
      <c r="E3445" s="2"/>
      <c r="F3445" s="2"/>
      <c r="G3445" s="2"/>
      <c r="H3445" s="2"/>
      <c r="I3445" s="2"/>
      <c r="J3445" s="2"/>
      <c r="K3445" s="2"/>
      <c r="L3445" s="24"/>
      <c r="M3445" s="24"/>
      <c r="N3445" s="24"/>
      <c r="O3445" s="24"/>
      <c r="P3445" s="24"/>
      <c r="Q3445" s="2"/>
      <c r="R3445" s="2"/>
      <c r="S3445" s="2"/>
      <c r="T3445" s="2"/>
      <c r="U3445" s="24"/>
      <c r="V3445" s="2"/>
      <c r="W3445" s="2"/>
      <c r="X3445" s="2"/>
      <c r="Y3445" s="2"/>
      <c r="Z3445" s="2"/>
    </row>
    <row r="3446">
      <c r="A3446" s="23"/>
      <c r="B3446" s="2"/>
      <c r="C3446" s="2"/>
      <c r="D3446" s="2"/>
      <c r="E3446" s="2"/>
      <c r="F3446" s="2"/>
      <c r="G3446" s="2"/>
      <c r="H3446" s="2"/>
      <c r="I3446" s="2"/>
      <c r="J3446" s="2"/>
      <c r="K3446" s="2"/>
      <c r="L3446" s="24"/>
      <c r="M3446" s="24"/>
      <c r="N3446" s="24"/>
      <c r="O3446" s="24"/>
      <c r="P3446" s="24"/>
      <c r="Q3446" s="2"/>
      <c r="R3446" s="2"/>
      <c r="S3446" s="2"/>
      <c r="T3446" s="2"/>
      <c r="U3446" s="24"/>
      <c r="V3446" s="2"/>
      <c r="W3446" s="2"/>
      <c r="X3446" s="2"/>
      <c r="Y3446" s="2"/>
      <c r="Z3446" s="2"/>
    </row>
    <row r="3447">
      <c r="A3447" s="23"/>
      <c r="B3447" s="2"/>
      <c r="C3447" s="2"/>
      <c r="D3447" s="2"/>
      <c r="E3447" s="2"/>
      <c r="F3447" s="2"/>
      <c r="G3447" s="2"/>
      <c r="H3447" s="2"/>
      <c r="I3447" s="2"/>
      <c r="J3447" s="2"/>
      <c r="K3447" s="2"/>
      <c r="L3447" s="24"/>
      <c r="M3447" s="24"/>
      <c r="N3447" s="24"/>
      <c r="O3447" s="24"/>
      <c r="P3447" s="24"/>
      <c r="Q3447" s="2"/>
      <c r="R3447" s="2"/>
      <c r="S3447" s="2"/>
      <c r="T3447" s="2"/>
      <c r="U3447" s="24"/>
      <c r="V3447" s="2"/>
      <c r="W3447" s="2"/>
      <c r="X3447" s="2"/>
      <c r="Y3447" s="2"/>
      <c r="Z3447" s="2"/>
    </row>
    <row r="3448">
      <c r="A3448" s="23"/>
      <c r="B3448" s="2"/>
      <c r="C3448" s="2"/>
      <c r="D3448" s="2"/>
      <c r="E3448" s="2"/>
      <c r="F3448" s="2"/>
      <c r="G3448" s="2"/>
      <c r="H3448" s="2"/>
      <c r="I3448" s="2"/>
      <c r="J3448" s="2"/>
      <c r="K3448" s="2"/>
      <c r="L3448" s="24"/>
      <c r="M3448" s="24"/>
      <c r="N3448" s="24"/>
      <c r="O3448" s="24"/>
      <c r="P3448" s="24"/>
      <c r="Q3448" s="2"/>
      <c r="R3448" s="2"/>
      <c r="S3448" s="2"/>
      <c r="T3448" s="2"/>
      <c r="U3448" s="24"/>
      <c r="V3448" s="2"/>
      <c r="W3448" s="2"/>
      <c r="X3448" s="2"/>
      <c r="Y3448" s="2"/>
      <c r="Z3448" s="2"/>
    </row>
    <row r="3449">
      <c r="A3449" s="23"/>
      <c r="B3449" s="2"/>
      <c r="C3449" s="2"/>
      <c r="D3449" s="2"/>
      <c r="E3449" s="2"/>
      <c r="F3449" s="2"/>
      <c r="G3449" s="2"/>
      <c r="H3449" s="2"/>
      <c r="I3449" s="2"/>
      <c r="J3449" s="2"/>
      <c r="K3449" s="2"/>
      <c r="L3449" s="24"/>
      <c r="M3449" s="24"/>
      <c r="N3449" s="24"/>
      <c r="O3449" s="24"/>
      <c r="P3449" s="24"/>
      <c r="Q3449" s="2"/>
      <c r="R3449" s="2"/>
      <c r="S3449" s="2"/>
      <c r="T3449" s="2"/>
      <c r="U3449" s="24"/>
      <c r="V3449" s="2"/>
      <c r="W3449" s="2"/>
      <c r="X3449" s="2"/>
      <c r="Y3449" s="2"/>
      <c r="Z3449" s="2"/>
    </row>
    <row r="3450">
      <c r="A3450" s="23"/>
      <c r="B3450" s="2"/>
      <c r="C3450" s="2"/>
      <c r="D3450" s="2"/>
      <c r="E3450" s="2"/>
      <c r="F3450" s="2"/>
      <c r="G3450" s="2"/>
      <c r="H3450" s="2"/>
      <c r="I3450" s="2"/>
      <c r="J3450" s="2"/>
      <c r="K3450" s="2"/>
      <c r="L3450" s="24"/>
      <c r="M3450" s="24"/>
      <c r="N3450" s="24"/>
      <c r="O3450" s="24"/>
      <c r="P3450" s="24"/>
      <c r="Q3450" s="2"/>
      <c r="R3450" s="2"/>
      <c r="S3450" s="2"/>
      <c r="T3450" s="2"/>
      <c r="U3450" s="24"/>
      <c r="V3450" s="2"/>
      <c r="W3450" s="2"/>
      <c r="X3450" s="2"/>
      <c r="Y3450" s="2"/>
      <c r="Z3450" s="2"/>
    </row>
    <row r="3451">
      <c r="A3451" s="23"/>
      <c r="B3451" s="2"/>
      <c r="C3451" s="2"/>
      <c r="D3451" s="2"/>
      <c r="E3451" s="2"/>
      <c r="F3451" s="2"/>
      <c r="G3451" s="2"/>
      <c r="H3451" s="2"/>
      <c r="I3451" s="2"/>
      <c r="J3451" s="2"/>
      <c r="K3451" s="2"/>
      <c r="L3451" s="24"/>
      <c r="M3451" s="24"/>
      <c r="N3451" s="24"/>
      <c r="O3451" s="24"/>
      <c r="P3451" s="24"/>
      <c r="Q3451" s="2"/>
      <c r="R3451" s="2"/>
      <c r="S3451" s="2"/>
      <c r="T3451" s="2"/>
      <c r="U3451" s="24"/>
      <c r="V3451" s="2"/>
      <c r="W3451" s="2"/>
      <c r="X3451" s="2"/>
      <c r="Y3451" s="2"/>
      <c r="Z3451" s="2"/>
    </row>
    <row r="3452">
      <c r="A3452" s="23"/>
      <c r="B3452" s="2"/>
      <c r="C3452" s="2"/>
      <c r="D3452" s="2"/>
      <c r="E3452" s="2"/>
      <c r="F3452" s="2"/>
      <c r="G3452" s="2"/>
      <c r="H3452" s="2"/>
      <c r="I3452" s="2"/>
      <c r="J3452" s="2"/>
      <c r="K3452" s="2"/>
      <c r="L3452" s="24"/>
      <c r="M3452" s="24"/>
      <c r="N3452" s="24"/>
      <c r="O3452" s="24"/>
      <c r="P3452" s="24"/>
      <c r="Q3452" s="2"/>
      <c r="R3452" s="2"/>
      <c r="S3452" s="2"/>
      <c r="T3452" s="2"/>
      <c r="U3452" s="24"/>
      <c r="V3452" s="2"/>
      <c r="W3452" s="2"/>
      <c r="X3452" s="2"/>
      <c r="Y3452" s="2"/>
      <c r="Z3452" s="2"/>
    </row>
    <row r="3453">
      <c r="A3453" s="23"/>
      <c r="B3453" s="2"/>
      <c r="C3453" s="2"/>
      <c r="D3453" s="2"/>
      <c r="E3453" s="2"/>
      <c r="F3453" s="2"/>
      <c r="G3453" s="2"/>
      <c r="H3453" s="2"/>
      <c r="I3453" s="2"/>
      <c r="J3453" s="2"/>
      <c r="K3453" s="2"/>
      <c r="L3453" s="24"/>
      <c r="M3453" s="24"/>
      <c r="N3453" s="24"/>
      <c r="O3453" s="24"/>
      <c r="P3453" s="24"/>
      <c r="Q3453" s="2"/>
      <c r="R3453" s="2"/>
      <c r="S3453" s="2"/>
      <c r="T3453" s="2"/>
      <c r="U3453" s="24"/>
      <c r="V3453" s="2"/>
      <c r="W3453" s="2"/>
      <c r="X3453" s="2"/>
      <c r="Y3453" s="2"/>
      <c r="Z3453" s="2"/>
    </row>
    <row r="3454">
      <c r="A3454" s="23"/>
      <c r="B3454" s="2"/>
      <c r="C3454" s="2"/>
      <c r="D3454" s="2"/>
      <c r="E3454" s="2"/>
      <c r="F3454" s="2"/>
      <c r="G3454" s="2"/>
      <c r="H3454" s="2"/>
      <c r="I3454" s="2"/>
      <c r="J3454" s="2"/>
      <c r="K3454" s="2"/>
      <c r="L3454" s="24"/>
      <c r="M3454" s="24"/>
      <c r="N3454" s="24"/>
      <c r="O3454" s="24"/>
      <c r="P3454" s="24"/>
      <c r="Q3454" s="2"/>
      <c r="R3454" s="2"/>
      <c r="S3454" s="2"/>
      <c r="T3454" s="2"/>
      <c r="U3454" s="24"/>
      <c r="V3454" s="2"/>
      <c r="W3454" s="2"/>
      <c r="X3454" s="2"/>
      <c r="Y3454" s="2"/>
      <c r="Z3454" s="2"/>
    </row>
    <row r="3455">
      <c r="A3455" s="23"/>
      <c r="B3455" s="2"/>
      <c r="C3455" s="2"/>
      <c r="D3455" s="2"/>
      <c r="E3455" s="2"/>
      <c r="F3455" s="2"/>
      <c r="G3455" s="2"/>
      <c r="H3455" s="2"/>
      <c r="I3455" s="2"/>
      <c r="J3455" s="2"/>
      <c r="K3455" s="2"/>
      <c r="L3455" s="24"/>
      <c r="M3455" s="24"/>
      <c r="N3455" s="24"/>
      <c r="O3455" s="24"/>
      <c r="P3455" s="24"/>
      <c r="Q3455" s="2"/>
      <c r="R3455" s="2"/>
      <c r="S3455" s="2"/>
      <c r="T3455" s="2"/>
      <c r="U3455" s="24"/>
      <c r="V3455" s="2"/>
      <c r="W3455" s="2"/>
      <c r="X3455" s="2"/>
      <c r="Y3455" s="2"/>
      <c r="Z3455" s="2"/>
    </row>
    <row r="3456">
      <c r="A3456" s="23"/>
      <c r="B3456" s="2"/>
      <c r="C3456" s="2"/>
      <c r="D3456" s="2"/>
      <c r="E3456" s="2"/>
      <c r="F3456" s="2"/>
      <c r="G3456" s="2"/>
      <c r="H3456" s="2"/>
      <c r="I3456" s="2"/>
      <c r="J3456" s="2"/>
      <c r="K3456" s="2"/>
      <c r="L3456" s="24"/>
      <c r="M3456" s="24"/>
      <c r="N3456" s="24"/>
      <c r="O3456" s="24"/>
      <c r="P3456" s="24"/>
      <c r="Q3456" s="2"/>
      <c r="R3456" s="2"/>
      <c r="S3456" s="2"/>
      <c r="T3456" s="2"/>
      <c r="U3456" s="24"/>
      <c r="V3456" s="2"/>
      <c r="W3456" s="2"/>
      <c r="X3456" s="2"/>
      <c r="Y3456" s="2"/>
      <c r="Z3456" s="2"/>
    </row>
    <row r="3457">
      <c r="A3457" s="23"/>
      <c r="B3457" s="2"/>
      <c r="C3457" s="2"/>
      <c r="D3457" s="2"/>
      <c r="E3457" s="2"/>
      <c r="F3457" s="2"/>
      <c r="G3457" s="2"/>
      <c r="H3457" s="2"/>
      <c r="I3457" s="2"/>
      <c r="J3457" s="2"/>
      <c r="K3457" s="2"/>
      <c r="L3457" s="24"/>
      <c r="M3457" s="24"/>
      <c r="N3457" s="24"/>
      <c r="O3457" s="24"/>
      <c r="P3457" s="24"/>
      <c r="Q3457" s="2"/>
      <c r="R3457" s="2"/>
      <c r="S3457" s="2"/>
      <c r="T3457" s="2"/>
      <c r="U3457" s="24"/>
      <c r="V3457" s="2"/>
      <c r="W3457" s="2"/>
      <c r="X3457" s="2"/>
      <c r="Y3457" s="2"/>
      <c r="Z3457" s="2"/>
    </row>
    <row r="3458">
      <c r="A3458" s="23"/>
      <c r="B3458" s="2"/>
      <c r="C3458" s="2"/>
      <c r="D3458" s="2"/>
      <c r="E3458" s="2"/>
      <c r="F3458" s="2"/>
      <c r="G3458" s="2"/>
      <c r="H3458" s="2"/>
      <c r="I3458" s="2"/>
      <c r="J3458" s="2"/>
      <c r="K3458" s="2"/>
      <c r="L3458" s="24"/>
      <c r="M3458" s="24"/>
      <c r="N3458" s="24"/>
      <c r="O3458" s="24"/>
      <c r="P3458" s="24"/>
      <c r="Q3458" s="2"/>
      <c r="R3458" s="2"/>
      <c r="S3458" s="2"/>
      <c r="T3458" s="2"/>
      <c r="U3458" s="24"/>
      <c r="V3458" s="2"/>
      <c r="W3458" s="2"/>
      <c r="X3458" s="2"/>
      <c r="Y3458" s="2"/>
      <c r="Z3458" s="2"/>
    </row>
    <row r="3459">
      <c r="A3459" s="23"/>
      <c r="B3459" s="2"/>
      <c r="C3459" s="2"/>
      <c r="D3459" s="2"/>
      <c r="E3459" s="2"/>
      <c r="F3459" s="2"/>
      <c r="G3459" s="2"/>
      <c r="H3459" s="2"/>
      <c r="I3459" s="2"/>
      <c r="J3459" s="2"/>
      <c r="K3459" s="2"/>
      <c r="L3459" s="24"/>
      <c r="M3459" s="24"/>
      <c r="N3459" s="24"/>
      <c r="O3459" s="24"/>
      <c r="P3459" s="24"/>
      <c r="Q3459" s="2"/>
      <c r="R3459" s="2"/>
      <c r="S3459" s="2"/>
      <c r="T3459" s="2"/>
      <c r="U3459" s="24"/>
      <c r="V3459" s="2"/>
      <c r="W3459" s="2"/>
      <c r="X3459" s="2"/>
      <c r="Y3459" s="2"/>
      <c r="Z3459" s="2"/>
    </row>
    <row r="3460">
      <c r="A3460" s="23"/>
      <c r="B3460" s="2"/>
      <c r="C3460" s="2"/>
      <c r="D3460" s="2"/>
      <c r="E3460" s="2"/>
      <c r="F3460" s="2"/>
      <c r="G3460" s="2"/>
      <c r="H3460" s="2"/>
      <c r="I3460" s="2"/>
      <c r="J3460" s="2"/>
      <c r="K3460" s="2"/>
      <c r="L3460" s="24"/>
      <c r="M3460" s="24"/>
      <c r="N3460" s="24"/>
      <c r="O3460" s="24"/>
      <c r="P3460" s="24"/>
      <c r="Q3460" s="2"/>
      <c r="R3460" s="2"/>
      <c r="S3460" s="2"/>
      <c r="T3460" s="2"/>
      <c r="U3460" s="24"/>
      <c r="V3460" s="2"/>
      <c r="W3460" s="2"/>
      <c r="X3460" s="2"/>
      <c r="Y3460" s="2"/>
      <c r="Z3460" s="2"/>
    </row>
    <row r="3461">
      <c r="A3461" s="23"/>
      <c r="B3461" s="2"/>
      <c r="C3461" s="2"/>
      <c r="D3461" s="2"/>
      <c r="E3461" s="2"/>
      <c r="F3461" s="2"/>
      <c r="G3461" s="2"/>
      <c r="H3461" s="2"/>
      <c r="I3461" s="2"/>
      <c r="J3461" s="2"/>
      <c r="K3461" s="2"/>
      <c r="L3461" s="24"/>
      <c r="M3461" s="24"/>
      <c r="N3461" s="24"/>
      <c r="O3461" s="24"/>
      <c r="P3461" s="24"/>
      <c r="Q3461" s="2"/>
      <c r="R3461" s="2"/>
      <c r="S3461" s="2"/>
      <c r="T3461" s="2"/>
      <c r="U3461" s="24"/>
      <c r="V3461" s="2"/>
      <c r="W3461" s="2"/>
      <c r="X3461" s="2"/>
      <c r="Y3461" s="2"/>
      <c r="Z3461" s="2"/>
    </row>
    <row r="3462">
      <c r="A3462" s="23"/>
      <c r="B3462" s="2"/>
      <c r="C3462" s="2"/>
      <c r="D3462" s="2"/>
      <c r="E3462" s="2"/>
      <c r="F3462" s="2"/>
      <c r="G3462" s="2"/>
      <c r="H3462" s="2"/>
      <c r="I3462" s="2"/>
      <c r="J3462" s="2"/>
      <c r="K3462" s="2"/>
      <c r="L3462" s="24"/>
      <c r="M3462" s="24"/>
      <c r="N3462" s="24"/>
      <c r="O3462" s="24"/>
      <c r="P3462" s="24"/>
      <c r="Q3462" s="2"/>
      <c r="R3462" s="2"/>
      <c r="S3462" s="2"/>
      <c r="T3462" s="2"/>
      <c r="U3462" s="24"/>
      <c r="V3462" s="2"/>
      <c r="W3462" s="2"/>
      <c r="X3462" s="2"/>
      <c r="Y3462" s="2"/>
      <c r="Z3462" s="2"/>
    </row>
    <row r="3463">
      <c r="A3463" s="23"/>
      <c r="B3463" s="2"/>
      <c r="C3463" s="2"/>
      <c r="D3463" s="2"/>
      <c r="E3463" s="2"/>
      <c r="F3463" s="2"/>
      <c r="G3463" s="2"/>
      <c r="H3463" s="2"/>
      <c r="I3463" s="2"/>
      <c r="J3463" s="2"/>
      <c r="K3463" s="2"/>
      <c r="L3463" s="24"/>
      <c r="M3463" s="24"/>
      <c r="N3463" s="24"/>
      <c r="O3463" s="24"/>
      <c r="P3463" s="24"/>
      <c r="Q3463" s="2"/>
      <c r="R3463" s="2"/>
      <c r="S3463" s="2"/>
      <c r="T3463" s="2"/>
      <c r="U3463" s="24"/>
      <c r="V3463" s="2"/>
      <c r="W3463" s="2"/>
      <c r="X3463" s="2"/>
      <c r="Y3463" s="2"/>
      <c r="Z3463" s="2"/>
    </row>
    <row r="3464">
      <c r="A3464" s="23"/>
      <c r="B3464" s="2"/>
      <c r="C3464" s="2"/>
      <c r="D3464" s="2"/>
      <c r="E3464" s="2"/>
      <c r="F3464" s="2"/>
      <c r="G3464" s="2"/>
      <c r="H3464" s="2"/>
      <c r="I3464" s="2"/>
      <c r="J3464" s="2"/>
      <c r="K3464" s="2"/>
      <c r="L3464" s="24"/>
      <c r="M3464" s="24"/>
      <c r="N3464" s="24"/>
      <c r="O3464" s="24"/>
      <c r="P3464" s="24"/>
      <c r="Q3464" s="2"/>
      <c r="R3464" s="2"/>
      <c r="S3464" s="2"/>
      <c r="T3464" s="2"/>
      <c r="U3464" s="24"/>
      <c r="V3464" s="2"/>
      <c r="W3464" s="2"/>
      <c r="X3464" s="2"/>
      <c r="Y3464" s="2"/>
      <c r="Z3464" s="2"/>
    </row>
    <row r="3465">
      <c r="A3465" s="23"/>
      <c r="B3465" s="2"/>
      <c r="C3465" s="2"/>
      <c r="D3465" s="2"/>
      <c r="E3465" s="2"/>
      <c r="F3465" s="2"/>
      <c r="G3465" s="2"/>
      <c r="H3465" s="2"/>
      <c r="I3465" s="2"/>
      <c r="J3465" s="2"/>
      <c r="K3465" s="2"/>
      <c r="L3465" s="24"/>
      <c r="M3465" s="24"/>
      <c r="N3465" s="24"/>
      <c r="O3465" s="24"/>
      <c r="P3465" s="24"/>
      <c r="Q3465" s="2"/>
      <c r="R3465" s="2"/>
      <c r="S3465" s="2"/>
      <c r="T3465" s="2"/>
      <c r="U3465" s="24"/>
      <c r="V3465" s="2"/>
      <c r="W3465" s="2"/>
      <c r="X3465" s="2"/>
      <c r="Y3465" s="2"/>
      <c r="Z3465" s="2"/>
    </row>
    <row r="3466">
      <c r="A3466" s="23"/>
      <c r="B3466" s="2"/>
      <c r="C3466" s="2"/>
      <c r="D3466" s="2"/>
      <c r="E3466" s="2"/>
      <c r="F3466" s="2"/>
      <c r="G3466" s="2"/>
      <c r="H3466" s="2"/>
      <c r="I3466" s="2"/>
      <c r="J3466" s="2"/>
      <c r="K3466" s="2"/>
      <c r="L3466" s="24"/>
      <c r="M3466" s="24"/>
      <c r="N3466" s="24"/>
      <c r="O3466" s="24"/>
      <c r="P3466" s="24"/>
      <c r="Q3466" s="2"/>
      <c r="R3466" s="2"/>
      <c r="S3466" s="2"/>
      <c r="T3466" s="2"/>
      <c r="U3466" s="24"/>
      <c r="V3466" s="2"/>
      <c r="W3466" s="2"/>
      <c r="X3466" s="2"/>
      <c r="Y3466" s="2"/>
      <c r="Z3466" s="2"/>
    </row>
    <row r="3467">
      <c r="A3467" s="23"/>
      <c r="B3467" s="2"/>
      <c r="C3467" s="2"/>
      <c r="D3467" s="2"/>
      <c r="E3467" s="2"/>
      <c r="F3467" s="2"/>
      <c r="G3467" s="2"/>
      <c r="H3467" s="2"/>
      <c r="I3467" s="2"/>
      <c r="J3467" s="2"/>
      <c r="K3467" s="2"/>
      <c r="L3467" s="24"/>
      <c r="M3467" s="24"/>
      <c r="N3467" s="24"/>
      <c r="O3467" s="24"/>
      <c r="P3467" s="24"/>
      <c r="Q3467" s="2"/>
      <c r="R3467" s="2"/>
      <c r="S3467" s="2"/>
      <c r="T3467" s="2"/>
      <c r="U3467" s="24"/>
      <c r="V3467" s="2"/>
      <c r="W3467" s="2"/>
      <c r="X3467" s="2"/>
      <c r="Y3467" s="2"/>
      <c r="Z3467" s="2"/>
    </row>
    <row r="3468">
      <c r="A3468" s="23"/>
      <c r="B3468" s="2"/>
      <c r="C3468" s="2"/>
      <c r="D3468" s="2"/>
      <c r="E3468" s="2"/>
      <c r="F3468" s="2"/>
      <c r="G3468" s="2"/>
      <c r="H3468" s="2"/>
      <c r="I3468" s="2"/>
      <c r="J3468" s="2"/>
      <c r="K3468" s="2"/>
      <c r="L3468" s="24"/>
      <c r="M3468" s="24"/>
      <c r="N3468" s="24"/>
      <c r="O3468" s="24"/>
      <c r="P3468" s="24"/>
      <c r="Q3468" s="2"/>
      <c r="R3468" s="2"/>
      <c r="S3468" s="2"/>
      <c r="T3468" s="2"/>
      <c r="U3468" s="24"/>
      <c r="V3468" s="2"/>
      <c r="W3468" s="2"/>
      <c r="X3468" s="2"/>
      <c r="Y3468" s="2"/>
      <c r="Z3468" s="2"/>
    </row>
    <row r="3469">
      <c r="A3469" s="23"/>
      <c r="B3469" s="2"/>
      <c r="C3469" s="2"/>
      <c r="D3469" s="2"/>
      <c r="E3469" s="2"/>
      <c r="F3469" s="2"/>
      <c r="G3469" s="2"/>
      <c r="H3469" s="2"/>
      <c r="I3469" s="2"/>
      <c r="J3469" s="2"/>
      <c r="K3469" s="2"/>
      <c r="L3469" s="24"/>
      <c r="M3469" s="24"/>
      <c r="N3469" s="24"/>
      <c r="O3469" s="24"/>
      <c r="P3469" s="24"/>
      <c r="Q3469" s="2"/>
      <c r="R3469" s="2"/>
      <c r="S3469" s="2"/>
      <c r="T3469" s="2"/>
      <c r="U3469" s="24"/>
      <c r="V3469" s="2"/>
      <c r="W3469" s="2"/>
      <c r="X3469" s="2"/>
      <c r="Y3469" s="2"/>
      <c r="Z3469" s="2"/>
    </row>
    <row r="3470">
      <c r="A3470" s="23"/>
      <c r="B3470" s="2"/>
      <c r="C3470" s="2"/>
      <c r="D3470" s="2"/>
      <c r="E3470" s="2"/>
      <c r="F3470" s="2"/>
      <c r="G3470" s="2"/>
      <c r="H3470" s="2"/>
      <c r="I3470" s="2"/>
      <c r="J3470" s="2"/>
      <c r="K3470" s="2"/>
      <c r="L3470" s="24"/>
      <c r="M3470" s="24"/>
      <c r="N3470" s="24"/>
      <c r="O3470" s="24"/>
      <c r="P3470" s="24"/>
      <c r="Q3470" s="2"/>
      <c r="R3470" s="2"/>
      <c r="S3470" s="2"/>
      <c r="T3470" s="2"/>
      <c r="U3470" s="24"/>
      <c r="V3470" s="2"/>
      <c r="W3470" s="2"/>
      <c r="X3470" s="2"/>
      <c r="Y3470" s="2"/>
      <c r="Z3470" s="2"/>
    </row>
    <row r="3471">
      <c r="A3471" s="23"/>
      <c r="B3471" s="2"/>
      <c r="C3471" s="2"/>
      <c r="D3471" s="2"/>
      <c r="E3471" s="2"/>
      <c r="F3471" s="2"/>
      <c r="G3471" s="2"/>
      <c r="H3471" s="2"/>
      <c r="I3471" s="2"/>
      <c r="J3471" s="2"/>
      <c r="K3471" s="2"/>
      <c r="L3471" s="24"/>
      <c r="M3471" s="24"/>
      <c r="N3471" s="24"/>
      <c r="O3471" s="24"/>
      <c r="P3471" s="24"/>
      <c r="Q3471" s="2"/>
      <c r="R3471" s="2"/>
      <c r="S3471" s="2"/>
      <c r="T3471" s="2"/>
      <c r="U3471" s="24"/>
      <c r="V3471" s="2"/>
      <c r="W3471" s="2"/>
      <c r="X3471" s="2"/>
      <c r="Y3471" s="2"/>
      <c r="Z3471" s="2"/>
    </row>
    <row r="3472">
      <c r="A3472" s="23"/>
      <c r="B3472" s="2"/>
      <c r="C3472" s="2"/>
      <c r="D3472" s="2"/>
      <c r="E3472" s="2"/>
      <c r="F3472" s="2"/>
      <c r="G3472" s="2"/>
      <c r="H3472" s="2"/>
      <c r="I3472" s="2"/>
      <c r="J3472" s="2"/>
      <c r="K3472" s="2"/>
      <c r="L3472" s="24"/>
      <c r="M3472" s="24"/>
      <c r="N3472" s="24"/>
      <c r="O3472" s="24"/>
      <c r="P3472" s="24"/>
      <c r="Q3472" s="2"/>
      <c r="R3472" s="2"/>
      <c r="S3472" s="2"/>
      <c r="T3472" s="2"/>
      <c r="U3472" s="24"/>
      <c r="V3472" s="2"/>
      <c r="W3472" s="2"/>
      <c r="X3472" s="2"/>
      <c r="Y3472" s="2"/>
      <c r="Z3472" s="2"/>
    </row>
    <row r="3473">
      <c r="A3473" s="23"/>
      <c r="B3473" s="2"/>
      <c r="C3473" s="2"/>
      <c r="D3473" s="2"/>
      <c r="E3473" s="2"/>
      <c r="F3473" s="2"/>
      <c r="G3473" s="2"/>
      <c r="H3473" s="2"/>
      <c r="I3473" s="2"/>
      <c r="J3473" s="2"/>
      <c r="K3473" s="2"/>
      <c r="L3473" s="24"/>
      <c r="M3473" s="24"/>
      <c r="N3473" s="24"/>
      <c r="O3473" s="24"/>
      <c r="P3473" s="24"/>
      <c r="Q3473" s="2"/>
      <c r="R3473" s="2"/>
      <c r="S3473" s="2"/>
      <c r="T3473" s="2"/>
      <c r="U3473" s="24"/>
      <c r="V3473" s="2"/>
      <c r="W3473" s="2"/>
      <c r="X3473" s="2"/>
      <c r="Y3473" s="2"/>
      <c r="Z3473" s="2"/>
    </row>
  </sheetData>
  <hyperlinks>
    <hyperlink r:id="rId1" ref="F3"/>
    <hyperlink r:id="rId2" ref="G3"/>
    <hyperlink r:id="rId3" ref="S3"/>
    <hyperlink r:id="rId4" ref="F4"/>
    <hyperlink r:id="rId5" ref="S4"/>
    <hyperlink r:id="rId6" ref="S5"/>
    <hyperlink r:id="rId7" ref="F6"/>
    <hyperlink r:id="rId8" ref="S6"/>
    <hyperlink r:id="rId9" ref="F7"/>
    <hyperlink r:id="rId10" ref="G7"/>
    <hyperlink r:id="rId11" ref="S7"/>
    <hyperlink r:id="rId12" ref="S8"/>
    <hyperlink r:id="rId13" ref="S9"/>
    <hyperlink r:id="rId14" ref="G10"/>
    <hyperlink r:id="rId15" ref="S11"/>
    <hyperlink r:id="rId16" ref="G13"/>
    <hyperlink r:id="rId17" ref="S13"/>
    <hyperlink r:id="rId18" ref="S14"/>
    <hyperlink r:id="rId19" ref="F15"/>
    <hyperlink r:id="rId20" ref="G15"/>
    <hyperlink r:id="rId21" ref="F16"/>
    <hyperlink r:id="rId22" ref="S16"/>
    <hyperlink r:id="rId23" ref="S17"/>
    <hyperlink r:id="rId24" ref="F18"/>
    <hyperlink r:id="rId25" ref="S18"/>
    <hyperlink r:id="rId26" ref="F19"/>
    <hyperlink r:id="rId27" ref="G19"/>
    <hyperlink r:id="rId28" ref="S19"/>
    <hyperlink r:id="rId29" ref="G20"/>
    <hyperlink r:id="rId30" ref="S20"/>
    <hyperlink r:id="rId31" ref="F21"/>
    <hyperlink r:id="rId32" ref="S21"/>
    <hyperlink r:id="rId33" ref="F22"/>
    <hyperlink r:id="rId34" ref="G22"/>
    <hyperlink r:id="rId35" ref="S22"/>
    <hyperlink r:id="rId36" ref="F23"/>
    <hyperlink r:id="rId37" ref="G23"/>
    <hyperlink r:id="rId38" ref="S23"/>
    <hyperlink r:id="rId39" ref="S24"/>
    <hyperlink r:id="rId40" ref="F25"/>
    <hyperlink r:id="rId41" ref="G25"/>
    <hyperlink r:id="rId42" ref="S25"/>
    <hyperlink r:id="rId43" ref="F26"/>
    <hyperlink r:id="rId44" ref="S26"/>
    <hyperlink r:id="rId45" ref="F27"/>
    <hyperlink r:id="rId46" ref="G27"/>
    <hyperlink r:id="rId47" ref="S27"/>
    <hyperlink r:id="rId48" ref="F28"/>
    <hyperlink r:id="rId49" ref="S28"/>
    <hyperlink r:id="rId50" ref="F29"/>
    <hyperlink r:id="rId51" ref="G29"/>
    <hyperlink r:id="rId52" ref="F30"/>
    <hyperlink r:id="rId53" ref="F32"/>
    <hyperlink r:id="rId54" ref="S32"/>
    <hyperlink r:id="rId55" ref="F33"/>
    <hyperlink r:id="rId56" ref="S33"/>
    <hyperlink r:id="rId57" ref="F34"/>
    <hyperlink r:id="rId58" ref="G34"/>
    <hyperlink r:id="rId59" ref="F35"/>
    <hyperlink r:id="rId60" ref="G35"/>
    <hyperlink r:id="rId61" ref="S35"/>
    <hyperlink r:id="rId62" ref="F36"/>
    <hyperlink r:id="rId63" ref="S36"/>
    <hyperlink r:id="rId64" ref="F37"/>
    <hyperlink r:id="rId65" ref="S37"/>
    <hyperlink r:id="rId66" ref="F38"/>
    <hyperlink r:id="rId67" ref="G38"/>
    <hyperlink r:id="rId68" ref="S38"/>
    <hyperlink r:id="rId69" ref="F39"/>
    <hyperlink r:id="rId70" ref="G39"/>
    <hyperlink r:id="rId71" ref="S39"/>
    <hyperlink r:id="rId72" ref="F40"/>
    <hyperlink r:id="rId73" ref="S40"/>
    <hyperlink r:id="rId74" ref="F41"/>
    <hyperlink r:id="rId75" ref="S41"/>
    <hyperlink r:id="rId76" ref="F42"/>
    <hyperlink r:id="rId77" ref="G42"/>
    <hyperlink r:id="rId78" ref="S42"/>
    <hyperlink r:id="rId79" ref="S43"/>
    <hyperlink r:id="rId80" ref="F44"/>
    <hyperlink r:id="rId81" ref="G44"/>
    <hyperlink r:id="rId82" ref="S44"/>
    <hyperlink r:id="rId83" ref="F46"/>
    <hyperlink r:id="rId84" ref="S46"/>
    <hyperlink r:id="rId85" ref="F47"/>
    <hyperlink r:id="rId86" ref="G47"/>
    <hyperlink r:id="rId87" ref="S47"/>
    <hyperlink r:id="rId88" ref="S48"/>
    <hyperlink r:id="rId89" ref="F49"/>
    <hyperlink r:id="rId90" ref="S49"/>
    <hyperlink r:id="rId91" ref="F50"/>
    <hyperlink r:id="rId92" ref="G50"/>
    <hyperlink r:id="rId93" ref="S50"/>
    <hyperlink r:id="rId94" ref="F51"/>
    <hyperlink r:id="rId95" ref="S51"/>
    <hyperlink r:id="rId96" ref="G52"/>
    <hyperlink r:id="rId97" ref="S52"/>
    <hyperlink r:id="rId98" ref="G53"/>
    <hyperlink r:id="rId99" ref="S53"/>
    <hyperlink r:id="rId100" ref="F54"/>
    <hyperlink r:id="rId101" ref="S54"/>
    <hyperlink r:id="rId102" ref="F55"/>
    <hyperlink r:id="rId103" ref="G55"/>
    <hyperlink r:id="rId104" ref="S55"/>
    <hyperlink r:id="rId105" ref="F56"/>
    <hyperlink r:id="rId106" ref="G56"/>
    <hyperlink r:id="rId107" ref="S56"/>
    <hyperlink r:id="rId108" ref="F57"/>
    <hyperlink r:id="rId109" ref="G57"/>
    <hyperlink r:id="rId110" ref="S57"/>
    <hyperlink r:id="rId111" ref="F58"/>
    <hyperlink r:id="rId112" ref="S58"/>
    <hyperlink r:id="rId113" ref="F59"/>
    <hyperlink r:id="rId114" ref="S59"/>
    <hyperlink r:id="rId115" ref="G60"/>
    <hyperlink r:id="rId116" ref="S60"/>
    <hyperlink r:id="rId117" ref="F61"/>
    <hyperlink r:id="rId118" ref="S61"/>
    <hyperlink r:id="rId119" ref="F62"/>
    <hyperlink r:id="rId120" ref="S62"/>
    <hyperlink r:id="rId121" ref="F63"/>
    <hyperlink r:id="rId122" ref="G63"/>
    <hyperlink r:id="rId123" ref="S63"/>
    <hyperlink r:id="rId124" ref="F64"/>
    <hyperlink r:id="rId125" ref="S64"/>
    <hyperlink r:id="rId126" ref="G65"/>
    <hyperlink r:id="rId127" ref="S65"/>
    <hyperlink r:id="rId128" ref="F66"/>
    <hyperlink r:id="rId129" ref="G66"/>
    <hyperlink r:id="rId130" ref="S66"/>
    <hyperlink r:id="rId131" ref="F68"/>
    <hyperlink r:id="rId132" ref="G68"/>
    <hyperlink r:id="rId133" ref="F69"/>
    <hyperlink r:id="rId134" ref="S69"/>
    <hyperlink r:id="rId135" ref="F70"/>
    <hyperlink r:id="rId136" ref="F71"/>
    <hyperlink r:id="rId137" ref="G71"/>
    <hyperlink r:id="rId138" ref="S71"/>
    <hyperlink r:id="rId139" ref="F72"/>
    <hyperlink r:id="rId140" ref="G72"/>
    <hyperlink r:id="rId141" ref="S72"/>
    <hyperlink r:id="rId142" ref="F73"/>
    <hyperlink r:id="rId143" ref="S73"/>
    <hyperlink r:id="rId144" ref="G74"/>
    <hyperlink r:id="rId145" ref="S74"/>
    <hyperlink r:id="rId146" ref="F75"/>
    <hyperlink r:id="rId147" ref="G75"/>
    <hyperlink r:id="rId148" ref="F76"/>
    <hyperlink r:id="rId149" ref="G76"/>
    <hyperlink r:id="rId150" ref="S76"/>
    <hyperlink r:id="rId151" ref="F77"/>
    <hyperlink r:id="rId152" ref="G77"/>
    <hyperlink r:id="rId153" ref="S77"/>
    <hyperlink r:id="rId154" ref="G78"/>
    <hyperlink r:id="rId155" ref="S79"/>
    <hyperlink r:id="rId156" ref="F80"/>
    <hyperlink r:id="rId157" ref="S80"/>
    <hyperlink r:id="rId158" ref="F81"/>
    <hyperlink r:id="rId159" ref="S81"/>
    <hyperlink r:id="rId160" ref="F82"/>
    <hyperlink r:id="rId161" ref="G82"/>
    <hyperlink r:id="rId162" ref="S82"/>
    <hyperlink r:id="rId163" ref="G83"/>
    <hyperlink r:id="rId164" ref="S83"/>
    <hyperlink r:id="rId165" ref="G84"/>
    <hyperlink r:id="rId166" ref="S84"/>
    <hyperlink r:id="rId167" ref="G85"/>
    <hyperlink r:id="rId168" ref="S85"/>
    <hyperlink r:id="rId169" ref="F86"/>
    <hyperlink r:id="rId170" ref="S86"/>
    <hyperlink r:id="rId171" ref="F87"/>
    <hyperlink r:id="rId172" ref="S87"/>
    <hyperlink r:id="rId173" ref="F88"/>
    <hyperlink r:id="rId174" ref="S88"/>
    <hyperlink r:id="rId175" ref="G89"/>
    <hyperlink r:id="rId176" ref="S89"/>
    <hyperlink r:id="rId177" ref="S90"/>
    <hyperlink r:id="rId178" ref="G91"/>
    <hyperlink r:id="rId179" ref="S91"/>
    <hyperlink r:id="rId180" ref="F92"/>
    <hyperlink r:id="rId181" ref="S92"/>
    <hyperlink r:id="rId182" ref="S93"/>
    <hyperlink r:id="rId183" ref="F94"/>
    <hyperlink r:id="rId184" ref="G94"/>
    <hyperlink r:id="rId185" ref="S94"/>
    <hyperlink r:id="rId186" ref="F95"/>
    <hyperlink r:id="rId187" ref="S95"/>
    <hyperlink r:id="rId188" ref="F96"/>
    <hyperlink r:id="rId189" ref="S96"/>
    <hyperlink r:id="rId190" ref="F98"/>
    <hyperlink r:id="rId191" ref="S98"/>
    <hyperlink r:id="rId192" ref="F99"/>
    <hyperlink r:id="rId193" ref="G99"/>
    <hyperlink r:id="rId194" ref="S99"/>
    <hyperlink r:id="rId195" ref="F100"/>
    <hyperlink r:id="rId196" ref="G100"/>
    <hyperlink r:id="rId197" ref="S100"/>
    <hyperlink r:id="rId198" ref="F101"/>
    <hyperlink r:id="rId199" ref="S101"/>
    <hyperlink r:id="rId200" ref="F102"/>
    <hyperlink r:id="rId201" ref="F103"/>
    <hyperlink r:id="rId202" ref="G103"/>
    <hyperlink r:id="rId203" ref="S103"/>
    <hyperlink r:id="rId204" ref="S104"/>
    <hyperlink r:id="rId205" ref="F105"/>
    <hyperlink r:id="rId206" ref="G105"/>
    <hyperlink r:id="rId207" ref="S105"/>
    <hyperlink r:id="rId208" ref="F106"/>
    <hyperlink r:id="rId209" ref="S106"/>
    <hyperlink r:id="rId210" ref="G107"/>
    <hyperlink r:id="rId211" ref="F108"/>
    <hyperlink r:id="rId212" ref="S108"/>
    <hyperlink r:id="rId213" ref="F109"/>
    <hyperlink r:id="rId214" ref="G109"/>
    <hyperlink r:id="rId215" ref="S109"/>
    <hyperlink r:id="rId216" ref="F110"/>
    <hyperlink r:id="rId217" ref="G110"/>
    <hyperlink r:id="rId218" ref="S110"/>
    <hyperlink r:id="rId219" ref="F111"/>
    <hyperlink r:id="rId220" ref="G111"/>
    <hyperlink r:id="rId221" ref="G112"/>
    <hyperlink r:id="rId222" ref="F113"/>
    <hyperlink r:id="rId223" ref="S113"/>
    <hyperlink r:id="rId224" ref="F114"/>
    <hyperlink r:id="rId225" ref="S114"/>
    <hyperlink r:id="rId226" ref="F115"/>
    <hyperlink r:id="rId227" ref="S115"/>
    <hyperlink r:id="rId228" ref="F116"/>
    <hyperlink r:id="rId229" ref="G116"/>
    <hyperlink r:id="rId230" ref="S116"/>
    <hyperlink r:id="rId231" location="GciYU" ref="F117"/>
    <hyperlink r:id="rId232" ref="G117"/>
    <hyperlink r:id="rId233" ref="S117"/>
    <hyperlink r:id="rId234" ref="F118"/>
    <hyperlink r:id="rId235" ref="S118"/>
    <hyperlink r:id="rId236" ref="F119"/>
    <hyperlink r:id="rId237" ref="S119"/>
    <hyperlink r:id="rId238" ref="F120"/>
    <hyperlink r:id="rId239" ref="F121"/>
    <hyperlink r:id="rId240" ref="F122"/>
    <hyperlink r:id="rId241" ref="G122"/>
    <hyperlink r:id="rId242" ref="F123"/>
    <hyperlink r:id="rId243" ref="G123"/>
    <hyperlink r:id="rId244" ref="S123"/>
    <hyperlink r:id="rId245" ref="F124"/>
    <hyperlink r:id="rId246" ref="G124"/>
    <hyperlink r:id="rId247" ref="S124"/>
    <hyperlink r:id="rId248" ref="F125"/>
    <hyperlink r:id="rId249" ref="S125"/>
    <hyperlink r:id="rId250" ref="F126"/>
    <hyperlink r:id="rId251" ref="S126"/>
    <hyperlink r:id="rId252" ref="F127"/>
    <hyperlink r:id="rId253" ref="S127"/>
    <hyperlink r:id="rId254" ref="F128"/>
    <hyperlink r:id="rId255" ref="S128"/>
    <hyperlink r:id="rId256" ref="F129"/>
    <hyperlink r:id="rId257" ref="G129"/>
    <hyperlink r:id="rId258" ref="S129"/>
    <hyperlink r:id="rId259" ref="F130"/>
    <hyperlink r:id="rId260" ref="G130"/>
    <hyperlink r:id="rId261" ref="F131"/>
    <hyperlink r:id="rId262" ref="G131"/>
    <hyperlink r:id="rId263" ref="S131"/>
    <hyperlink r:id="rId264" ref="F132"/>
    <hyperlink r:id="rId265" ref="G132"/>
    <hyperlink r:id="rId266" ref="S132"/>
    <hyperlink r:id="rId267" ref="F133"/>
    <hyperlink r:id="rId268" ref="S133"/>
    <hyperlink r:id="rId269" ref="F134"/>
    <hyperlink r:id="rId270" ref="S134"/>
    <hyperlink r:id="rId271" ref="F135"/>
    <hyperlink r:id="rId272" ref="G135"/>
    <hyperlink r:id="rId273" ref="S135"/>
    <hyperlink r:id="rId274" ref="F136"/>
    <hyperlink r:id="rId275" ref="S136"/>
    <hyperlink r:id="rId276" ref="F137"/>
    <hyperlink r:id="rId277" ref="S137"/>
    <hyperlink r:id="rId278" ref="F138"/>
    <hyperlink r:id="rId279" ref="G138"/>
    <hyperlink r:id="rId280" ref="S138"/>
    <hyperlink r:id="rId281" ref="F139"/>
    <hyperlink r:id="rId282" ref="G139"/>
    <hyperlink r:id="rId283" ref="S139"/>
    <hyperlink r:id="rId284" ref="G140"/>
    <hyperlink r:id="rId285" ref="S140"/>
    <hyperlink r:id="rId286" ref="F141"/>
    <hyperlink r:id="rId287" ref="G141"/>
    <hyperlink r:id="rId288" ref="S141"/>
    <hyperlink r:id="rId289" ref="G142"/>
    <hyperlink r:id="rId290" ref="S142"/>
    <hyperlink r:id="rId291" ref="G143"/>
    <hyperlink r:id="rId292" ref="S143"/>
    <hyperlink r:id="rId293" ref="F144"/>
    <hyperlink r:id="rId294" ref="S144"/>
    <hyperlink r:id="rId295" ref="F145"/>
    <hyperlink r:id="rId296" ref="G145"/>
    <hyperlink r:id="rId297" ref="S145"/>
    <hyperlink r:id="rId298" ref="F146"/>
    <hyperlink r:id="rId299" ref="S146"/>
    <hyperlink r:id="rId300" ref="G147"/>
    <hyperlink r:id="rId301" ref="S147"/>
    <hyperlink r:id="rId302" ref="F148"/>
    <hyperlink r:id="rId303" ref="G148"/>
    <hyperlink r:id="rId304" ref="S148"/>
    <hyperlink r:id="rId305" ref="F149"/>
    <hyperlink r:id="rId306" ref="S149"/>
    <hyperlink r:id="rId307" ref="F150"/>
    <hyperlink r:id="rId308" ref="S150"/>
    <hyperlink r:id="rId309" ref="G151"/>
    <hyperlink r:id="rId310" ref="S152"/>
    <hyperlink r:id="rId311" ref="F153"/>
    <hyperlink r:id="rId312" ref="G153"/>
    <hyperlink r:id="rId313" ref="S153"/>
    <hyperlink r:id="rId314" ref="C154"/>
    <hyperlink r:id="rId315" ref="F154"/>
    <hyperlink r:id="rId316" ref="G154"/>
    <hyperlink r:id="rId317" ref="S154"/>
    <hyperlink r:id="rId318" ref="F155"/>
    <hyperlink r:id="rId319" ref="G155"/>
    <hyperlink r:id="rId320" ref="S155"/>
    <hyperlink r:id="rId321" ref="S156"/>
    <hyperlink r:id="rId322" ref="F157"/>
    <hyperlink r:id="rId323" ref="G157"/>
    <hyperlink r:id="rId324" ref="S157"/>
    <hyperlink r:id="rId325" ref="F158"/>
    <hyperlink r:id="rId326" ref="S159"/>
    <hyperlink r:id="rId327" ref="F160"/>
    <hyperlink r:id="rId328" ref="S160"/>
    <hyperlink r:id="rId329" ref="F161"/>
    <hyperlink r:id="rId330" ref="G161"/>
    <hyperlink r:id="rId331" ref="F162"/>
    <hyperlink r:id="rId332" ref="S162"/>
    <hyperlink r:id="rId333" ref="S163"/>
    <hyperlink r:id="rId334" ref="F165"/>
    <hyperlink r:id="rId335" ref="S165"/>
    <hyperlink r:id="rId336" ref="F166"/>
    <hyperlink r:id="rId337" ref="G166"/>
    <hyperlink r:id="rId338" ref="S166"/>
    <hyperlink r:id="rId339" ref="S167"/>
    <hyperlink r:id="rId340" ref="G168"/>
    <hyperlink r:id="rId341" ref="S168"/>
    <hyperlink r:id="rId342" ref="F169"/>
    <hyperlink r:id="rId343" ref="S169"/>
    <hyperlink r:id="rId344" ref="F170"/>
    <hyperlink r:id="rId345" ref="S170"/>
    <hyperlink r:id="rId346" ref="F171"/>
    <hyperlink r:id="rId347" ref="G171"/>
    <hyperlink r:id="rId348" ref="S171"/>
    <hyperlink r:id="rId349" ref="F172"/>
    <hyperlink r:id="rId350" ref="S172"/>
    <hyperlink r:id="rId351" ref="F173"/>
    <hyperlink r:id="rId352" ref="S173"/>
    <hyperlink r:id="rId353" ref="F174"/>
    <hyperlink r:id="rId354" ref="S174"/>
    <hyperlink r:id="rId355" ref="F175"/>
    <hyperlink r:id="rId356" ref="S175"/>
    <hyperlink r:id="rId357" ref="F176"/>
    <hyperlink r:id="rId358" ref="S176"/>
    <hyperlink r:id="rId359" ref="F177"/>
    <hyperlink r:id="rId360" ref="G177"/>
    <hyperlink r:id="rId361" ref="S177"/>
    <hyperlink r:id="rId362" ref="F178"/>
    <hyperlink r:id="rId363" ref="S178"/>
    <hyperlink r:id="rId364" ref="F179"/>
    <hyperlink r:id="rId365" ref="S179"/>
    <hyperlink r:id="rId366" ref="F180"/>
    <hyperlink r:id="rId367" ref="G180"/>
    <hyperlink r:id="rId368" ref="F181"/>
    <hyperlink r:id="rId369" ref="S181"/>
    <hyperlink r:id="rId370" ref="F182"/>
    <hyperlink r:id="rId371" ref="S182"/>
    <hyperlink r:id="rId372" ref="F183"/>
    <hyperlink r:id="rId373" ref="G183"/>
    <hyperlink r:id="rId374" ref="S183"/>
    <hyperlink r:id="rId375" ref="G184"/>
    <hyperlink r:id="rId376" ref="F185"/>
    <hyperlink r:id="rId377" ref="G185"/>
    <hyperlink r:id="rId378" ref="S185"/>
    <hyperlink r:id="rId379" ref="F186"/>
    <hyperlink r:id="rId380" ref="S186"/>
    <hyperlink r:id="rId381" ref="G187"/>
    <hyperlink r:id="rId382" ref="S187"/>
    <hyperlink r:id="rId383" ref="G188"/>
    <hyperlink r:id="rId384" ref="S188"/>
    <hyperlink r:id="rId385" ref="G189"/>
    <hyperlink r:id="rId386" ref="S189"/>
    <hyperlink r:id="rId387" ref="F190"/>
    <hyperlink r:id="rId388" ref="S190"/>
    <hyperlink r:id="rId389" ref="F191"/>
    <hyperlink r:id="rId390" ref="G191"/>
    <hyperlink r:id="rId391" ref="S191"/>
    <hyperlink r:id="rId392" ref="F192"/>
    <hyperlink r:id="rId393" ref="G192"/>
    <hyperlink r:id="rId394" ref="S192"/>
    <hyperlink r:id="rId395" ref="F193"/>
    <hyperlink r:id="rId396" ref="S193"/>
    <hyperlink r:id="rId397" ref="F194"/>
    <hyperlink r:id="rId398" ref="G194"/>
    <hyperlink r:id="rId399" ref="S194"/>
    <hyperlink r:id="rId400" ref="G195"/>
    <hyperlink r:id="rId401" ref="S196"/>
    <hyperlink r:id="rId402" ref="G197"/>
    <hyperlink r:id="rId403" ref="S197"/>
    <hyperlink r:id="rId404" ref="F198"/>
    <hyperlink r:id="rId405" ref="G198"/>
    <hyperlink r:id="rId406" ref="S198"/>
    <hyperlink r:id="rId407" ref="F199"/>
    <hyperlink r:id="rId408" ref="S199"/>
    <hyperlink r:id="rId409" ref="F200"/>
    <hyperlink r:id="rId410" ref="G200"/>
    <hyperlink r:id="rId411" ref="S200"/>
    <hyperlink r:id="rId412" location=".XiMHhqCD6vE.twitter" ref="F201"/>
    <hyperlink r:id="rId413" ref="S201"/>
    <hyperlink r:id="rId414" ref="F202"/>
    <hyperlink r:id="rId415" ref="G202"/>
    <hyperlink r:id="rId416" ref="S202"/>
    <hyperlink r:id="rId417" ref="G203"/>
    <hyperlink r:id="rId418" ref="S203"/>
    <hyperlink r:id="rId419" ref="F204"/>
    <hyperlink r:id="rId420" ref="G204"/>
    <hyperlink r:id="rId421" ref="S204"/>
    <hyperlink r:id="rId422" ref="F205"/>
    <hyperlink r:id="rId423" ref="G205"/>
    <hyperlink r:id="rId424" ref="S205"/>
    <hyperlink r:id="rId425" ref="G206"/>
    <hyperlink r:id="rId426" ref="F207"/>
    <hyperlink r:id="rId427" ref="G207"/>
    <hyperlink r:id="rId428" ref="S207"/>
    <hyperlink r:id="rId429" ref="G208"/>
    <hyperlink r:id="rId430" ref="S209"/>
    <hyperlink r:id="rId431" ref="F210"/>
    <hyperlink r:id="rId432" ref="F211"/>
    <hyperlink r:id="rId433" ref="S211"/>
    <hyperlink r:id="rId434" ref="F212"/>
    <hyperlink r:id="rId435" ref="G212"/>
    <hyperlink r:id="rId436" ref="S212"/>
    <hyperlink r:id="rId437" ref="F213"/>
    <hyperlink r:id="rId438" ref="S213"/>
    <hyperlink r:id="rId439" ref="G214"/>
    <hyperlink r:id="rId440" ref="S214"/>
    <hyperlink r:id="rId441" ref="F215"/>
    <hyperlink r:id="rId442" ref="S215"/>
    <hyperlink r:id="rId443" ref="F216"/>
    <hyperlink r:id="rId444" ref="S216"/>
    <hyperlink r:id="rId445" ref="G217"/>
    <hyperlink r:id="rId446" ref="F218"/>
    <hyperlink r:id="rId447" ref="S218"/>
    <hyperlink r:id="rId448" ref="F219"/>
    <hyperlink r:id="rId449" ref="S219"/>
    <hyperlink r:id="rId450" ref="F220"/>
    <hyperlink r:id="rId451" ref="G220"/>
    <hyperlink r:id="rId452" ref="S220"/>
    <hyperlink r:id="rId453" ref="F222"/>
    <hyperlink r:id="rId454" ref="S222"/>
    <hyperlink r:id="rId455" ref="F225"/>
    <hyperlink r:id="rId456" ref="S225"/>
    <hyperlink r:id="rId457" ref="F226"/>
    <hyperlink r:id="rId458" ref="S226"/>
    <hyperlink r:id="rId459" ref="F227"/>
    <hyperlink r:id="rId460" ref="G227"/>
    <hyperlink r:id="rId461" ref="S227"/>
    <hyperlink r:id="rId462" ref="F228"/>
    <hyperlink r:id="rId463" ref="S228"/>
    <hyperlink r:id="rId464" ref="F229"/>
    <hyperlink r:id="rId465" ref="S229"/>
    <hyperlink r:id="rId466" ref="F230"/>
    <hyperlink r:id="rId467" ref="G230"/>
    <hyperlink r:id="rId468" ref="S230"/>
    <hyperlink r:id="rId469" ref="F231"/>
    <hyperlink r:id="rId470" ref="G231"/>
    <hyperlink r:id="rId471" ref="S231"/>
    <hyperlink r:id="rId472" ref="C232"/>
    <hyperlink r:id="rId473" ref="F232"/>
    <hyperlink r:id="rId474" ref="G232"/>
    <hyperlink r:id="rId475" ref="S232"/>
    <hyperlink r:id="rId476" ref="F233"/>
    <hyperlink r:id="rId477" ref="G233"/>
    <hyperlink r:id="rId478" location="/" ref="S233"/>
    <hyperlink r:id="rId479" ref="F235"/>
    <hyperlink r:id="rId480" ref="G235"/>
    <hyperlink r:id="rId481" ref="S235"/>
    <hyperlink r:id="rId482" ref="F236"/>
    <hyperlink r:id="rId483" ref="S236"/>
    <hyperlink r:id="rId484" ref="S237"/>
    <hyperlink r:id="rId485" ref="F238"/>
    <hyperlink r:id="rId486" ref="S238"/>
    <hyperlink r:id="rId487" ref="F239"/>
    <hyperlink r:id="rId488" ref="G239"/>
    <hyperlink r:id="rId489" ref="G240"/>
    <hyperlink r:id="rId490" ref="S240"/>
    <hyperlink r:id="rId491" ref="F241"/>
    <hyperlink r:id="rId492" ref="S241"/>
    <hyperlink r:id="rId493" ref="F242"/>
    <hyperlink r:id="rId494" ref="G242"/>
    <hyperlink r:id="rId495" ref="S242"/>
    <hyperlink r:id="rId496" ref="F243"/>
    <hyperlink r:id="rId497" ref="S243"/>
    <hyperlink r:id="rId498" ref="F244"/>
    <hyperlink r:id="rId499" ref="S244"/>
    <hyperlink r:id="rId500" ref="G245"/>
    <hyperlink r:id="rId501" ref="S245"/>
    <hyperlink r:id="rId502" ref="F246"/>
    <hyperlink r:id="rId503" ref="S246"/>
    <hyperlink r:id="rId504" location="01ca4debae16" ref="F247"/>
    <hyperlink r:id="rId505" ref="G247"/>
    <hyperlink r:id="rId506" ref="S247"/>
    <hyperlink r:id="rId507" ref="F248"/>
    <hyperlink r:id="rId508" ref="S248"/>
    <hyperlink r:id="rId509" ref="G249"/>
    <hyperlink r:id="rId510" ref="S249"/>
    <hyperlink r:id="rId511" ref="G250"/>
    <hyperlink r:id="rId512" ref="S250"/>
    <hyperlink r:id="rId513" ref="F251"/>
    <hyperlink r:id="rId514" ref="G251"/>
    <hyperlink r:id="rId515" ref="S251"/>
    <hyperlink r:id="rId516" ref="F252"/>
    <hyperlink r:id="rId517" ref="G252"/>
    <hyperlink r:id="rId518" ref="S252"/>
    <hyperlink r:id="rId519" ref="G253"/>
    <hyperlink r:id="rId520" ref="S253"/>
    <hyperlink r:id="rId521" ref="F254"/>
    <hyperlink r:id="rId522" ref="G254"/>
    <hyperlink r:id="rId523" ref="S254"/>
    <hyperlink r:id="rId524" ref="F255"/>
    <hyperlink r:id="rId525" ref="G255"/>
    <hyperlink r:id="rId526" ref="S255"/>
    <hyperlink r:id="rId527" ref="F256"/>
    <hyperlink r:id="rId528" ref="S256"/>
    <hyperlink r:id="rId529" ref="F257"/>
    <hyperlink r:id="rId530" ref="G257"/>
    <hyperlink r:id="rId531" ref="S257"/>
    <hyperlink r:id="rId532" ref="F258"/>
    <hyperlink r:id="rId533" ref="G258"/>
    <hyperlink r:id="rId534" ref="S258"/>
    <hyperlink r:id="rId535" ref="G259"/>
    <hyperlink r:id="rId536" ref="S259"/>
    <hyperlink r:id="rId537" ref="G260"/>
    <hyperlink r:id="rId538" ref="S260"/>
    <hyperlink r:id="rId539" ref="G261"/>
    <hyperlink r:id="rId540" ref="S261"/>
    <hyperlink r:id="rId541" ref="G262"/>
    <hyperlink r:id="rId542" ref="S262"/>
    <hyperlink r:id="rId543" ref="G263"/>
    <hyperlink r:id="rId544" ref="S263"/>
    <hyperlink r:id="rId545" ref="F264"/>
    <hyperlink r:id="rId546" ref="G264"/>
    <hyperlink r:id="rId547" ref="S264"/>
    <hyperlink r:id="rId548" ref="F265"/>
    <hyperlink r:id="rId549" ref="G265"/>
    <hyperlink r:id="rId550" ref="S265"/>
    <hyperlink r:id="rId551" ref="G266"/>
    <hyperlink r:id="rId552" ref="S266"/>
    <hyperlink r:id="rId553" ref="F267"/>
    <hyperlink r:id="rId554" ref="S267"/>
    <hyperlink r:id="rId555" ref="F268"/>
    <hyperlink r:id="rId556" ref="G268"/>
    <hyperlink r:id="rId557" ref="S268"/>
    <hyperlink r:id="rId558" ref="G269"/>
    <hyperlink r:id="rId559" ref="F270"/>
    <hyperlink r:id="rId560" ref="G270"/>
    <hyperlink r:id="rId561" ref="S270"/>
    <hyperlink r:id="rId562" ref="F271"/>
    <hyperlink r:id="rId563" ref="S271"/>
    <hyperlink r:id="rId564" ref="F272"/>
    <hyperlink r:id="rId565" ref="S272"/>
    <hyperlink r:id="rId566" ref="F273"/>
    <hyperlink r:id="rId567" ref="S273"/>
    <hyperlink r:id="rId568" ref="G274"/>
    <hyperlink r:id="rId569" ref="F275"/>
    <hyperlink r:id="rId570" ref="G275"/>
    <hyperlink r:id="rId571" ref="G276"/>
    <hyperlink r:id="rId572" ref="F277"/>
    <hyperlink r:id="rId573" ref="S277"/>
    <hyperlink r:id="rId574" ref="F278"/>
    <hyperlink r:id="rId575" ref="S278"/>
    <hyperlink r:id="rId576" ref="F279"/>
    <hyperlink r:id="rId577" ref="S279"/>
    <hyperlink r:id="rId578" ref="F281"/>
    <hyperlink r:id="rId579" ref="S281"/>
    <hyperlink r:id="rId580" ref="S283"/>
    <hyperlink r:id="rId581" ref="F284"/>
    <hyperlink r:id="rId582" ref="S284"/>
    <hyperlink r:id="rId583" ref="F285"/>
    <hyperlink r:id="rId584" ref="S285"/>
    <hyperlink r:id="rId585" ref="F286"/>
    <hyperlink r:id="rId586" ref="S286"/>
    <hyperlink r:id="rId587" ref="S287"/>
    <hyperlink r:id="rId588" ref="G288"/>
    <hyperlink r:id="rId589" ref="S288"/>
    <hyperlink r:id="rId590" ref="F289"/>
    <hyperlink r:id="rId591" ref="G289"/>
    <hyperlink r:id="rId592" ref="S289"/>
    <hyperlink r:id="rId593" ref="F290"/>
    <hyperlink r:id="rId594" ref="F291"/>
    <hyperlink r:id="rId595" ref="G291"/>
    <hyperlink r:id="rId596" ref="S292"/>
    <hyperlink r:id="rId597" ref="F293"/>
    <hyperlink r:id="rId598" ref="G293"/>
    <hyperlink r:id="rId599" ref="S293"/>
    <hyperlink r:id="rId600" ref="F294"/>
    <hyperlink r:id="rId601" ref="S294"/>
    <hyperlink r:id="rId602" ref="F295"/>
    <hyperlink r:id="rId603" ref="S295"/>
    <hyperlink r:id="rId604" ref="S296"/>
    <hyperlink r:id="rId605" ref="F297"/>
    <hyperlink r:id="rId606" ref="G297"/>
    <hyperlink r:id="rId607" ref="S297"/>
    <hyperlink r:id="rId608" ref="G298"/>
    <hyperlink r:id="rId609" ref="S298"/>
    <hyperlink r:id="rId610" ref="F299"/>
    <hyperlink r:id="rId611" ref="G299"/>
    <hyperlink r:id="rId612" ref="F300"/>
    <hyperlink r:id="rId613" ref="S300"/>
    <hyperlink r:id="rId614" ref="F301"/>
    <hyperlink r:id="rId615" ref="G301"/>
    <hyperlink r:id="rId616" ref="S301"/>
    <hyperlink r:id="rId617" ref="F302"/>
    <hyperlink r:id="rId618" ref="S302"/>
    <hyperlink r:id="rId619" ref="F303"/>
    <hyperlink r:id="rId620" ref="G303"/>
    <hyperlink r:id="rId621" ref="F304"/>
    <hyperlink r:id="rId622" ref="S304"/>
    <hyperlink r:id="rId623" ref="F305"/>
    <hyperlink r:id="rId624" ref="G305"/>
    <hyperlink r:id="rId625" ref="S305"/>
    <hyperlink r:id="rId626" ref="F306"/>
    <hyperlink r:id="rId627" ref="S306"/>
    <hyperlink r:id="rId628" ref="F307"/>
    <hyperlink r:id="rId629" ref="F308"/>
    <hyperlink r:id="rId630" ref="G308"/>
    <hyperlink r:id="rId631" ref="S308"/>
    <hyperlink r:id="rId632" ref="G309"/>
    <hyperlink r:id="rId633" ref="S309"/>
    <hyperlink r:id="rId634" ref="G310"/>
    <hyperlink r:id="rId635" ref="S310"/>
    <hyperlink r:id="rId636" ref="F311"/>
    <hyperlink r:id="rId637" ref="S311"/>
    <hyperlink r:id="rId638" ref="F312"/>
    <hyperlink r:id="rId639" ref="S312"/>
    <hyperlink r:id="rId640" ref="F313"/>
    <hyperlink r:id="rId641" ref="G313"/>
    <hyperlink r:id="rId642" ref="S313"/>
    <hyperlink r:id="rId643" ref="G314"/>
    <hyperlink r:id="rId644" ref="S314"/>
    <hyperlink r:id="rId645" ref="G315"/>
    <hyperlink r:id="rId646" ref="S315"/>
    <hyperlink r:id="rId647" ref="G316"/>
    <hyperlink r:id="rId648" ref="G317"/>
    <hyperlink r:id="rId649" ref="S317"/>
    <hyperlink r:id="rId650" ref="G318"/>
    <hyperlink r:id="rId651" ref="S318"/>
    <hyperlink r:id="rId652" ref="F319"/>
    <hyperlink r:id="rId653" ref="G319"/>
    <hyperlink r:id="rId654" ref="S319"/>
    <hyperlink r:id="rId655" ref="F320"/>
    <hyperlink r:id="rId656" ref="G320"/>
    <hyperlink r:id="rId657" ref="S320"/>
    <hyperlink r:id="rId658" ref="F322"/>
    <hyperlink r:id="rId659" ref="F323"/>
    <hyperlink r:id="rId660" ref="S323"/>
    <hyperlink r:id="rId661" ref="G324"/>
    <hyperlink r:id="rId662" ref="S324"/>
    <hyperlink r:id="rId663" location=".XiJdKpAYAt0.twitter" ref="F325"/>
    <hyperlink r:id="rId664" ref="S325"/>
    <hyperlink r:id="rId665" ref="F327"/>
    <hyperlink r:id="rId666" ref="S327"/>
    <hyperlink r:id="rId667" ref="F328"/>
    <hyperlink r:id="rId668" ref="S328"/>
    <hyperlink r:id="rId669" ref="F329"/>
    <hyperlink r:id="rId670" ref="G329"/>
    <hyperlink r:id="rId671" ref="S329"/>
    <hyperlink r:id="rId672" ref="F331"/>
    <hyperlink r:id="rId673" ref="S331"/>
    <hyperlink r:id="rId674" ref="G332"/>
    <hyperlink r:id="rId675" ref="S332"/>
    <hyperlink r:id="rId676" ref="G333"/>
    <hyperlink r:id="rId677" ref="S333"/>
    <hyperlink r:id="rId678" ref="F334"/>
    <hyperlink r:id="rId679" ref="G334"/>
    <hyperlink r:id="rId680" ref="S334"/>
    <hyperlink r:id="rId681" ref="G335"/>
    <hyperlink r:id="rId682" ref="S335"/>
    <hyperlink r:id="rId683" ref="G336"/>
    <hyperlink r:id="rId684" ref="F337"/>
    <hyperlink r:id="rId685" ref="G337"/>
    <hyperlink r:id="rId686" ref="S337"/>
    <hyperlink r:id="rId687" ref="G338"/>
    <hyperlink r:id="rId688" ref="S338"/>
    <hyperlink r:id="rId689" ref="C339"/>
    <hyperlink r:id="rId690" ref="F339"/>
    <hyperlink r:id="rId691" ref="G339"/>
    <hyperlink r:id="rId692" ref="S339"/>
    <hyperlink r:id="rId693" ref="S340"/>
    <hyperlink r:id="rId694" ref="G341"/>
    <hyperlink r:id="rId695" ref="S341"/>
    <hyperlink r:id="rId696" ref="F342"/>
    <hyperlink r:id="rId697" ref="S342"/>
    <hyperlink r:id="rId698" ref="F343"/>
    <hyperlink r:id="rId699" ref="S343"/>
    <hyperlink r:id="rId700" ref="F344"/>
    <hyperlink r:id="rId701" ref="G344"/>
    <hyperlink r:id="rId702" ref="S344"/>
    <hyperlink r:id="rId703" ref="F345"/>
    <hyperlink r:id="rId704" ref="S345"/>
    <hyperlink r:id="rId705" ref="F346"/>
    <hyperlink r:id="rId706" ref="S346"/>
    <hyperlink r:id="rId707" ref="F347"/>
    <hyperlink r:id="rId708" ref="G347"/>
    <hyperlink r:id="rId709" ref="S347"/>
    <hyperlink r:id="rId710" ref="F348"/>
    <hyperlink r:id="rId711" ref="G348"/>
    <hyperlink r:id="rId712" ref="S348"/>
    <hyperlink r:id="rId713" ref="F349"/>
    <hyperlink r:id="rId714" ref="S349"/>
    <hyperlink r:id="rId715" ref="S351"/>
    <hyperlink r:id="rId716" ref="F352"/>
    <hyperlink r:id="rId717" ref="S352"/>
    <hyperlink r:id="rId718" ref="S353"/>
    <hyperlink r:id="rId719" ref="G356"/>
    <hyperlink r:id="rId720" ref="S356"/>
    <hyperlink r:id="rId721" ref="S357"/>
    <hyperlink r:id="rId722" ref="F358"/>
    <hyperlink r:id="rId723" ref="S358"/>
    <hyperlink r:id="rId724" ref="F359"/>
    <hyperlink r:id="rId725" ref="S359"/>
    <hyperlink r:id="rId726" ref="F360"/>
    <hyperlink r:id="rId727" ref="G360"/>
    <hyperlink r:id="rId728" ref="S360"/>
    <hyperlink r:id="rId729" ref="F362"/>
    <hyperlink r:id="rId730" ref="S362"/>
    <hyperlink r:id="rId731" ref="F363"/>
    <hyperlink r:id="rId732" ref="S363"/>
    <hyperlink r:id="rId733" ref="F364"/>
    <hyperlink r:id="rId734" ref="G364"/>
    <hyperlink r:id="rId735" ref="S364"/>
    <hyperlink r:id="rId736" ref="F365"/>
    <hyperlink r:id="rId737" ref="G365"/>
    <hyperlink r:id="rId738" ref="S365"/>
    <hyperlink r:id="rId739" ref="F366"/>
    <hyperlink r:id="rId740" ref="S366"/>
    <hyperlink r:id="rId741" ref="F367"/>
    <hyperlink r:id="rId742" ref="F369"/>
    <hyperlink r:id="rId743" ref="G369"/>
    <hyperlink r:id="rId744" ref="S369"/>
    <hyperlink r:id="rId745" ref="F370"/>
    <hyperlink r:id="rId746" ref="G370"/>
    <hyperlink r:id="rId747" ref="S371"/>
    <hyperlink r:id="rId748" ref="S372"/>
    <hyperlink r:id="rId749" ref="S373"/>
    <hyperlink r:id="rId750" ref="F374"/>
    <hyperlink r:id="rId751" ref="F375"/>
    <hyperlink r:id="rId752" ref="G375"/>
    <hyperlink r:id="rId753" ref="S375"/>
    <hyperlink r:id="rId754" ref="F376"/>
    <hyperlink r:id="rId755" ref="G376"/>
    <hyperlink r:id="rId756" ref="S376"/>
    <hyperlink r:id="rId757" ref="G377"/>
    <hyperlink r:id="rId758" ref="S377"/>
    <hyperlink r:id="rId759" ref="F378"/>
    <hyperlink r:id="rId760" ref="G378"/>
    <hyperlink r:id="rId761" ref="S378"/>
    <hyperlink r:id="rId762" ref="F379"/>
    <hyperlink r:id="rId763" ref="S379"/>
    <hyperlink r:id="rId764" ref="S380"/>
    <hyperlink r:id="rId765" ref="F381"/>
    <hyperlink r:id="rId766" ref="S381"/>
    <hyperlink r:id="rId767" ref="F382"/>
    <hyperlink r:id="rId768" ref="G382"/>
    <hyperlink r:id="rId769" ref="S382"/>
    <hyperlink r:id="rId770" ref="G383"/>
    <hyperlink r:id="rId771" ref="S383"/>
    <hyperlink r:id="rId772" ref="G384"/>
    <hyperlink r:id="rId773" ref="F385"/>
    <hyperlink r:id="rId774" ref="S385"/>
    <hyperlink r:id="rId775" ref="F387"/>
    <hyperlink r:id="rId776" ref="F388"/>
    <hyperlink r:id="rId777" ref="S388"/>
    <hyperlink r:id="rId778" ref="G389"/>
    <hyperlink r:id="rId779" ref="S389"/>
    <hyperlink r:id="rId780" ref="G390"/>
    <hyperlink r:id="rId781" ref="S390"/>
    <hyperlink r:id="rId782" ref="F391"/>
    <hyperlink r:id="rId783" ref="S391"/>
    <hyperlink r:id="rId784" ref="F392"/>
    <hyperlink r:id="rId785" ref="S392"/>
    <hyperlink r:id="rId786" ref="F393"/>
    <hyperlink r:id="rId787" ref="G393"/>
    <hyperlink r:id="rId788" ref="S393"/>
    <hyperlink r:id="rId789" ref="F394"/>
    <hyperlink r:id="rId790" ref="S394"/>
    <hyperlink r:id="rId791" ref="F396"/>
    <hyperlink r:id="rId792" ref="G396"/>
    <hyperlink r:id="rId793" ref="S396"/>
    <hyperlink r:id="rId794" ref="F397"/>
    <hyperlink r:id="rId795" ref="G397"/>
    <hyperlink r:id="rId796" ref="S397"/>
    <hyperlink r:id="rId797" ref="F398"/>
    <hyperlink r:id="rId798" ref="G398"/>
    <hyperlink r:id="rId799" ref="S398"/>
    <hyperlink r:id="rId800" ref="F399"/>
    <hyperlink r:id="rId801" ref="G399"/>
    <hyperlink r:id="rId802" ref="S399"/>
    <hyperlink r:id="rId803" ref="F400"/>
    <hyperlink r:id="rId804" ref="S400"/>
    <hyperlink r:id="rId805" ref="F401"/>
    <hyperlink r:id="rId806" ref="G401"/>
    <hyperlink r:id="rId807" ref="G402"/>
    <hyperlink r:id="rId808" ref="F403"/>
    <hyperlink r:id="rId809" ref="G403"/>
    <hyperlink r:id="rId810" ref="S403"/>
    <hyperlink r:id="rId811" ref="F404"/>
    <hyperlink r:id="rId812" ref="G404"/>
    <hyperlink r:id="rId813" ref="S404"/>
    <hyperlink r:id="rId814" ref="G405"/>
    <hyperlink r:id="rId815" ref="F406"/>
    <hyperlink r:id="rId816" ref="G406"/>
    <hyperlink r:id="rId817" ref="S406"/>
    <hyperlink r:id="rId818" ref="F407"/>
    <hyperlink r:id="rId819" ref="S407"/>
    <hyperlink r:id="rId820" ref="S408"/>
    <hyperlink r:id="rId821" ref="F409"/>
    <hyperlink r:id="rId822" ref="S409"/>
    <hyperlink r:id="rId823" ref="F410"/>
    <hyperlink r:id="rId824" ref="S410"/>
    <hyperlink r:id="rId825" ref="G411"/>
    <hyperlink r:id="rId826" ref="S411"/>
    <hyperlink r:id="rId827" ref="G412"/>
    <hyperlink r:id="rId828" ref="S412"/>
    <hyperlink r:id="rId829" ref="G413"/>
    <hyperlink r:id="rId830" ref="F414"/>
    <hyperlink r:id="rId831" ref="G414"/>
    <hyperlink r:id="rId832" ref="F416"/>
    <hyperlink r:id="rId833" ref="S416"/>
    <hyperlink r:id="rId834" ref="F417"/>
    <hyperlink r:id="rId835" ref="F418"/>
    <hyperlink r:id="rId836" ref="G418"/>
    <hyperlink r:id="rId837" ref="F419"/>
    <hyperlink r:id="rId838" ref="S419"/>
    <hyperlink r:id="rId839" ref="G420"/>
    <hyperlink r:id="rId840" ref="S420"/>
    <hyperlink r:id="rId841" ref="G421"/>
    <hyperlink r:id="rId842" ref="F422"/>
    <hyperlink r:id="rId843" ref="F423"/>
    <hyperlink r:id="rId844" ref="S423"/>
    <hyperlink r:id="rId845" ref="F424"/>
    <hyperlink r:id="rId846" ref="G424"/>
    <hyperlink r:id="rId847" ref="S424"/>
    <hyperlink r:id="rId848" ref="F425"/>
    <hyperlink r:id="rId849" ref="S425"/>
    <hyperlink r:id="rId850" ref="F427"/>
    <hyperlink r:id="rId851" ref="S427"/>
    <hyperlink r:id="rId852" ref="F428"/>
    <hyperlink r:id="rId853" ref="G428"/>
    <hyperlink r:id="rId854" ref="S428"/>
    <hyperlink r:id="rId855" ref="F429"/>
    <hyperlink r:id="rId856" ref="G429"/>
    <hyperlink r:id="rId857" ref="S429"/>
    <hyperlink r:id="rId858" ref="F430"/>
    <hyperlink r:id="rId859" ref="G430"/>
    <hyperlink r:id="rId860" ref="F431"/>
    <hyperlink r:id="rId861" ref="G431"/>
    <hyperlink r:id="rId862" ref="S431"/>
    <hyperlink r:id="rId863" ref="F432"/>
    <hyperlink r:id="rId864" ref="S432"/>
    <hyperlink r:id="rId865" ref="F433"/>
    <hyperlink r:id="rId866" ref="S433"/>
    <hyperlink r:id="rId867" ref="F434"/>
    <hyperlink r:id="rId868" ref="S434"/>
    <hyperlink r:id="rId869" ref="F435"/>
    <hyperlink r:id="rId870" ref="S435"/>
    <hyperlink r:id="rId871" ref="F436"/>
    <hyperlink r:id="rId872" ref="G436"/>
    <hyperlink r:id="rId873" ref="S436"/>
    <hyperlink r:id="rId874" ref="F437"/>
    <hyperlink r:id="rId875" ref="G437"/>
    <hyperlink r:id="rId876" ref="S437"/>
    <hyperlink r:id="rId877" ref="F438"/>
    <hyperlink r:id="rId878" ref="S438"/>
    <hyperlink r:id="rId879" ref="G439"/>
    <hyperlink r:id="rId880" ref="S439"/>
    <hyperlink r:id="rId881" ref="F441"/>
    <hyperlink r:id="rId882" ref="S441"/>
    <hyperlink r:id="rId883" ref="F442"/>
    <hyperlink r:id="rId884" ref="S442"/>
    <hyperlink r:id="rId885" ref="F443"/>
    <hyperlink r:id="rId886" ref="S443"/>
    <hyperlink r:id="rId887" ref="F444"/>
    <hyperlink r:id="rId888" ref="G444"/>
    <hyperlink r:id="rId889" ref="S444"/>
    <hyperlink r:id="rId890" ref="F445"/>
    <hyperlink r:id="rId891" ref="F446"/>
    <hyperlink r:id="rId892" ref="G446"/>
    <hyperlink r:id="rId893" ref="S446"/>
    <hyperlink r:id="rId894" ref="F447"/>
    <hyperlink r:id="rId895" ref="G447"/>
    <hyperlink r:id="rId896" ref="S447"/>
    <hyperlink r:id="rId897" ref="G448"/>
    <hyperlink r:id="rId898" ref="S448"/>
    <hyperlink r:id="rId899" ref="F449"/>
    <hyperlink r:id="rId900" ref="G449"/>
    <hyperlink r:id="rId901" ref="S449"/>
    <hyperlink r:id="rId902" ref="F450"/>
    <hyperlink r:id="rId903" ref="G450"/>
    <hyperlink r:id="rId904" ref="S450"/>
    <hyperlink r:id="rId905" ref="F451"/>
    <hyperlink r:id="rId906" ref="G451"/>
    <hyperlink r:id="rId907" ref="S451"/>
    <hyperlink r:id="rId908" ref="F452"/>
    <hyperlink r:id="rId909" ref="S452"/>
    <hyperlink r:id="rId910" ref="F453"/>
    <hyperlink r:id="rId911" ref="G453"/>
    <hyperlink r:id="rId912" ref="S453"/>
    <hyperlink r:id="rId913" ref="G454"/>
    <hyperlink r:id="rId914" ref="S454"/>
    <hyperlink r:id="rId915" ref="F455"/>
    <hyperlink r:id="rId916" ref="S455"/>
    <hyperlink r:id="rId917" ref="F456"/>
    <hyperlink r:id="rId918" ref="S456"/>
    <hyperlink r:id="rId919" ref="G457"/>
    <hyperlink r:id="rId920" ref="S457"/>
    <hyperlink r:id="rId921" ref="G458"/>
    <hyperlink r:id="rId922" ref="S458"/>
    <hyperlink r:id="rId923" ref="F459"/>
    <hyperlink r:id="rId924" ref="G459"/>
    <hyperlink r:id="rId925" ref="S459"/>
    <hyperlink r:id="rId926" ref="G460"/>
    <hyperlink r:id="rId927" ref="S460"/>
    <hyperlink r:id="rId928" ref="C461"/>
    <hyperlink r:id="rId929" ref="F461"/>
    <hyperlink r:id="rId930" ref="S461"/>
    <hyperlink r:id="rId931" ref="F462"/>
    <hyperlink r:id="rId932" ref="G462"/>
    <hyperlink r:id="rId933" ref="S462"/>
    <hyperlink r:id="rId934" ref="F463"/>
    <hyperlink r:id="rId935" ref="G463"/>
    <hyperlink r:id="rId936" ref="S463"/>
    <hyperlink r:id="rId937" ref="S464"/>
    <hyperlink r:id="rId938" ref="S465"/>
    <hyperlink r:id="rId939" ref="G466"/>
    <hyperlink r:id="rId940" ref="G467"/>
    <hyperlink r:id="rId941" ref="F468"/>
    <hyperlink r:id="rId942" ref="G468"/>
    <hyperlink r:id="rId943" ref="S468"/>
    <hyperlink r:id="rId944" ref="S469"/>
    <hyperlink r:id="rId945" ref="F470"/>
    <hyperlink r:id="rId946" ref="S470"/>
    <hyperlink r:id="rId947" ref="F471"/>
    <hyperlink r:id="rId948" ref="S471"/>
    <hyperlink r:id="rId949" ref="F472"/>
    <hyperlink r:id="rId950" ref="G472"/>
    <hyperlink r:id="rId951" ref="S472"/>
    <hyperlink r:id="rId952" ref="G473"/>
    <hyperlink r:id="rId953" ref="G474"/>
    <hyperlink r:id="rId954" ref="S474"/>
    <hyperlink r:id="rId955" ref="F475"/>
    <hyperlink r:id="rId956" ref="G475"/>
    <hyperlink r:id="rId957" ref="S475"/>
    <hyperlink r:id="rId958" ref="F476"/>
    <hyperlink r:id="rId959" ref="S476"/>
    <hyperlink r:id="rId960" ref="F477"/>
    <hyperlink r:id="rId961" ref="G477"/>
    <hyperlink r:id="rId962" ref="S477"/>
    <hyperlink r:id="rId963" ref="G478"/>
    <hyperlink r:id="rId964" ref="S478"/>
    <hyperlink r:id="rId965" ref="F479"/>
    <hyperlink r:id="rId966" ref="S479"/>
    <hyperlink r:id="rId967" ref="F480"/>
    <hyperlink r:id="rId968" ref="S480"/>
    <hyperlink r:id="rId969" ref="S481"/>
    <hyperlink r:id="rId970" ref="F482"/>
    <hyperlink r:id="rId971" ref="G482"/>
    <hyperlink r:id="rId972" ref="G483"/>
    <hyperlink r:id="rId973" ref="S483"/>
    <hyperlink r:id="rId974" ref="F484"/>
    <hyperlink r:id="rId975" ref="G484"/>
    <hyperlink r:id="rId976" location="/" ref="S484"/>
    <hyperlink r:id="rId977" ref="F485"/>
    <hyperlink r:id="rId978" ref="G485"/>
    <hyperlink r:id="rId979" ref="S485"/>
    <hyperlink r:id="rId980" ref="G486"/>
    <hyperlink r:id="rId981" ref="S486"/>
    <hyperlink r:id="rId982" ref="G487"/>
    <hyperlink r:id="rId983" ref="S487"/>
    <hyperlink r:id="rId984" ref="F488"/>
    <hyperlink r:id="rId985" ref="G488"/>
    <hyperlink r:id="rId986" ref="G489"/>
    <hyperlink r:id="rId987" ref="S489"/>
    <hyperlink r:id="rId988" ref="F490"/>
    <hyperlink r:id="rId989" ref="G490"/>
    <hyperlink r:id="rId990" ref="S490"/>
    <hyperlink r:id="rId991" ref="F491"/>
    <hyperlink r:id="rId992" ref="G491"/>
    <hyperlink r:id="rId993" ref="G492"/>
    <hyperlink r:id="rId994" ref="S492"/>
    <hyperlink r:id="rId995" ref="F493"/>
    <hyperlink r:id="rId996" ref="G493"/>
    <hyperlink r:id="rId997" ref="S493"/>
    <hyperlink r:id="rId998" ref="F494"/>
    <hyperlink r:id="rId999" ref="G494"/>
    <hyperlink r:id="rId1000" ref="S494"/>
    <hyperlink r:id="rId1001" ref="F495"/>
    <hyperlink r:id="rId1002" ref="G495"/>
    <hyperlink r:id="rId1003" ref="F496"/>
    <hyperlink r:id="rId1004" ref="S496"/>
    <hyperlink r:id="rId1005" ref="F499"/>
    <hyperlink r:id="rId1006" ref="G499"/>
    <hyperlink r:id="rId1007" ref="S499"/>
    <hyperlink r:id="rId1008" ref="F500"/>
    <hyperlink r:id="rId1009" ref="S500"/>
    <hyperlink r:id="rId1010" ref="F501"/>
    <hyperlink r:id="rId1011" ref="S501"/>
    <hyperlink r:id="rId1012" ref="F502"/>
    <hyperlink r:id="rId1013" ref="G502"/>
    <hyperlink r:id="rId1014" ref="S502"/>
    <hyperlink r:id="rId1015" ref="F503"/>
    <hyperlink r:id="rId1016" ref="S503"/>
    <hyperlink r:id="rId1017" ref="F504"/>
    <hyperlink r:id="rId1018" ref="G504"/>
    <hyperlink r:id="rId1019" ref="S504"/>
    <hyperlink r:id="rId1020" ref="F505"/>
    <hyperlink r:id="rId1021" ref="S505"/>
    <hyperlink r:id="rId1022" ref="F506"/>
    <hyperlink r:id="rId1023" ref="G506"/>
    <hyperlink r:id="rId1024" ref="S506"/>
    <hyperlink r:id="rId1025" ref="F507"/>
    <hyperlink r:id="rId1026" ref="F508"/>
    <hyperlink r:id="rId1027" ref="G508"/>
    <hyperlink r:id="rId1028" ref="S508"/>
    <hyperlink r:id="rId1029" ref="F509"/>
    <hyperlink r:id="rId1030" ref="S509"/>
    <hyperlink r:id="rId1031" ref="G510"/>
    <hyperlink r:id="rId1032" ref="S510"/>
    <hyperlink r:id="rId1033" ref="G511"/>
    <hyperlink r:id="rId1034" ref="S511"/>
    <hyperlink r:id="rId1035" ref="F512"/>
    <hyperlink r:id="rId1036" ref="S512"/>
    <hyperlink r:id="rId1037" ref="F513"/>
    <hyperlink r:id="rId1038" ref="G513"/>
    <hyperlink r:id="rId1039" ref="S513"/>
    <hyperlink r:id="rId1040" ref="S514"/>
    <hyperlink r:id="rId1041" ref="F515"/>
    <hyperlink r:id="rId1042" ref="G515"/>
    <hyperlink r:id="rId1043" ref="S515"/>
    <hyperlink r:id="rId1044" ref="F516"/>
    <hyperlink r:id="rId1045" ref="G516"/>
    <hyperlink r:id="rId1046" ref="F517"/>
    <hyperlink r:id="rId1047" ref="G517"/>
    <hyperlink r:id="rId1048" ref="S517"/>
    <hyperlink r:id="rId1049" ref="F518"/>
    <hyperlink r:id="rId1050" ref="S518"/>
    <hyperlink r:id="rId1051" ref="F519"/>
    <hyperlink r:id="rId1052" ref="G519"/>
    <hyperlink r:id="rId1053" ref="S519"/>
    <hyperlink r:id="rId1054" ref="F520"/>
    <hyperlink r:id="rId1055" ref="S520"/>
    <hyperlink r:id="rId1056" ref="F521"/>
    <hyperlink r:id="rId1057" ref="S521"/>
    <hyperlink r:id="rId1058" ref="F522"/>
    <hyperlink r:id="rId1059" ref="G522"/>
    <hyperlink r:id="rId1060" ref="S522"/>
    <hyperlink r:id="rId1061" ref="F523"/>
    <hyperlink r:id="rId1062" ref="S523"/>
    <hyperlink r:id="rId1063" ref="F524"/>
    <hyperlink r:id="rId1064" ref="S524"/>
    <hyperlink r:id="rId1065" ref="F525"/>
    <hyperlink r:id="rId1066" ref="S525"/>
    <hyperlink r:id="rId1067" ref="G526"/>
    <hyperlink r:id="rId1068" ref="S526"/>
    <hyperlink r:id="rId1069" ref="F527"/>
    <hyperlink r:id="rId1070" ref="F528"/>
    <hyperlink r:id="rId1071" ref="F529"/>
    <hyperlink r:id="rId1072" ref="G529"/>
    <hyperlink r:id="rId1073" ref="S529"/>
    <hyperlink r:id="rId1074" ref="F530"/>
    <hyperlink r:id="rId1075" ref="S530"/>
    <hyperlink r:id="rId1076" ref="F531"/>
    <hyperlink r:id="rId1077" ref="S531"/>
    <hyperlink r:id="rId1078" ref="F532"/>
    <hyperlink r:id="rId1079" ref="S532"/>
    <hyperlink r:id="rId1080" ref="F533"/>
    <hyperlink r:id="rId1081" ref="G533"/>
    <hyperlink r:id="rId1082" ref="S533"/>
    <hyperlink r:id="rId1083" ref="F534"/>
    <hyperlink r:id="rId1084" ref="S534"/>
    <hyperlink r:id="rId1085" ref="F535"/>
    <hyperlink r:id="rId1086" ref="G535"/>
    <hyperlink r:id="rId1087" ref="S535"/>
    <hyperlink r:id="rId1088" ref="F536"/>
    <hyperlink r:id="rId1089" ref="S536"/>
    <hyperlink r:id="rId1090" ref="S537"/>
    <hyperlink r:id="rId1091" ref="G538"/>
    <hyperlink r:id="rId1092" ref="S538"/>
    <hyperlink r:id="rId1093" ref="F539"/>
    <hyperlink r:id="rId1094" ref="G539"/>
    <hyperlink r:id="rId1095" ref="S539"/>
    <hyperlink r:id="rId1096" ref="F540"/>
    <hyperlink r:id="rId1097" ref="S540"/>
    <hyperlink r:id="rId1098" ref="F541"/>
    <hyperlink r:id="rId1099" ref="S541"/>
    <hyperlink r:id="rId1100" ref="F542"/>
    <hyperlink r:id="rId1101" ref="G542"/>
    <hyperlink r:id="rId1102" ref="S542"/>
    <hyperlink r:id="rId1103" ref="F543"/>
    <hyperlink r:id="rId1104" ref="G543"/>
    <hyperlink r:id="rId1105" ref="S543"/>
    <hyperlink r:id="rId1106" ref="G544"/>
    <hyperlink r:id="rId1107" ref="S544"/>
    <hyperlink r:id="rId1108" ref="F545"/>
    <hyperlink r:id="rId1109" ref="S545"/>
    <hyperlink r:id="rId1110" ref="F546"/>
    <hyperlink r:id="rId1111" ref="S546"/>
    <hyperlink r:id="rId1112" ref="F548"/>
    <hyperlink r:id="rId1113" ref="S548"/>
    <hyperlink r:id="rId1114" ref="F550"/>
    <hyperlink r:id="rId1115" ref="S550"/>
    <hyperlink r:id="rId1116" ref="F551"/>
    <hyperlink r:id="rId1117" ref="S551"/>
    <hyperlink r:id="rId1118" ref="G552"/>
    <hyperlink r:id="rId1119" ref="F553"/>
    <hyperlink r:id="rId1120" ref="S553"/>
    <hyperlink r:id="rId1121" ref="F554"/>
    <hyperlink r:id="rId1122" ref="S554"/>
    <hyperlink r:id="rId1123" ref="G555"/>
    <hyperlink r:id="rId1124" ref="S555"/>
    <hyperlink r:id="rId1125" ref="F556"/>
    <hyperlink r:id="rId1126" ref="S556"/>
    <hyperlink r:id="rId1127" ref="F557"/>
    <hyperlink r:id="rId1128" ref="S557"/>
    <hyperlink r:id="rId1129" ref="F558"/>
    <hyperlink r:id="rId1130" ref="G558"/>
    <hyperlink r:id="rId1131" ref="S558"/>
    <hyperlink r:id="rId1132" ref="G559"/>
    <hyperlink r:id="rId1133" ref="S559"/>
    <hyperlink r:id="rId1134" ref="G560"/>
    <hyperlink r:id="rId1135" ref="S560"/>
    <hyperlink r:id="rId1136" ref="F562"/>
    <hyperlink r:id="rId1137" ref="S562"/>
    <hyperlink r:id="rId1138" ref="G563"/>
    <hyperlink r:id="rId1139" ref="S563"/>
    <hyperlink r:id="rId1140" ref="F564"/>
    <hyperlink r:id="rId1141" ref="G564"/>
    <hyperlink r:id="rId1142" ref="S564"/>
    <hyperlink r:id="rId1143" ref="G565"/>
    <hyperlink r:id="rId1144" ref="S565"/>
    <hyperlink r:id="rId1145" ref="F566"/>
    <hyperlink r:id="rId1146" ref="S566"/>
    <hyperlink r:id="rId1147" ref="G567"/>
    <hyperlink r:id="rId1148" ref="F568"/>
    <hyperlink r:id="rId1149" ref="G568"/>
    <hyperlink r:id="rId1150" ref="S568"/>
    <hyperlink r:id="rId1151" ref="F569"/>
    <hyperlink r:id="rId1152" ref="G569"/>
    <hyperlink r:id="rId1153" ref="S569"/>
    <hyperlink r:id="rId1154" ref="F570"/>
    <hyperlink r:id="rId1155" ref="G570"/>
    <hyperlink r:id="rId1156" ref="S571"/>
    <hyperlink r:id="rId1157" ref="G572"/>
    <hyperlink r:id="rId1158" ref="S572"/>
    <hyperlink r:id="rId1159" ref="F573"/>
    <hyperlink r:id="rId1160" ref="S573"/>
    <hyperlink r:id="rId1161" ref="G574"/>
    <hyperlink r:id="rId1162" ref="S574"/>
    <hyperlink r:id="rId1163" ref="F575"/>
    <hyperlink r:id="rId1164" ref="S575"/>
    <hyperlink r:id="rId1165" ref="F576"/>
    <hyperlink r:id="rId1166" ref="G576"/>
    <hyperlink r:id="rId1167" ref="S576"/>
    <hyperlink r:id="rId1168" ref="F577"/>
    <hyperlink r:id="rId1169" ref="G577"/>
    <hyperlink r:id="rId1170" ref="S577"/>
    <hyperlink r:id="rId1171" ref="G578"/>
    <hyperlink r:id="rId1172" ref="S578"/>
    <hyperlink r:id="rId1173" ref="G579"/>
    <hyperlink r:id="rId1174" ref="S579"/>
    <hyperlink r:id="rId1175" ref="F580"/>
    <hyperlink r:id="rId1176" ref="G580"/>
    <hyperlink r:id="rId1177" ref="S580"/>
    <hyperlink r:id="rId1178" ref="S581"/>
    <hyperlink r:id="rId1179" ref="F582"/>
    <hyperlink r:id="rId1180" ref="G582"/>
    <hyperlink r:id="rId1181" ref="S582"/>
    <hyperlink r:id="rId1182" ref="S583"/>
    <hyperlink r:id="rId1183" ref="F584"/>
    <hyperlink r:id="rId1184" ref="F585"/>
    <hyperlink r:id="rId1185" ref="G585"/>
    <hyperlink r:id="rId1186" ref="S585"/>
    <hyperlink r:id="rId1187" ref="F586"/>
    <hyperlink r:id="rId1188" ref="S586"/>
    <hyperlink r:id="rId1189" ref="F587"/>
    <hyperlink r:id="rId1190" ref="S587"/>
    <hyperlink r:id="rId1191" ref="F588"/>
    <hyperlink r:id="rId1192" ref="S588"/>
    <hyperlink r:id="rId1193" ref="G589"/>
    <hyperlink r:id="rId1194" ref="S589"/>
    <hyperlink r:id="rId1195" ref="F590"/>
    <hyperlink r:id="rId1196" ref="S590"/>
    <hyperlink r:id="rId1197" ref="F591"/>
    <hyperlink r:id="rId1198" ref="G591"/>
    <hyperlink r:id="rId1199" ref="S591"/>
    <hyperlink r:id="rId1200" ref="F592"/>
    <hyperlink r:id="rId1201" ref="G592"/>
    <hyperlink r:id="rId1202" ref="G594"/>
    <hyperlink r:id="rId1203" ref="S594"/>
    <hyperlink r:id="rId1204" ref="F595"/>
    <hyperlink r:id="rId1205" ref="S595"/>
    <hyperlink r:id="rId1206" ref="F596"/>
    <hyperlink r:id="rId1207" ref="S596"/>
    <hyperlink r:id="rId1208" ref="S597"/>
    <hyperlink r:id="rId1209" ref="F598"/>
    <hyperlink r:id="rId1210" ref="S598"/>
    <hyperlink r:id="rId1211" ref="S599"/>
    <hyperlink r:id="rId1212" ref="G600"/>
    <hyperlink r:id="rId1213" ref="S600"/>
    <hyperlink r:id="rId1214" ref="S601"/>
    <hyperlink r:id="rId1215" ref="F602"/>
    <hyperlink r:id="rId1216" ref="S602"/>
    <hyperlink r:id="rId1217" ref="F603"/>
    <hyperlink r:id="rId1218" ref="G603"/>
    <hyperlink r:id="rId1219" ref="S603"/>
    <hyperlink r:id="rId1220" ref="F604"/>
    <hyperlink r:id="rId1221" ref="G604"/>
    <hyperlink r:id="rId1222" ref="S604"/>
    <hyperlink r:id="rId1223" ref="G605"/>
    <hyperlink r:id="rId1224" ref="S605"/>
    <hyperlink r:id="rId1225" ref="F606"/>
    <hyperlink r:id="rId1226" ref="S606"/>
    <hyperlink r:id="rId1227" ref="F607"/>
    <hyperlink r:id="rId1228" ref="S607"/>
    <hyperlink r:id="rId1229" ref="F608"/>
    <hyperlink r:id="rId1230" ref="S608"/>
    <hyperlink r:id="rId1231" ref="F609"/>
    <hyperlink r:id="rId1232" ref="S609"/>
    <hyperlink r:id="rId1233" ref="G610"/>
    <hyperlink r:id="rId1234" ref="F611"/>
    <hyperlink r:id="rId1235" ref="G611"/>
    <hyperlink r:id="rId1236" ref="S611"/>
    <hyperlink r:id="rId1237" ref="F613"/>
    <hyperlink r:id="rId1238" ref="G613"/>
    <hyperlink r:id="rId1239" ref="S613"/>
    <hyperlink r:id="rId1240" ref="G614"/>
    <hyperlink r:id="rId1241" ref="F615"/>
    <hyperlink r:id="rId1242" ref="S615"/>
    <hyperlink r:id="rId1243" ref="F616"/>
    <hyperlink r:id="rId1244" ref="S616"/>
    <hyperlink r:id="rId1245" ref="F617"/>
    <hyperlink r:id="rId1246" ref="S617"/>
    <hyperlink r:id="rId1247" ref="S618"/>
    <hyperlink r:id="rId1248" ref="F619"/>
    <hyperlink r:id="rId1249" ref="G619"/>
    <hyperlink r:id="rId1250" ref="S619"/>
    <hyperlink r:id="rId1251" ref="F620"/>
    <hyperlink r:id="rId1252" ref="G620"/>
    <hyperlink r:id="rId1253" ref="S620"/>
    <hyperlink r:id="rId1254" ref="G621"/>
    <hyperlink r:id="rId1255" ref="S621"/>
    <hyperlink r:id="rId1256" ref="F622"/>
    <hyperlink r:id="rId1257" ref="G622"/>
    <hyperlink r:id="rId1258" ref="S622"/>
    <hyperlink r:id="rId1259" ref="S623"/>
    <hyperlink r:id="rId1260" ref="F624"/>
    <hyperlink r:id="rId1261" ref="G624"/>
    <hyperlink r:id="rId1262" ref="S624"/>
    <hyperlink r:id="rId1263" ref="F625"/>
    <hyperlink r:id="rId1264" ref="G625"/>
    <hyperlink r:id="rId1265" ref="S625"/>
    <hyperlink r:id="rId1266" ref="F626"/>
    <hyperlink r:id="rId1267" ref="S626"/>
    <hyperlink r:id="rId1268" ref="G627"/>
    <hyperlink r:id="rId1269" ref="S627"/>
    <hyperlink r:id="rId1270" ref="G629"/>
    <hyperlink r:id="rId1271" ref="S629"/>
    <hyperlink r:id="rId1272" ref="F630"/>
    <hyperlink r:id="rId1273" ref="G630"/>
    <hyperlink r:id="rId1274" ref="S630"/>
    <hyperlink r:id="rId1275" ref="F631"/>
    <hyperlink r:id="rId1276" ref="G631"/>
    <hyperlink r:id="rId1277" ref="S631"/>
    <hyperlink r:id="rId1278" ref="S632"/>
    <hyperlink r:id="rId1279" ref="F633"/>
    <hyperlink r:id="rId1280" ref="G633"/>
    <hyperlink r:id="rId1281" ref="S633"/>
    <hyperlink r:id="rId1282" ref="G634"/>
    <hyperlink r:id="rId1283" ref="S634"/>
    <hyperlink r:id="rId1284" ref="S635"/>
    <hyperlink r:id="rId1285" ref="F636"/>
    <hyperlink r:id="rId1286" ref="G636"/>
    <hyperlink r:id="rId1287" ref="G637"/>
    <hyperlink r:id="rId1288" ref="S637"/>
    <hyperlink r:id="rId1289" ref="F638"/>
    <hyperlink r:id="rId1290" ref="F639"/>
    <hyperlink r:id="rId1291" ref="S640"/>
    <hyperlink r:id="rId1292" ref="F642"/>
    <hyperlink r:id="rId1293" ref="S642"/>
    <hyperlink r:id="rId1294" ref="F643"/>
    <hyperlink r:id="rId1295" ref="G643"/>
    <hyperlink r:id="rId1296" ref="S643"/>
    <hyperlink r:id="rId1297" ref="F644"/>
    <hyperlink r:id="rId1298" ref="S644"/>
    <hyperlink r:id="rId1299" ref="G645"/>
    <hyperlink r:id="rId1300" ref="S645"/>
    <hyperlink r:id="rId1301" ref="S646"/>
    <hyperlink r:id="rId1302" ref="F647"/>
    <hyperlink r:id="rId1303" ref="S647"/>
    <hyperlink r:id="rId1304" ref="F648"/>
    <hyperlink r:id="rId1305" ref="S648"/>
    <hyperlink r:id="rId1306" ref="G649"/>
    <hyperlink r:id="rId1307" ref="F650"/>
    <hyperlink r:id="rId1308" ref="G650"/>
    <hyperlink r:id="rId1309" ref="S650"/>
    <hyperlink r:id="rId1310" ref="F651"/>
    <hyperlink r:id="rId1311" ref="S651"/>
    <hyperlink r:id="rId1312" ref="F652"/>
    <hyperlink r:id="rId1313" ref="G652"/>
    <hyperlink r:id="rId1314" ref="S652"/>
    <hyperlink r:id="rId1315" ref="F653"/>
    <hyperlink r:id="rId1316" ref="G653"/>
    <hyperlink r:id="rId1317" ref="S653"/>
    <hyperlink r:id="rId1318" ref="G654"/>
    <hyperlink r:id="rId1319" ref="S654"/>
    <hyperlink r:id="rId1320" ref="G655"/>
    <hyperlink r:id="rId1321" ref="S655"/>
    <hyperlink r:id="rId1322" ref="S656"/>
    <hyperlink r:id="rId1323" ref="F657"/>
    <hyperlink r:id="rId1324" ref="S657"/>
    <hyperlink r:id="rId1325" ref="F658"/>
    <hyperlink r:id="rId1326" ref="G658"/>
    <hyperlink r:id="rId1327" ref="S658"/>
    <hyperlink r:id="rId1328" ref="G659"/>
    <hyperlink r:id="rId1329" ref="S659"/>
    <hyperlink r:id="rId1330" ref="F660"/>
    <hyperlink r:id="rId1331" ref="G660"/>
    <hyperlink r:id="rId1332" ref="S660"/>
    <hyperlink r:id="rId1333" ref="F661"/>
    <hyperlink r:id="rId1334" ref="S661"/>
    <hyperlink r:id="rId1335" ref="F662"/>
    <hyperlink r:id="rId1336" ref="S662"/>
    <hyperlink r:id="rId1337" ref="G663"/>
    <hyperlink r:id="rId1338" ref="F664"/>
    <hyperlink r:id="rId1339" ref="G664"/>
    <hyperlink r:id="rId1340" ref="F665"/>
    <hyperlink r:id="rId1341" ref="G665"/>
    <hyperlink r:id="rId1342" ref="S665"/>
    <hyperlink r:id="rId1343" ref="F666"/>
    <hyperlink r:id="rId1344" ref="S666"/>
    <hyperlink r:id="rId1345" ref="F667"/>
    <hyperlink r:id="rId1346" ref="G667"/>
    <hyperlink r:id="rId1347" ref="S667"/>
    <hyperlink r:id="rId1348" ref="F668"/>
    <hyperlink r:id="rId1349" ref="G668"/>
    <hyperlink r:id="rId1350" ref="S668"/>
    <hyperlink r:id="rId1351" ref="F669"/>
    <hyperlink r:id="rId1352" ref="S669"/>
    <hyperlink r:id="rId1353" ref="F670"/>
    <hyperlink r:id="rId1354" ref="S670"/>
    <hyperlink r:id="rId1355" ref="F671"/>
    <hyperlink r:id="rId1356" ref="F672"/>
    <hyperlink r:id="rId1357" ref="S672"/>
    <hyperlink r:id="rId1358" ref="G673"/>
    <hyperlink r:id="rId1359" ref="S673"/>
    <hyperlink r:id="rId1360" ref="F674"/>
    <hyperlink r:id="rId1361" ref="G674"/>
    <hyperlink r:id="rId1362" ref="S674"/>
    <hyperlink r:id="rId1363" ref="F675"/>
    <hyperlink r:id="rId1364" ref="G675"/>
    <hyperlink r:id="rId1365" location="/" ref="S675"/>
    <hyperlink r:id="rId1366" ref="F676"/>
    <hyperlink r:id="rId1367" ref="G676"/>
    <hyperlink r:id="rId1368" ref="S676"/>
    <hyperlink r:id="rId1369" ref="F677"/>
    <hyperlink r:id="rId1370" ref="F678"/>
    <hyperlink r:id="rId1371" ref="S678"/>
    <hyperlink r:id="rId1372" ref="F679"/>
    <hyperlink r:id="rId1373" ref="S679"/>
    <hyperlink r:id="rId1374" ref="G680"/>
    <hyperlink r:id="rId1375" ref="S680"/>
    <hyperlink r:id="rId1376" ref="F681"/>
    <hyperlink r:id="rId1377" ref="S681"/>
    <hyperlink r:id="rId1378" ref="F682"/>
    <hyperlink r:id="rId1379" ref="F683"/>
    <hyperlink r:id="rId1380" ref="G683"/>
    <hyperlink r:id="rId1381" ref="G684"/>
    <hyperlink r:id="rId1382" ref="S684"/>
    <hyperlink r:id="rId1383" ref="G685"/>
    <hyperlink r:id="rId1384" ref="S685"/>
    <hyperlink r:id="rId1385" ref="F686"/>
    <hyperlink r:id="rId1386" ref="G686"/>
    <hyperlink r:id="rId1387" ref="S686"/>
    <hyperlink r:id="rId1388" ref="F687"/>
    <hyperlink r:id="rId1389" ref="G687"/>
    <hyperlink r:id="rId1390" ref="S687"/>
    <hyperlink r:id="rId1391" ref="F688"/>
    <hyperlink r:id="rId1392" ref="G688"/>
    <hyperlink r:id="rId1393" ref="S688"/>
    <hyperlink r:id="rId1394" ref="F689"/>
    <hyperlink r:id="rId1395" ref="G689"/>
    <hyperlink r:id="rId1396" ref="S689"/>
    <hyperlink r:id="rId1397" ref="F690"/>
    <hyperlink r:id="rId1398" ref="F691"/>
    <hyperlink r:id="rId1399" ref="G691"/>
    <hyperlink r:id="rId1400" ref="S691"/>
    <hyperlink r:id="rId1401" ref="F692"/>
    <hyperlink r:id="rId1402" ref="G692"/>
    <hyperlink r:id="rId1403" ref="S692"/>
    <hyperlink r:id="rId1404" ref="G693"/>
    <hyperlink r:id="rId1405" ref="S693"/>
    <hyperlink r:id="rId1406" ref="F694"/>
    <hyperlink r:id="rId1407" ref="G694"/>
    <hyperlink r:id="rId1408" ref="S694"/>
    <hyperlink r:id="rId1409" ref="G695"/>
    <hyperlink r:id="rId1410" ref="S695"/>
    <hyperlink r:id="rId1411" ref="S696"/>
    <hyperlink r:id="rId1412" ref="F697"/>
    <hyperlink r:id="rId1413" ref="G697"/>
    <hyperlink r:id="rId1414" ref="S697"/>
    <hyperlink r:id="rId1415" ref="G698"/>
    <hyperlink r:id="rId1416" ref="F699"/>
    <hyperlink r:id="rId1417" ref="G699"/>
    <hyperlink r:id="rId1418" ref="S699"/>
    <hyperlink r:id="rId1419" ref="F700"/>
    <hyperlink r:id="rId1420" ref="G700"/>
    <hyperlink r:id="rId1421" ref="S700"/>
    <hyperlink r:id="rId1422" ref="F701"/>
    <hyperlink r:id="rId1423" ref="G701"/>
    <hyperlink r:id="rId1424" ref="S701"/>
    <hyperlink r:id="rId1425" ref="F702"/>
    <hyperlink r:id="rId1426" ref="G702"/>
    <hyperlink r:id="rId1427" ref="F703"/>
    <hyperlink r:id="rId1428" ref="G703"/>
    <hyperlink r:id="rId1429" ref="S703"/>
    <hyperlink r:id="rId1430" ref="F704"/>
    <hyperlink r:id="rId1431" ref="S704"/>
    <hyperlink r:id="rId1432" location="2f79c2e01181" ref="F705"/>
    <hyperlink r:id="rId1433" ref="G705"/>
    <hyperlink r:id="rId1434" ref="S705"/>
    <hyperlink r:id="rId1435" ref="F706"/>
    <hyperlink r:id="rId1436" ref="G706"/>
    <hyperlink r:id="rId1437" ref="S706"/>
    <hyperlink r:id="rId1438" ref="F707"/>
    <hyperlink r:id="rId1439" ref="G707"/>
    <hyperlink r:id="rId1440" ref="F708"/>
    <hyperlink r:id="rId1441" ref="G708"/>
    <hyperlink r:id="rId1442" ref="S708"/>
    <hyperlink r:id="rId1443" ref="F709"/>
    <hyperlink r:id="rId1444" ref="G709"/>
    <hyperlink r:id="rId1445" ref="S709"/>
    <hyperlink r:id="rId1446" ref="S710"/>
    <hyperlink r:id="rId1447" ref="F711"/>
    <hyperlink r:id="rId1448" ref="G711"/>
    <hyperlink r:id="rId1449" ref="S711"/>
    <hyperlink r:id="rId1450" ref="S712"/>
    <hyperlink r:id="rId1451" ref="S713"/>
    <hyperlink r:id="rId1452" ref="G714"/>
    <hyperlink r:id="rId1453" ref="S714"/>
    <hyperlink r:id="rId1454" ref="F715"/>
    <hyperlink r:id="rId1455" ref="F716"/>
    <hyperlink r:id="rId1456" ref="S716"/>
    <hyperlink r:id="rId1457" ref="F717"/>
    <hyperlink r:id="rId1458" ref="G717"/>
    <hyperlink r:id="rId1459" ref="F718"/>
    <hyperlink r:id="rId1460" ref="G718"/>
    <hyperlink r:id="rId1461" ref="S718"/>
    <hyperlink r:id="rId1462" ref="F719"/>
    <hyperlink r:id="rId1463" ref="S719"/>
    <hyperlink r:id="rId1464" ref="F720"/>
    <hyperlink r:id="rId1465" ref="G720"/>
    <hyperlink r:id="rId1466" ref="S720"/>
    <hyperlink r:id="rId1467" ref="F721"/>
    <hyperlink r:id="rId1468" ref="S721"/>
    <hyperlink r:id="rId1469" ref="F722"/>
    <hyperlink r:id="rId1470" ref="G722"/>
    <hyperlink r:id="rId1471" ref="S722"/>
    <hyperlink r:id="rId1472" ref="F723"/>
    <hyperlink r:id="rId1473" ref="S723"/>
    <hyperlink r:id="rId1474" ref="F724"/>
    <hyperlink r:id="rId1475" ref="G724"/>
    <hyperlink r:id="rId1476" ref="S724"/>
    <hyperlink r:id="rId1477" ref="F725"/>
    <hyperlink r:id="rId1478" ref="S725"/>
    <hyperlink r:id="rId1479" ref="S726"/>
    <hyperlink r:id="rId1480" ref="F727"/>
    <hyperlink r:id="rId1481" ref="G727"/>
    <hyperlink r:id="rId1482" ref="S727"/>
    <hyperlink r:id="rId1483" ref="G728"/>
    <hyperlink r:id="rId1484" ref="S728"/>
    <hyperlink r:id="rId1485" ref="F729"/>
    <hyperlink r:id="rId1486" ref="G729"/>
    <hyperlink r:id="rId1487" ref="F730"/>
    <hyperlink r:id="rId1488" ref="S730"/>
    <hyperlink r:id="rId1489" ref="F731"/>
    <hyperlink r:id="rId1490" ref="S731"/>
    <hyperlink r:id="rId1491" ref="S732"/>
    <hyperlink r:id="rId1492" ref="F733"/>
    <hyperlink r:id="rId1493" ref="G733"/>
    <hyperlink r:id="rId1494" ref="S733"/>
    <hyperlink r:id="rId1495" ref="F735"/>
    <hyperlink r:id="rId1496" ref="G735"/>
    <hyperlink r:id="rId1497" ref="S735"/>
    <hyperlink r:id="rId1498" ref="F736"/>
    <hyperlink r:id="rId1499" ref="G736"/>
    <hyperlink r:id="rId1500" ref="S736"/>
    <hyperlink r:id="rId1501" ref="S737"/>
    <hyperlink r:id="rId1502" ref="S738"/>
    <hyperlink r:id="rId1503" ref="F739"/>
    <hyperlink r:id="rId1504" ref="G739"/>
    <hyperlink r:id="rId1505" ref="S739"/>
    <hyperlink r:id="rId1506" ref="S740"/>
    <hyperlink r:id="rId1507" ref="F741"/>
    <hyperlink r:id="rId1508" ref="S741"/>
    <hyperlink r:id="rId1509" ref="F742"/>
    <hyperlink r:id="rId1510" ref="G742"/>
    <hyperlink r:id="rId1511" ref="F743"/>
    <hyperlink r:id="rId1512" ref="S743"/>
    <hyperlink r:id="rId1513" ref="F744"/>
    <hyperlink r:id="rId1514" ref="G744"/>
    <hyperlink r:id="rId1515" ref="S744"/>
    <hyperlink r:id="rId1516" ref="F745"/>
    <hyperlink r:id="rId1517" ref="G745"/>
    <hyperlink r:id="rId1518" ref="S745"/>
    <hyperlink r:id="rId1519" ref="G746"/>
    <hyperlink r:id="rId1520" ref="S746"/>
    <hyperlink r:id="rId1521" ref="S747"/>
    <hyperlink r:id="rId1522" ref="F748"/>
    <hyperlink r:id="rId1523" ref="G748"/>
    <hyperlink r:id="rId1524" ref="S748"/>
    <hyperlink r:id="rId1525" ref="F749"/>
    <hyperlink r:id="rId1526" ref="S749"/>
    <hyperlink r:id="rId1527" ref="F750"/>
    <hyperlink r:id="rId1528" ref="G751"/>
    <hyperlink r:id="rId1529" ref="S751"/>
    <hyperlink r:id="rId1530" ref="G752"/>
    <hyperlink r:id="rId1531" ref="S752"/>
    <hyperlink r:id="rId1532" ref="F753"/>
    <hyperlink r:id="rId1533" ref="G753"/>
    <hyperlink r:id="rId1534" ref="S753"/>
    <hyperlink r:id="rId1535" ref="G754"/>
    <hyperlink r:id="rId1536" ref="S754"/>
    <hyperlink r:id="rId1537" ref="F755"/>
    <hyperlink r:id="rId1538" ref="G755"/>
    <hyperlink r:id="rId1539" ref="S755"/>
    <hyperlink r:id="rId1540" ref="F756"/>
    <hyperlink r:id="rId1541" ref="G756"/>
    <hyperlink r:id="rId1542" ref="S756"/>
    <hyperlink r:id="rId1543" ref="S757"/>
    <hyperlink r:id="rId1544" ref="F758"/>
    <hyperlink r:id="rId1545" ref="G758"/>
    <hyperlink r:id="rId1546" ref="S758"/>
    <hyperlink r:id="rId1547" ref="F759"/>
    <hyperlink r:id="rId1548" ref="F760"/>
    <hyperlink r:id="rId1549" ref="S760"/>
    <hyperlink r:id="rId1550" ref="F761"/>
    <hyperlink r:id="rId1551" ref="G761"/>
    <hyperlink r:id="rId1552" ref="S761"/>
    <hyperlink r:id="rId1553" ref="F762"/>
    <hyperlink r:id="rId1554" ref="S762"/>
    <hyperlink r:id="rId1555" ref="F763"/>
    <hyperlink r:id="rId1556" ref="G763"/>
    <hyperlink r:id="rId1557" ref="S763"/>
    <hyperlink r:id="rId1558" ref="F764"/>
    <hyperlink r:id="rId1559" ref="S764"/>
    <hyperlink r:id="rId1560" ref="F765"/>
    <hyperlink r:id="rId1561" ref="S765"/>
    <hyperlink r:id="rId1562" ref="G766"/>
    <hyperlink r:id="rId1563" ref="S766"/>
    <hyperlink r:id="rId1564" ref="F767"/>
    <hyperlink r:id="rId1565" ref="S767"/>
    <hyperlink r:id="rId1566" ref="G768"/>
    <hyperlink r:id="rId1567" ref="S768"/>
    <hyperlink r:id="rId1568" ref="F769"/>
    <hyperlink r:id="rId1569" ref="G769"/>
    <hyperlink r:id="rId1570" ref="S769"/>
    <hyperlink r:id="rId1571" ref="F770"/>
    <hyperlink r:id="rId1572" ref="S770"/>
    <hyperlink r:id="rId1573" ref="F772"/>
    <hyperlink r:id="rId1574" ref="G772"/>
    <hyperlink r:id="rId1575" ref="S772"/>
    <hyperlink r:id="rId1576" ref="G773"/>
    <hyperlink r:id="rId1577" ref="S773"/>
    <hyperlink r:id="rId1578" ref="F774"/>
    <hyperlink r:id="rId1579" ref="S774"/>
    <hyperlink r:id="rId1580" ref="G775"/>
    <hyperlink r:id="rId1581" ref="S775"/>
    <hyperlink r:id="rId1582" ref="F776"/>
    <hyperlink r:id="rId1583" ref="G776"/>
    <hyperlink r:id="rId1584" ref="S776"/>
    <hyperlink r:id="rId1585" ref="F778"/>
    <hyperlink r:id="rId1586" ref="S778"/>
    <hyperlink r:id="rId1587" ref="F779"/>
    <hyperlink r:id="rId1588" ref="S779"/>
    <hyperlink r:id="rId1589" ref="G780"/>
    <hyperlink r:id="rId1590" ref="S780"/>
    <hyperlink r:id="rId1591" ref="F781"/>
    <hyperlink r:id="rId1592" ref="S781"/>
    <hyperlink r:id="rId1593" ref="F782"/>
    <hyperlink r:id="rId1594" ref="G782"/>
    <hyperlink r:id="rId1595" ref="S782"/>
    <hyperlink r:id="rId1596" ref="F783"/>
    <hyperlink r:id="rId1597" ref="G783"/>
    <hyperlink r:id="rId1598" ref="S783"/>
    <hyperlink r:id="rId1599" ref="G784"/>
    <hyperlink r:id="rId1600" ref="S784"/>
    <hyperlink r:id="rId1601" ref="F785"/>
    <hyperlink r:id="rId1602" ref="S785"/>
    <hyperlink r:id="rId1603" ref="F787"/>
    <hyperlink r:id="rId1604" ref="S787"/>
    <hyperlink r:id="rId1605" location="GciYU" ref="F788"/>
    <hyperlink r:id="rId1606" ref="G788"/>
    <hyperlink r:id="rId1607" ref="S788"/>
    <hyperlink r:id="rId1608" ref="F789"/>
    <hyperlink r:id="rId1609" ref="S789"/>
    <hyperlink r:id="rId1610" ref="S790"/>
    <hyperlink r:id="rId1611" ref="F791"/>
    <hyperlink r:id="rId1612" ref="S791"/>
    <hyperlink r:id="rId1613" ref="F792"/>
    <hyperlink r:id="rId1614" ref="F793"/>
    <hyperlink r:id="rId1615" ref="S793"/>
    <hyperlink r:id="rId1616" ref="F794"/>
    <hyperlink r:id="rId1617" ref="S794"/>
    <hyperlink r:id="rId1618" ref="F795"/>
    <hyperlink r:id="rId1619" ref="G795"/>
    <hyperlink r:id="rId1620" ref="F796"/>
    <hyperlink r:id="rId1621" ref="G796"/>
    <hyperlink r:id="rId1622" ref="S796"/>
    <hyperlink r:id="rId1623" ref="F797"/>
    <hyperlink r:id="rId1624" ref="G797"/>
    <hyperlink r:id="rId1625" ref="S797"/>
    <hyperlink r:id="rId1626" ref="F798"/>
    <hyperlink r:id="rId1627" ref="S798"/>
    <hyperlink r:id="rId1628" ref="G799"/>
    <hyperlink r:id="rId1629" ref="F800"/>
    <hyperlink r:id="rId1630" ref="S800"/>
    <hyperlink r:id="rId1631" ref="F801"/>
    <hyperlink r:id="rId1632" ref="F802"/>
    <hyperlink r:id="rId1633" ref="S802"/>
    <hyperlink r:id="rId1634" ref="F803"/>
    <hyperlink r:id="rId1635" ref="G803"/>
    <hyperlink r:id="rId1636" ref="S803"/>
    <hyperlink r:id="rId1637" ref="G804"/>
    <hyperlink r:id="rId1638" ref="S804"/>
    <hyperlink r:id="rId1639" ref="G805"/>
    <hyperlink r:id="rId1640" ref="F806"/>
    <hyperlink r:id="rId1641" ref="G806"/>
    <hyperlink r:id="rId1642" ref="S806"/>
    <hyperlink r:id="rId1643" ref="G807"/>
    <hyperlink r:id="rId1644" ref="S807"/>
    <hyperlink r:id="rId1645" ref="F808"/>
    <hyperlink r:id="rId1646" ref="S808"/>
    <hyperlink r:id="rId1647" ref="G809"/>
    <hyperlink r:id="rId1648" ref="S809"/>
    <hyperlink r:id="rId1649" ref="G810"/>
    <hyperlink r:id="rId1650" ref="S810"/>
    <hyperlink r:id="rId1651" ref="F811"/>
    <hyperlink r:id="rId1652" ref="S811"/>
    <hyperlink r:id="rId1653" ref="G812"/>
    <hyperlink r:id="rId1654" ref="F813"/>
    <hyperlink r:id="rId1655" ref="G813"/>
    <hyperlink r:id="rId1656" ref="S813"/>
    <hyperlink r:id="rId1657" ref="F814"/>
    <hyperlink r:id="rId1658" ref="S814"/>
    <hyperlink r:id="rId1659" ref="G815"/>
    <hyperlink r:id="rId1660" ref="C817"/>
    <hyperlink r:id="rId1661" ref="F817"/>
    <hyperlink r:id="rId1662" ref="G817"/>
    <hyperlink r:id="rId1663" ref="S817"/>
    <hyperlink r:id="rId1664" ref="F818"/>
    <hyperlink r:id="rId1665" ref="G818"/>
    <hyperlink r:id="rId1666" ref="S818"/>
    <hyperlink r:id="rId1667" ref="F819"/>
    <hyperlink r:id="rId1668" ref="G819"/>
    <hyperlink r:id="rId1669" ref="S819"/>
    <hyperlink r:id="rId1670" ref="F820"/>
    <hyperlink r:id="rId1671" ref="S820"/>
    <hyperlink r:id="rId1672" ref="F821"/>
    <hyperlink r:id="rId1673" ref="G821"/>
    <hyperlink r:id="rId1674" ref="S821"/>
    <hyperlink r:id="rId1675" ref="F822"/>
    <hyperlink r:id="rId1676" ref="S822"/>
    <hyperlink r:id="rId1677" ref="F823"/>
    <hyperlink r:id="rId1678" ref="S823"/>
    <hyperlink r:id="rId1679" ref="F824"/>
    <hyperlink r:id="rId1680" ref="S824"/>
    <hyperlink r:id="rId1681" ref="S825"/>
    <hyperlink r:id="rId1682" ref="F826"/>
    <hyperlink r:id="rId1683" ref="G826"/>
    <hyperlink r:id="rId1684" ref="S826"/>
    <hyperlink r:id="rId1685" ref="F827"/>
    <hyperlink r:id="rId1686" ref="S827"/>
    <hyperlink r:id="rId1687" ref="F828"/>
    <hyperlink r:id="rId1688" ref="S828"/>
    <hyperlink r:id="rId1689" ref="F830"/>
    <hyperlink r:id="rId1690" ref="G830"/>
    <hyperlink r:id="rId1691" ref="S830"/>
    <hyperlink r:id="rId1692" ref="F831"/>
    <hyperlink r:id="rId1693" ref="G831"/>
    <hyperlink r:id="rId1694" ref="S831"/>
    <hyperlink r:id="rId1695" ref="F832"/>
    <hyperlink r:id="rId1696" ref="S832"/>
    <hyperlink r:id="rId1697" ref="F833"/>
    <hyperlink r:id="rId1698" ref="G833"/>
    <hyperlink r:id="rId1699" ref="S833"/>
    <hyperlink r:id="rId1700" ref="F834"/>
    <hyperlink r:id="rId1701" ref="S834"/>
    <hyperlink r:id="rId1702" ref="F835"/>
    <hyperlink r:id="rId1703" ref="S835"/>
    <hyperlink r:id="rId1704" ref="F836"/>
    <hyperlink r:id="rId1705" ref="S836"/>
    <hyperlink r:id="rId1706" ref="S837"/>
    <hyperlink r:id="rId1707" ref="F838"/>
    <hyperlink r:id="rId1708" ref="S838"/>
    <hyperlink r:id="rId1709" ref="F839"/>
    <hyperlink r:id="rId1710" ref="G839"/>
    <hyperlink r:id="rId1711" ref="S839"/>
    <hyperlink r:id="rId1712" ref="F840"/>
    <hyperlink r:id="rId1713" ref="S840"/>
    <hyperlink r:id="rId1714" ref="F841"/>
    <hyperlink r:id="rId1715" ref="G841"/>
    <hyperlink r:id="rId1716" ref="S841"/>
    <hyperlink r:id="rId1717" ref="S842"/>
    <hyperlink r:id="rId1718" ref="F844"/>
    <hyperlink r:id="rId1719" ref="G845"/>
    <hyperlink r:id="rId1720" ref="S845"/>
    <hyperlink r:id="rId1721" ref="F846"/>
    <hyperlink r:id="rId1722" ref="S846"/>
    <hyperlink r:id="rId1723" ref="F847"/>
    <hyperlink r:id="rId1724" ref="S847"/>
    <hyperlink r:id="rId1725" ref="F848"/>
    <hyperlink r:id="rId1726" ref="F849"/>
    <hyperlink r:id="rId1727" ref="S849"/>
    <hyperlink r:id="rId1728" ref="F850"/>
    <hyperlink r:id="rId1729" ref="S850"/>
    <hyperlink r:id="rId1730" ref="F851"/>
    <hyperlink r:id="rId1731" ref="S851"/>
    <hyperlink r:id="rId1732" ref="G852"/>
    <hyperlink r:id="rId1733" ref="F853"/>
    <hyperlink r:id="rId1734" ref="G853"/>
    <hyperlink r:id="rId1735" ref="S853"/>
    <hyperlink r:id="rId1736" ref="F854"/>
    <hyperlink r:id="rId1737" ref="S854"/>
    <hyperlink r:id="rId1738" ref="F855"/>
    <hyperlink r:id="rId1739" ref="S855"/>
    <hyperlink r:id="rId1740" ref="G856"/>
    <hyperlink r:id="rId1741" ref="S856"/>
    <hyperlink r:id="rId1742" ref="F857"/>
    <hyperlink r:id="rId1743" ref="G857"/>
    <hyperlink r:id="rId1744" location="/" ref="S857"/>
    <hyperlink r:id="rId1745" ref="F858"/>
    <hyperlink r:id="rId1746" ref="G858"/>
    <hyperlink r:id="rId1747" ref="S858"/>
    <hyperlink r:id="rId1748" ref="G859"/>
    <hyperlink r:id="rId1749" ref="F860"/>
    <hyperlink r:id="rId1750" ref="G860"/>
    <hyperlink r:id="rId1751" ref="S860"/>
    <hyperlink r:id="rId1752" ref="F861"/>
    <hyperlink r:id="rId1753" ref="G861"/>
    <hyperlink r:id="rId1754" ref="S861"/>
    <hyperlink r:id="rId1755" ref="F862"/>
    <hyperlink r:id="rId1756" ref="S862"/>
    <hyperlink r:id="rId1757" ref="F863"/>
    <hyperlink r:id="rId1758" ref="G863"/>
    <hyperlink r:id="rId1759" ref="S863"/>
    <hyperlink r:id="rId1760" ref="F864"/>
    <hyperlink r:id="rId1761" ref="S864"/>
    <hyperlink r:id="rId1762" ref="F865"/>
    <hyperlink r:id="rId1763" ref="S865"/>
    <hyperlink r:id="rId1764" ref="F866"/>
    <hyperlink r:id="rId1765" ref="G866"/>
    <hyperlink r:id="rId1766" ref="S866"/>
    <hyperlink r:id="rId1767" ref="S867"/>
    <hyperlink r:id="rId1768" ref="F868"/>
    <hyperlink r:id="rId1769" ref="S868"/>
    <hyperlink r:id="rId1770" ref="G869"/>
    <hyperlink r:id="rId1771" ref="S869"/>
    <hyperlink r:id="rId1772" ref="F870"/>
    <hyperlink r:id="rId1773" ref="G870"/>
    <hyperlink r:id="rId1774" ref="S870"/>
    <hyperlink r:id="rId1775" ref="F871"/>
    <hyperlink r:id="rId1776" ref="S871"/>
    <hyperlink r:id="rId1777" ref="F872"/>
    <hyperlink r:id="rId1778" ref="G872"/>
    <hyperlink r:id="rId1779" ref="S872"/>
    <hyperlink r:id="rId1780" ref="F873"/>
    <hyperlink r:id="rId1781" ref="G873"/>
    <hyperlink r:id="rId1782" ref="S873"/>
    <hyperlink r:id="rId1783" ref="F874"/>
    <hyperlink r:id="rId1784" ref="G874"/>
    <hyperlink r:id="rId1785" ref="S874"/>
    <hyperlink r:id="rId1786" ref="F875"/>
    <hyperlink r:id="rId1787" ref="S875"/>
    <hyperlink r:id="rId1788" ref="G876"/>
    <hyperlink r:id="rId1789" ref="S876"/>
    <hyperlink r:id="rId1790" ref="F877"/>
    <hyperlink r:id="rId1791" ref="G877"/>
    <hyperlink r:id="rId1792" ref="S877"/>
    <hyperlink r:id="rId1793" ref="F878"/>
    <hyperlink r:id="rId1794" ref="G878"/>
    <hyperlink r:id="rId1795" ref="S878"/>
    <hyperlink r:id="rId1796" ref="F879"/>
    <hyperlink r:id="rId1797" ref="S879"/>
    <hyperlink r:id="rId1798" ref="F881"/>
    <hyperlink r:id="rId1799" ref="G881"/>
    <hyperlink r:id="rId1800" ref="S881"/>
    <hyperlink r:id="rId1801" ref="F882"/>
    <hyperlink r:id="rId1802" ref="S882"/>
    <hyperlink r:id="rId1803" ref="G883"/>
    <hyperlink r:id="rId1804" ref="F884"/>
    <hyperlink r:id="rId1805" ref="S884"/>
    <hyperlink r:id="rId1806" ref="F885"/>
    <hyperlink r:id="rId1807" ref="S885"/>
    <hyperlink r:id="rId1808" ref="F886"/>
    <hyperlink r:id="rId1809" ref="S886"/>
    <hyperlink r:id="rId1810" ref="F887"/>
    <hyperlink r:id="rId1811" ref="S887"/>
    <hyperlink r:id="rId1812" ref="S888"/>
    <hyperlink r:id="rId1813" ref="G889"/>
    <hyperlink r:id="rId1814" ref="S889"/>
    <hyperlink r:id="rId1815" ref="F890"/>
    <hyperlink r:id="rId1816" ref="G890"/>
    <hyperlink r:id="rId1817" ref="S890"/>
    <hyperlink r:id="rId1818" ref="F891"/>
    <hyperlink r:id="rId1819" ref="S891"/>
    <hyperlink r:id="rId1820" ref="F892"/>
    <hyperlink r:id="rId1821" ref="G892"/>
    <hyperlink r:id="rId1822" ref="S892"/>
    <hyperlink r:id="rId1823" ref="G893"/>
    <hyperlink r:id="rId1824" ref="S893"/>
    <hyperlink r:id="rId1825" ref="G894"/>
    <hyperlink r:id="rId1826" ref="S894"/>
    <hyperlink r:id="rId1827" ref="G895"/>
    <hyperlink r:id="rId1828" ref="S895"/>
    <hyperlink r:id="rId1829" ref="F896"/>
    <hyperlink r:id="rId1830" ref="G896"/>
    <hyperlink r:id="rId1831" ref="S896"/>
    <hyperlink r:id="rId1832" ref="F897"/>
    <hyperlink r:id="rId1833" ref="G897"/>
    <hyperlink r:id="rId1834" ref="S897"/>
    <hyperlink r:id="rId1835" ref="F898"/>
    <hyperlink r:id="rId1836" ref="S898"/>
    <hyperlink r:id="rId1837" ref="F899"/>
    <hyperlink r:id="rId1838" ref="S899"/>
    <hyperlink r:id="rId1839" ref="F900"/>
    <hyperlink r:id="rId1840" ref="G900"/>
    <hyperlink r:id="rId1841" ref="S900"/>
    <hyperlink r:id="rId1842" ref="S901"/>
    <hyperlink r:id="rId1843" ref="F902"/>
    <hyperlink r:id="rId1844" ref="S902"/>
    <hyperlink r:id="rId1845" ref="F903"/>
    <hyperlink r:id="rId1846" ref="G903"/>
    <hyperlink r:id="rId1847" ref="S903"/>
    <hyperlink r:id="rId1848" ref="F904"/>
    <hyperlink r:id="rId1849" ref="G904"/>
    <hyperlink r:id="rId1850" ref="S904"/>
    <hyperlink r:id="rId1851" ref="F905"/>
    <hyperlink r:id="rId1852" ref="G905"/>
    <hyperlink r:id="rId1853" ref="S905"/>
    <hyperlink r:id="rId1854" ref="F906"/>
    <hyperlink r:id="rId1855" ref="G906"/>
    <hyperlink r:id="rId1856" ref="S906"/>
    <hyperlink r:id="rId1857" ref="F907"/>
    <hyperlink r:id="rId1858" ref="G907"/>
    <hyperlink r:id="rId1859" ref="F908"/>
    <hyperlink r:id="rId1860" ref="S908"/>
    <hyperlink r:id="rId1861" ref="F909"/>
    <hyperlink r:id="rId1862" ref="S909"/>
    <hyperlink r:id="rId1863" ref="F910"/>
    <hyperlink r:id="rId1864" ref="G910"/>
    <hyperlink r:id="rId1865" ref="S910"/>
    <hyperlink r:id="rId1866" ref="F911"/>
    <hyperlink r:id="rId1867" ref="G911"/>
    <hyperlink r:id="rId1868" ref="S911"/>
    <hyperlink r:id="rId1869" ref="S912"/>
    <hyperlink r:id="rId1870" ref="F913"/>
    <hyperlink r:id="rId1871" ref="S913"/>
    <hyperlink r:id="rId1872" ref="S914"/>
    <hyperlink r:id="rId1873" ref="F915"/>
    <hyperlink r:id="rId1874" ref="G915"/>
    <hyperlink r:id="rId1875" ref="S915"/>
    <hyperlink r:id="rId1876" ref="S916"/>
    <hyperlink r:id="rId1877" ref="G917"/>
    <hyperlink r:id="rId1878" ref="S917"/>
    <hyperlink r:id="rId1879" ref="F918"/>
    <hyperlink r:id="rId1880" ref="G918"/>
    <hyperlink r:id="rId1881" ref="S918"/>
    <hyperlink r:id="rId1882" ref="F919"/>
    <hyperlink r:id="rId1883" ref="S919"/>
    <hyperlink r:id="rId1884" ref="F920"/>
    <hyperlink r:id="rId1885" ref="G920"/>
    <hyperlink r:id="rId1886" ref="S920"/>
    <hyperlink r:id="rId1887" ref="F921"/>
    <hyperlink r:id="rId1888" ref="G921"/>
    <hyperlink r:id="rId1889" ref="S921"/>
    <hyperlink r:id="rId1890" ref="F922"/>
    <hyperlink r:id="rId1891" ref="G922"/>
    <hyperlink r:id="rId1892" ref="F923"/>
    <hyperlink r:id="rId1893" ref="G923"/>
    <hyperlink r:id="rId1894" ref="S923"/>
    <hyperlink r:id="rId1895" ref="F924"/>
    <hyperlink r:id="rId1896" ref="G924"/>
    <hyperlink r:id="rId1897" ref="S924"/>
    <hyperlink r:id="rId1898" ref="G925"/>
    <hyperlink r:id="rId1899" ref="S925"/>
    <hyperlink r:id="rId1900" ref="F926"/>
    <hyperlink r:id="rId1901" ref="G926"/>
    <hyperlink r:id="rId1902" ref="S926"/>
    <hyperlink r:id="rId1903" ref="F927"/>
    <hyperlink r:id="rId1904" ref="G927"/>
    <hyperlink r:id="rId1905" ref="S927"/>
    <hyperlink r:id="rId1906" ref="F928"/>
    <hyperlink r:id="rId1907" ref="G928"/>
    <hyperlink r:id="rId1908" ref="S928"/>
    <hyperlink r:id="rId1909" ref="F929"/>
    <hyperlink r:id="rId1910" ref="G929"/>
    <hyperlink r:id="rId1911" ref="S929"/>
    <hyperlink r:id="rId1912" ref="S930"/>
    <hyperlink r:id="rId1913" ref="F931"/>
    <hyperlink r:id="rId1914" ref="S931"/>
    <hyperlink r:id="rId1915" ref="F932"/>
    <hyperlink r:id="rId1916" ref="S932"/>
    <hyperlink r:id="rId1917" ref="F933"/>
    <hyperlink r:id="rId1918" ref="G933"/>
    <hyperlink r:id="rId1919" ref="S933"/>
    <hyperlink r:id="rId1920" ref="F934"/>
    <hyperlink r:id="rId1921" ref="G934"/>
    <hyperlink r:id="rId1922" ref="S934"/>
    <hyperlink r:id="rId1923" ref="F935"/>
    <hyperlink r:id="rId1924" ref="S935"/>
    <hyperlink r:id="rId1925" ref="F936"/>
    <hyperlink r:id="rId1926" ref="G936"/>
    <hyperlink r:id="rId1927" ref="S936"/>
    <hyperlink r:id="rId1928" ref="F937"/>
    <hyperlink r:id="rId1929" ref="F938"/>
    <hyperlink r:id="rId1930" ref="G938"/>
    <hyperlink r:id="rId1931" ref="S938"/>
    <hyperlink r:id="rId1932" ref="F939"/>
    <hyperlink r:id="rId1933" ref="G939"/>
    <hyperlink r:id="rId1934" ref="S939"/>
    <hyperlink r:id="rId1935" ref="F940"/>
    <hyperlink r:id="rId1936" ref="S940"/>
    <hyperlink r:id="rId1937" ref="G941"/>
    <hyperlink r:id="rId1938" ref="S941"/>
    <hyperlink r:id="rId1939" ref="F942"/>
    <hyperlink r:id="rId1940" ref="S942"/>
    <hyperlink r:id="rId1941" ref="G943"/>
    <hyperlink r:id="rId1942" ref="S944"/>
    <hyperlink r:id="rId1943" ref="S945"/>
    <hyperlink r:id="rId1944" ref="F946"/>
    <hyperlink r:id="rId1945" ref="S946"/>
    <hyperlink r:id="rId1946" ref="F947"/>
    <hyperlink r:id="rId1947" ref="S947"/>
    <hyperlink r:id="rId1948" ref="F948"/>
    <hyperlink r:id="rId1949" ref="S948"/>
    <hyperlink r:id="rId1950" ref="F949"/>
    <hyperlink r:id="rId1951" ref="G949"/>
    <hyperlink r:id="rId1952" ref="S949"/>
    <hyperlink r:id="rId1953" ref="F950"/>
    <hyperlink r:id="rId1954" ref="G950"/>
    <hyperlink r:id="rId1955" ref="S950"/>
    <hyperlink r:id="rId1956" ref="F951"/>
    <hyperlink r:id="rId1957" ref="G951"/>
    <hyperlink r:id="rId1958" ref="S951"/>
    <hyperlink r:id="rId1959" ref="G952"/>
    <hyperlink r:id="rId1960" ref="S952"/>
    <hyperlink r:id="rId1961" ref="F953"/>
    <hyperlink r:id="rId1962" ref="S953"/>
    <hyperlink r:id="rId1963" ref="F954"/>
    <hyperlink r:id="rId1964" ref="G954"/>
    <hyperlink r:id="rId1965" ref="S954"/>
    <hyperlink r:id="rId1966" ref="G955"/>
    <hyperlink r:id="rId1967" ref="S955"/>
    <hyperlink r:id="rId1968" ref="G956"/>
    <hyperlink r:id="rId1969" ref="S956"/>
    <hyperlink r:id="rId1970" ref="F957"/>
    <hyperlink r:id="rId1971" ref="G957"/>
    <hyperlink r:id="rId1972" ref="S957"/>
    <hyperlink r:id="rId1973" location=".XiCa7s6ZqK4.twitter" ref="F958"/>
    <hyperlink r:id="rId1974" ref="S958"/>
    <hyperlink r:id="rId1975" ref="F959"/>
    <hyperlink r:id="rId1976" ref="S959"/>
    <hyperlink r:id="rId1977" ref="F960"/>
    <hyperlink r:id="rId1978" ref="G960"/>
    <hyperlink r:id="rId1979" ref="S960"/>
    <hyperlink r:id="rId1980" ref="F961"/>
    <hyperlink r:id="rId1981" ref="S961"/>
    <hyperlink r:id="rId1982" ref="G962"/>
    <hyperlink r:id="rId1983" ref="S962"/>
    <hyperlink r:id="rId1984" ref="F963"/>
    <hyperlink r:id="rId1985" ref="S963"/>
    <hyperlink r:id="rId1986" ref="F964"/>
    <hyperlink r:id="rId1987" ref="G964"/>
    <hyperlink r:id="rId1988" ref="S964"/>
    <hyperlink r:id="rId1989" ref="F965"/>
    <hyperlink r:id="rId1990" ref="G965"/>
    <hyperlink r:id="rId1991" ref="S965"/>
    <hyperlink r:id="rId1992" ref="F966"/>
    <hyperlink r:id="rId1993" ref="G966"/>
    <hyperlink r:id="rId1994" ref="S966"/>
    <hyperlink r:id="rId1995" ref="G967"/>
    <hyperlink r:id="rId1996" ref="S967"/>
    <hyperlink r:id="rId1997" ref="F968"/>
    <hyperlink r:id="rId1998" ref="S968"/>
    <hyperlink r:id="rId1999" ref="F969"/>
    <hyperlink r:id="rId2000" ref="S969"/>
    <hyperlink r:id="rId2001" ref="F970"/>
    <hyperlink r:id="rId2002" ref="G970"/>
    <hyperlink r:id="rId2003" ref="S970"/>
    <hyperlink r:id="rId2004" ref="F971"/>
    <hyperlink r:id="rId2005" ref="S971"/>
    <hyperlink r:id="rId2006" ref="F972"/>
    <hyperlink r:id="rId2007" ref="S972"/>
    <hyperlink r:id="rId2008" ref="F973"/>
    <hyperlink r:id="rId2009" ref="S973"/>
    <hyperlink r:id="rId2010" ref="F974"/>
    <hyperlink r:id="rId2011" ref="G974"/>
    <hyperlink r:id="rId2012" ref="S974"/>
    <hyperlink r:id="rId2013" ref="F975"/>
    <hyperlink r:id="rId2014" ref="G975"/>
    <hyperlink r:id="rId2015" ref="F976"/>
    <hyperlink r:id="rId2016" ref="G976"/>
    <hyperlink r:id="rId2017" ref="S976"/>
    <hyperlink r:id="rId2018" ref="F977"/>
    <hyperlink r:id="rId2019" ref="G977"/>
    <hyperlink r:id="rId2020" ref="S977"/>
    <hyperlink r:id="rId2021" ref="F978"/>
    <hyperlink r:id="rId2022" ref="G978"/>
    <hyperlink r:id="rId2023" ref="S978"/>
    <hyperlink r:id="rId2024" ref="F979"/>
    <hyperlink r:id="rId2025" ref="G979"/>
    <hyperlink r:id="rId2026" ref="S979"/>
    <hyperlink r:id="rId2027" ref="F980"/>
    <hyperlink r:id="rId2028" ref="G980"/>
    <hyperlink r:id="rId2029" ref="F981"/>
    <hyperlink r:id="rId2030" ref="G981"/>
    <hyperlink r:id="rId2031" ref="S981"/>
    <hyperlink r:id="rId2032" ref="F982"/>
    <hyperlink r:id="rId2033" ref="G982"/>
    <hyperlink r:id="rId2034" ref="F983"/>
    <hyperlink r:id="rId2035" ref="S983"/>
    <hyperlink r:id="rId2036" ref="F984"/>
    <hyperlink r:id="rId2037" ref="F985"/>
    <hyperlink r:id="rId2038" ref="G985"/>
    <hyperlink r:id="rId2039" ref="S985"/>
    <hyperlink r:id="rId2040" ref="F986"/>
    <hyperlink r:id="rId2041" ref="G986"/>
    <hyperlink r:id="rId2042" ref="S986"/>
    <hyperlink r:id="rId2043" ref="G987"/>
    <hyperlink r:id="rId2044" ref="S987"/>
    <hyperlink r:id="rId2045" ref="F988"/>
    <hyperlink r:id="rId2046" ref="S988"/>
    <hyperlink r:id="rId2047" ref="S989"/>
    <hyperlink r:id="rId2048" ref="F990"/>
    <hyperlink r:id="rId2049" ref="G990"/>
    <hyperlink r:id="rId2050" ref="F991"/>
    <hyperlink r:id="rId2051" ref="G991"/>
    <hyperlink r:id="rId2052" ref="F992"/>
    <hyperlink r:id="rId2053" ref="G992"/>
    <hyperlink r:id="rId2054" ref="S992"/>
    <hyperlink r:id="rId2055" ref="F993"/>
    <hyperlink r:id="rId2056" ref="G993"/>
    <hyperlink r:id="rId2057" ref="S993"/>
    <hyperlink r:id="rId2058" ref="F994"/>
    <hyperlink r:id="rId2059" ref="S994"/>
    <hyperlink r:id="rId2060" ref="S995"/>
    <hyperlink r:id="rId2061" ref="F996"/>
    <hyperlink r:id="rId2062" ref="S996"/>
    <hyperlink r:id="rId2063" ref="F997"/>
    <hyperlink r:id="rId2064" ref="S997"/>
    <hyperlink r:id="rId2065" ref="F998"/>
    <hyperlink r:id="rId2066" ref="G998"/>
    <hyperlink r:id="rId2067" ref="S998"/>
    <hyperlink r:id="rId2068" ref="F999"/>
    <hyperlink r:id="rId2069" ref="G999"/>
    <hyperlink r:id="rId2070" ref="S999"/>
    <hyperlink r:id="rId2071" ref="F1000"/>
    <hyperlink r:id="rId2072" ref="S1000"/>
    <hyperlink r:id="rId2073" location=".XiCPdu1_yI0.twitter" ref="F1001"/>
    <hyperlink r:id="rId2074" ref="S1001"/>
    <hyperlink r:id="rId2075" ref="F1002"/>
    <hyperlink r:id="rId2076" ref="S1002"/>
    <hyperlink r:id="rId2077" ref="F1003"/>
    <hyperlink r:id="rId2078" ref="F1005"/>
    <hyperlink r:id="rId2079" ref="S1005"/>
    <hyperlink r:id="rId2080" ref="F1006"/>
    <hyperlink r:id="rId2081" ref="G1006"/>
    <hyperlink r:id="rId2082" ref="S1006"/>
    <hyperlink r:id="rId2083" ref="F1007"/>
    <hyperlink r:id="rId2084" ref="G1009"/>
    <hyperlink r:id="rId2085" ref="S1009"/>
    <hyperlink r:id="rId2086" ref="F1010"/>
    <hyperlink r:id="rId2087" ref="S1010"/>
    <hyperlink r:id="rId2088" ref="F1011"/>
    <hyperlink r:id="rId2089" ref="G1011"/>
    <hyperlink r:id="rId2090" ref="S1011"/>
    <hyperlink r:id="rId2091" ref="F1012"/>
    <hyperlink r:id="rId2092" ref="S1012"/>
    <hyperlink r:id="rId2093" ref="F1013"/>
    <hyperlink r:id="rId2094" ref="G1013"/>
    <hyperlink r:id="rId2095" ref="S1013"/>
    <hyperlink r:id="rId2096" ref="F1014"/>
    <hyperlink r:id="rId2097" ref="S1014"/>
    <hyperlink r:id="rId2098" ref="F1015"/>
    <hyperlink r:id="rId2099" ref="G1015"/>
    <hyperlink r:id="rId2100" ref="S1015"/>
    <hyperlink r:id="rId2101" ref="F1016"/>
    <hyperlink r:id="rId2102" ref="S1016"/>
    <hyperlink r:id="rId2103" ref="G1017"/>
    <hyperlink r:id="rId2104" ref="S1017"/>
    <hyperlink r:id="rId2105" ref="F1018"/>
    <hyperlink r:id="rId2106" ref="S1018"/>
    <hyperlink r:id="rId2107" ref="G1019"/>
    <hyperlink r:id="rId2108" ref="S1019"/>
    <hyperlink r:id="rId2109" location=".XiCG_Pl1cgo.twitter" ref="F1020"/>
    <hyperlink r:id="rId2110" ref="F1022"/>
    <hyperlink r:id="rId2111" ref="S1022"/>
    <hyperlink r:id="rId2112" ref="G1023"/>
    <hyperlink r:id="rId2113" ref="F1024"/>
    <hyperlink r:id="rId2114" ref="G1024"/>
    <hyperlink r:id="rId2115" ref="S1024"/>
    <hyperlink r:id="rId2116" location=".XiCBYqnMTD4.twitter" ref="F1026"/>
    <hyperlink r:id="rId2117" ref="S1026"/>
    <hyperlink r:id="rId2118" ref="F1027"/>
    <hyperlink r:id="rId2119" ref="S1027"/>
    <hyperlink r:id="rId2120" ref="G1028"/>
    <hyperlink r:id="rId2121" ref="S1028"/>
    <hyperlink r:id="rId2122" ref="F1029"/>
    <hyperlink r:id="rId2123" ref="S1029"/>
    <hyperlink r:id="rId2124" ref="F1030"/>
    <hyperlink r:id="rId2125" ref="G1030"/>
    <hyperlink r:id="rId2126" ref="S1030"/>
    <hyperlink r:id="rId2127" ref="S1031"/>
    <hyperlink r:id="rId2128" ref="F1032"/>
    <hyperlink r:id="rId2129" ref="F1033"/>
    <hyperlink r:id="rId2130" ref="G1033"/>
    <hyperlink r:id="rId2131" ref="S1033"/>
    <hyperlink r:id="rId2132" ref="F1034"/>
    <hyperlink r:id="rId2133" ref="S1034"/>
    <hyperlink r:id="rId2134" ref="F1035"/>
    <hyperlink r:id="rId2135" ref="G1035"/>
    <hyperlink r:id="rId2136" ref="S1035"/>
    <hyperlink r:id="rId2137" ref="F1036"/>
    <hyperlink r:id="rId2138" ref="G1036"/>
    <hyperlink r:id="rId2139" ref="S1036"/>
    <hyperlink r:id="rId2140" ref="F1037"/>
    <hyperlink r:id="rId2141" ref="G1038"/>
    <hyperlink r:id="rId2142" ref="S1038"/>
    <hyperlink r:id="rId2143" ref="G1039"/>
    <hyperlink r:id="rId2144" ref="G1040"/>
    <hyperlink r:id="rId2145" ref="G1041"/>
    <hyperlink r:id="rId2146" ref="G1042"/>
    <hyperlink r:id="rId2147" ref="F1043"/>
    <hyperlink r:id="rId2148" ref="S1043"/>
    <hyperlink r:id="rId2149" ref="F1044"/>
    <hyperlink r:id="rId2150" ref="G1044"/>
    <hyperlink r:id="rId2151" ref="S1044"/>
    <hyperlink r:id="rId2152" ref="F1045"/>
    <hyperlink r:id="rId2153" ref="S1045"/>
    <hyperlink r:id="rId2154" ref="F1046"/>
    <hyperlink r:id="rId2155" ref="S1046"/>
    <hyperlink r:id="rId2156" ref="G1047"/>
    <hyperlink r:id="rId2157" ref="F1048"/>
    <hyperlink r:id="rId2158" ref="G1048"/>
    <hyperlink r:id="rId2159" ref="F1049"/>
    <hyperlink r:id="rId2160" ref="G1049"/>
    <hyperlink r:id="rId2161" ref="S1049"/>
    <hyperlink r:id="rId2162" ref="F1050"/>
    <hyperlink r:id="rId2163" ref="S1050"/>
    <hyperlink r:id="rId2164" ref="G1051"/>
    <hyperlink r:id="rId2165" ref="S1051"/>
    <hyperlink r:id="rId2166" ref="F1052"/>
    <hyperlink r:id="rId2167" ref="G1052"/>
    <hyperlink r:id="rId2168" ref="S1052"/>
    <hyperlink r:id="rId2169" ref="F1053"/>
    <hyperlink r:id="rId2170" ref="G1053"/>
    <hyperlink r:id="rId2171" ref="F1054"/>
    <hyperlink r:id="rId2172" ref="S1054"/>
    <hyperlink r:id="rId2173" ref="F1055"/>
    <hyperlink r:id="rId2174" ref="G1055"/>
    <hyperlink r:id="rId2175" ref="S1055"/>
    <hyperlink r:id="rId2176" ref="F1056"/>
    <hyperlink r:id="rId2177" ref="S1056"/>
    <hyperlink r:id="rId2178" ref="F1057"/>
    <hyperlink r:id="rId2179" ref="S1057"/>
    <hyperlink r:id="rId2180" ref="G1058"/>
    <hyperlink r:id="rId2181" ref="S1058"/>
    <hyperlink r:id="rId2182" ref="G1059"/>
    <hyperlink r:id="rId2183" ref="S1059"/>
    <hyperlink r:id="rId2184" ref="G1060"/>
    <hyperlink r:id="rId2185" ref="S1060"/>
    <hyperlink r:id="rId2186" ref="F1061"/>
    <hyperlink r:id="rId2187" ref="G1061"/>
    <hyperlink r:id="rId2188" ref="S1061"/>
    <hyperlink r:id="rId2189" ref="G1062"/>
    <hyperlink r:id="rId2190" ref="S1062"/>
    <hyperlink r:id="rId2191" ref="G1063"/>
    <hyperlink r:id="rId2192" ref="S1063"/>
    <hyperlink r:id="rId2193" ref="G1065"/>
    <hyperlink r:id="rId2194" ref="S1065"/>
    <hyperlink r:id="rId2195" ref="F1066"/>
    <hyperlink r:id="rId2196" ref="S1066"/>
    <hyperlink r:id="rId2197" ref="S1067"/>
    <hyperlink r:id="rId2198" ref="F1068"/>
    <hyperlink r:id="rId2199" ref="S1068"/>
    <hyperlink r:id="rId2200" ref="F1070"/>
    <hyperlink r:id="rId2201" ref="G1070"/>
    <hyperlink r:id="rId2202" ref="S1070"/>
    <hyperlink r:id="rId2203" ref="F1071"/>
    <hyperlink r:id="rId2204" ref="F1072"/>
    <hyperlink r:id="rId2205" ref="G1072"/>
    <hyperlink r:id="rId2206" ref="Q1072"/>
    <hyperlink r:id="rId2207" ref="S1072"/>
    <hyperlink r:id="rId2208" ref="G1073"/>
    <hyperlink r:id="rId2209" ref="S1073"/>
    <hyperlink r:id="rId2210" ref="F1074"/>
    <hyperlink r:id="rId2211" ref="S1074"/>
    <hyperlink r:id="rId2212" ref="F1075"/>
    <hyperlink r:id="rId2213" ref="S1075"/>
    <hyperlink r:id="rId2214" ref="F1076"/>
    <hyperlink r:id="rId2215" ref="S1076"/>
    <hyperlink r:id="rId2216" ref="F1077"/>
    <hyperlink r:id="rId2217" ref="S1077"/>
    <hyperlink r:id="rId2218" ref="F1078"/>
    <hyperlink r:id="rId2219" ref="G1078"/>
    <hyperlink r:id="rId2220" ref="F1079"/>
    <hyperlink r:id="rId2221" ref="S1079"/>
    <hyperlink r:id="rId2222" ref="G1081"/>
    <hyperlink r:id="rId2223" ref="F1082"/>
    <hyperlink r:id="rId2224" ref="S1082"/>
    <hyperlink r:id="rId2225" ref="G1083"/>
    <hyperlink r:id="rId2226" ref="S1083"/>
    <hyperlink r:id="rId2227" ref="F1085"/>
    <hyperlink r:id="rId2228" ref="S1085"/>
    <hyperlink r:id="rId2229" ref="F1086"/>
    <hyperlink r:id="rId2230" ref="S1086"/>
    <hyperlink r:id="rId2231" ref="F1087"/>
    <hyperlink r:id="rId2232" ref="S1087"/>
    <hyperlink r:id="rId2233" ref="F1088"/>
    <hyperlink r:id="rId2234" ref="G1088"/>
    <hyperlink r:id="rId2235" ref="S1088"/>
    <hyperlink r:id="rId2236" ref="F1089"/>
    <hyperlink r:id="rId2237" ref="G1089"/>
    <hyperlink r:id="rId2238" ref="S1089"/>
    <hyperlink r:id="rId2239" location=".XiBhNlsJa6A.twitter" ref="F1090"/>
    <hyperlink r:id="rId2240" ref="G1090"/>
    <hyperlink r:id="rId2241" ref="S1090"/>
    <hyperlink r:id="rId2242" ref="F1091"/>
    <hyperlink r:id="rId2243" ref="S1091"/>
    <hyperlink r:id="rId2244" ref="F1092"/>
    <hyperlink r:id="rId2245" ref="G1092"/>
    <hyperlink r:id="rId2246" ref="S1092"/>
    <hyperlink r:id="rId2247" ref="F1093"/>
    <hyperlink r:id="rId2248" ref="S1093"/>
    <hyperlink r:id="rId2249" ref="F1094"/>
    <hyperlink r:id="rId2250" ref="G1094"/>
    <hyperlink r:id="rId2251" ref="S1094"/>
    <hyperlink r:id="rId2252" ref="S1095"/>
    <hyperlink r:id="rId2253" ref="F1096"/>
    <hyperlink r:id="rId2254" ref="G1096"/>
    <hyperlink r:id="rId2255" ref="S1096"/>
    <hyperlink r:id="rId2256" ref="F1097"/>
    <hyperlink r:id="rId2257" ref="S1097"/>
    <hyperlink r:id="rId2258" ref="F1098"/>
    <hyperlink r:id="rId2259" ref="S1098"/>
    <hyperlink r:id="rId2260" ref="S1099"/>
    <hyperlink r:id="rId2261" ref="G1100"/>
    <hyperlink r:id="rId2262" ref="F1101"/>
    <hyperlink r:id="rId2263" ref="G1101"/>
    <hyperlink r:id="rId2264" ref="S1101"/>
    <hyperlink r:id="rId2265" ref="F1102"/>
    <hyperlink r:id="rId2266" ref="G1102"/>
    <hyperlink r:id="rId2267" ref="S1102"/>
    <hyperlink r:id="rId2268" ref="F1103"/>
    <hyperlink r:id="rId2269" ref="F1104"/>
    <hyperlink r:id="rId2270" ref="G1104"/>
    <hyperlink r:id="rId2271" ref="S1104"/>
    <hyperlink r:id="rId2272" ref="F1105"/>
    <hyperlink r:id="rId2273" ref="G1105"/>
    <hyperlink r:id="rId2274" ref="S1105"/>
    <hyperlink r:id="rId2275" ref="F1106"/>
    <hyperlink r:id="rId2276" ref="G1106"/>
    <hyperlink r:id="rId2277" ref="S1106"/>
    <hyperlink r:id="rId2278" ref="G1107"/>
    <hyperlink r:id="rId2279" ref="S1107"/>
    <hyperlink r:id="rId2280" ref="F1108"/>
    <hyperlink r:id="rId2281" ref="S1108"/>
    <hyperlink r:id="rId2282" ref="F1109"/>
    <hyperlink r:id="rId2283" ref="G1109"/>
    <hyperlink r:id="rId2284" ref="S1109"/>
    <hyperlink r:id="rId2285" ref="F1110"/>
    <hyperlink r:id="rId2286" ref="S1110"/>
    <hyperlink r:id="rId2287" ref="F1111"/>
    <hyperlink r:id="rId2288" ref="G1111"/>
    <hyperlink r:id="rId2289" ref="S1111"/>
    <hyperlink r:id="rId2290" ref="G1112"/>
    <hyperlink r:id="rId2291" ref="S1112"/>
    <hyperlink r:id="rId2292" ref="S1113"/>
    <hyperlink r:id="rId2293" ref="G1114"/>
    <hyperlink r:id="rId2294" ref="S1114"/>
    <hyperlink r:id="rId2295" ref="F1115"/>
    <hyperlink r:id="rId2296" ref="G1115"/>
    <hyperlink r:id="rId2297" ref="S1115"/>
    <hyperlink r:id="rId2298" ref="F1116"/>
    <hyperlink r:id="rId2299" ref="S1116"/>
    <hyperlink r:id="rId2300" ref="F1117"/>
    <hyperlink r:id="rId2301" ref="F1118"/>
    <hyperlink r:id="rId2302" ref="F1119"/>
    <hyperlink r:id="rId2303" ref="S1119"/>
    <hyperlink r:id="rId2304" ref="S1120"/>
    <hyperlink r:id="rId2305" ref="F1121"/>
    <hyperlink r:id="rId2306" ref="S1121"/>
    <hyperlink r:id="rId2307" ref="G1122"/>
    <hyperlink r:id="rId2308" ref="R1122"/>
    <hyperlink r:id="rId2309" ref="S1122"/>
    <hyperlink r:id="rId2310" ref="F1123"/>
    <hyperlink r:id="rId2311" ref="G1123"/>
    <hyperlink r:id="rId2312" ref="S1123"/>
    <hyperlink r:id="rId2313" ref="F1124"/>
    <hyperlink r:id="rId2314" ref="G1124"/>
    <hyperlink r:id="rId2315" ref="S1124"/>
    <hyperlink r:id="rId2316" ref="F1125"/>
    <hyperlink r:id="rId2317" ref="G1125"/>
    <hyperlink r:id="rId2318" ref="S1125"/>
    <hyperlink r:id="rId2319" ref="F1127"/>
    <hyperlink r:id="rId2320" ref="S1127"/>
    <hyperlink r:id="rId2321" ref="F1128"/>
    <hyperlink r:id="rId2322" ref="G1128"/>
    <hyperlink r:id="rId2323" ref="S1128"/>
    <hyperlink r:id="rId2324" ref="F1129"/>
    <hyperlink r:id="rId2325" ref="F1130"/>
    <hyperlink r:id="rId2326" ref="S1130"/>
    <hyperlink r:id="rId2327" ref="S1131"/>
    <hyperlink r:id="rId2328" ref="F1132"/>
    <hyperlink r:id="rId2329" ref="F1133"/>
    <hyperlink r:id="rId2330" ref="G1133"/>
    <hyperlink r:id="rId2331" ref="S1133"/>
    <hyperlink r:id="rId2332" ref="C1134"/>
    <hyperlink r:id="rId2333" ref="F1134"/>
    <hyperlink r:id="rId2334" ref="G1134"/>
    <hyperlink r:id="rId2335" ref="S1134"/>
    <hyperlink r:id="rId2336" ref="F1135"/>
    <hyperlink r:id="rId2337" ref="G1135"/>
    <hyperlink r:id="rId2338" ref="S1135"/>
    <hyperlink r:id="rId2339" ref="F1136"/>
    <hyperlink r:id="rId2340" ref="G1136"/>
    <hyperlink r:id="rId2341" ref="S1136"/>
    <hyperlink r:id="rId2342" ref="F1137"/>
    <hyperlink r:id="rId2343" ref="G1137"/>
    <hyperlink r:id="rId2344" ref="S1137"/>
    <hyperlink r:id="rId2345" ref="F1138"/>
    <hyperlink r:id="rId2346" ref="S1138"/>
    <hyperlink r:id="rId2347" ref="G1139"/>
    <hyperlink r:id="rId2348" ref="S1139"/>
    <hyperlink r:id="rId2349" ref="F1140"/>
    <hyperlink r:id="rId2350" ref="S1140"/>
    <hyperlink r:id="rId2351" ref="F1142"/>
    <hyperlink r:id="rId2352" ref="G1142"/>
    <hyperlink r:id="rId2353" ref="S1142"/>
    <hyperlink r:id="rId2354" ref="F1143"/>
    <hyperlink r:id="rId2355" ref="G1143"/>
    <hyperlink r:id="rId2356" ref="S1143"/>
    <hyperlink r:id="rId2357" ref="S1144"/>
    <hyperlink r:id="rId2358" ref="F1145"/>
    <hyperlink r:id="rId2359" ref="S1145"/>
    <hyperlink r:id="rId2360" ref="G1146"/>
    <hyperlink r:id="rId2361" ref="S1146"/>
    <hyperlink r:id="rId2362" ref="F1148"/>
    <hyperlink r:id="rId2363" ref="S1148"/>
    <hyperlink r:id="rId2364" ref="G1149"/>
    <hyperlink r:id="rId2365" ref="F1150"/>
    <hyperlink r:id="rId2366" ref="G1150"/>
    <hyperlink r:id="rId2367" ref="S1150"/>
    <hyperlink r:id="rId2368" ref="F1151"/>
    <hyperlink r:id="rId2369" ref="G1151"/>
    <hyperlink r:id="rId2370" ref="S1151"/>
    <hyperlink r:id="rId2371" ref="F1152"/>
    <hyperlink r:id="rId2372" ref="S1152"/>
    <hyperlink r:id="rId2373" ref="F1153"/>
    <hyperlink r:id="rId2374" ref="G1153"/>
    <hyperlink r:id="rId2375" ref="S1153"/>
    <hyperlink r:id="rId2376" ref="F1154"/>
    <hyperlink r:id="rId2377" ref="S1154"/>
    <hyperlink r:id="rId2378" ref="G1155"/>
    <hyperlink r:id="rId2379" ref="S1155"/>
    <hyperlink r:id="rId2380" ref="F1156"/>
    <hyperlink r:id="rId2381" ref="G1156"/>
    <hyperlink r:id="rId2382" ref="S1156"/>
    <hyperlink r:id="rId2383" ref="F1157"/>
    <hyperlink r:id="rId2384" ref="F1158"/>
    <hyperlink r:id="rId2385" ref="S1158"/>
    <hyperlink r:id="rId2386" ref="F1159"/>
    <hyperlink r:id="rId2387" ref="F1160"/>
    <hyperlink r:id="rId2388" ref="S1160"/>
    <hyperlink r:id="rId2389" ref="F1161"/>
    <hyperlink r:id="rId2390" ref="S1161"/>
    <hyperlink r:id="rId2391" ref="F1162"/>
    <hyperlink r:id="rId2392" ref="S1162"/>
    <hyperlink r:id="rId2393" ref="F1163"/>
    <hyperlink r:id="rId2394" ref="G1163"/>
    <hyperlink r:id="rId2395" ref="G1164"/>
    <hyperlink r:id="rId2396" ref="S1164"/>
    <hyperlink r:id="rId2397" ref="G1165"/>
    <hyperlink r:id="rId2398" ref="S1165"/>
    <hyperlink r:id="rId2399" ref="G1166"/>
    <hyperlink r:id="rId2400" ref="F1167"/>
    <hyperlink r:id="rId2401" ref="G1167"/>
    <hyperlink r:id="rId2402" location="/" ref="S1167"/>
    <hyperlink r:id="rId2403" ref="S1168"/>
    <hyperlink r:id="rId2404" ref="F1169"/>
    <hyperlink r:id="rId2405" ref="G1169"/>
    <hyperlink r:id="rId2406" ref="S1169"/>
    <hyperlink r:id="rId2407" ref="F1170"/>
    <hyperlink r:id="rId2408" ref="G1170"/>
    <hyperlink r:id="rId2409" ref="S1170"/>
    <hyperlink r:id="rId2410" ref="F1171"/>
    <hyperlink r:id="rId2411" ref="G1171"/>
    <hyperlink r:id="rId2412" ref="S1171"/>
    <hyperlink r:id="rId2413" ref="G1172"/>
    <hyperlink r:id="rId2414" ref="F1173"/>
    <hyperlink r:id="rId2415" ref="S1173"/>
    <hyperlink r:id="rId2416" ref="G1174"/>
    <hyperlink r:id="rId2417" ref="F1175"/>
    <hyperlink r:id="rId2418" ref="G1175"/>
    <hyperlink r:id="rId2419" ref="S1175"/>
    <hyperlink r:id="rId2420" ref="G1176"/>
    <hyperlink r:id="rId2421" ref="S1176"/>
    <hyperlink r:id="rId2422" ref="G1177"/>
    <hyperlink r:id="rId2423" ref="S1177"/>
    <hyperlink r:id="rId2424" ref="G1178"/>
    <hyperlink r:id="rId2425" ref="G1179"/>
    <hyperlink r:id="rId2426" ref="F1180"/>
    <hyperlink r:id="rId2427" ref="G1180"/>
    <hyperlink r:id="rId2428" ref="F1181"/>
    <hyperlink r:id="rId2429" ref="S1181"/>
    <hyperlink r:id="rId2430" ref="F1182"/>
    <hyperlink r:id="rId2431" ref="F1183"/>
    <hyperlink r:id="rId2432" ref="S1183"/>
    <hyperlink r:id="rId2433" ref="F1184"/>
    <hyperlink r:id="rId2434" ref="S1184"/>
    <hyperlink r:id="rId2435" ref="F1185"/>
    <hyperlink r:id="rId2436" ref="S1185"/>
    <hyperlink r:id="rId2437" ref="F1186"/>
    <hyperlink r:id="rId2438" ref="S1186"/>
    <hyperlink r:id="rId2439" ref="G1187"/>
    <hyperlink r:id="rId2440" ref="S1187"/>
    <hyperlink r:id="rId2441" ref="F1188"/>
    <hyperlink r:id="rId2442" ref="G1189"/>
    <hyperlink r:id="rId2443" ref="S1189"/>
    <hyperlink r:id="rId2444" ref="F1190"/>
    <hyperlink r:id="rId2445" ref="G1190"/>
    <hyperlink r:id="rId2446" ref="S1190"/>
    <hyperlink r:id="rId2447" ref="F1191"/>
    <hyperlink r:id="rId2448" ref="G1191"/>
    <hyperlink r:id="rId2449" ref="S1191"/>
    <hyperlink r:id="rId2450" ref="F1192"/>
    <hyperlink r:id="rId2451" ref="G1192"/>
    <hyperlink r:id="rId2452" ref="S1192"/>
    <hyperlink r:id="rId2453" ref="G1193"/>
    <hyperlink r:id="rId2454" ref="S1193"/>
    <hyperlink r:id="rId2455" ref="G1194"/>
    <hyperlink r:id="rId2456" ref="F1195"/>
    <hyperlink r:id="rId2457" ref="S1195"/>
    <hyperlink r:id="rId2458" ref="F1196"/>
    <hyperlink r:id="rId2459" ref="S1196"/>
    <hyperlink r:id="rId2460" ref="F1197"/>
    <hyperlink r:id="rId2461" ref="G1197"/>
    <hyperlink r:id="rId2462" ref="S1197"/>
    <hyperlink r:id="rId2463" ref="F1198"/>
    <hyperlink r:id="rId2464" ref="F1199"/>
    <hyperlink r:id="rId2465" ref="S1199"/>
    <hyperlink r:id="rId2466" ref="F1200"/>
    <hyperlink r:id="rId2467" ref="G1200"/>
    <hyperlink r:id="rId2468" ref="S1200"/>
    <hyperlink r:id="rId2469" ref="G1201"/>
    <hyperlink r:id="rId2470" ref="S1201"/>
    <hyperlink r:id="rId2471" ref="F1202"/>
    <hyperlink r:id="rId2472" ref="F1203"/>
    <hyperlink r:id="rId2473" ref="G1203"/>
    <hyperlink r:id="rId2474" ref="S1203"/>
    <hyperlink r:id="rId2475" ref="G1204"/>
    <hyperlink r:id="rId2476" ref="S1204"/>
    <hyperlink r:id="rId2477" ref="S1205"/>
    <hyperlink r:id="rId2478" ref="G1206"/>
    <hyperlink r:id="rId2479" ref="S1207"/>
    <hyperlink r:id="rId2480" ref="S1208"/>
    <hyperlink r:id="rId2481" ref="F1209"/>
    <hyperlink r:id="rId2482" ref="G1209"/>
    <hyperlink r:id="rId2483" ref="S1209"/>
    <hyperlink r:id="rId2484" ref="F1210"/>
    <hyperlink r:id="rId2485" ref="G1210"/>
    <hyperlink r:id="rId2486" ref="S1210"/>
    <hyperlink r:id="rId2487" ref="G1211"/>
    <hyperlink r:id="rId2488" ref="S1211"/>
    <hyperlink r:id="rId2489" ref="F1212"/>
    <hyperlink r:id="rId2490" ref="S1212"/>
    <hyperlink r:id="rId2491" ref="F1213"/>
    <hyperlink r:id="rId2492" ref="S1213"/>
    <hyperlink r:id="rId2493" ref="F1214"/>
    <hyperlink r:id="rId2494" ref="S1214"/>
    <hyperlink r:id="rId2495" ref="F1215"/>
    <hyperlink r:id="rId2496" ref="G1215"/>
    <hyperlink r:id="rId2497" ref="S1215"/>
    <hyperlink r:id="rId2498" ref="G1216"/>
    <hyperlink r:id="rId2499" ref="S1216"/>
    <hyperlink r:id="rId2500" ref="G1217"/>
    <hyperlink r:id="rId2501" ref="S1217"/>
    <hyperlink r:id="rId2502" ref="F1218"/>
    <hyperlink r:id="rId2503" ref="S1218"/>
    <hyperlink r:id="rId2504" ref="F1219"/>
    <hyperlink r:id="rId2505" ref="G1219"/>
    <hyperlink r:id="rId2506" ref="S1219"/>
    <hyperlink r:id="rId2507" ref="G1220"/>
    <hyperlink r:id="rId2508" ref="S1220"/>
    <hyperlink r:id="rId2509" ref="F1221"/>
    <hyperlink r:id="rId2510" ref="F1222"/>
    <hyperlink r:id="rId2511" ref="S1222"/>
    <hyperlink r:id="rId2512" ref="F1223"/>
    <hyperlink r:id="rId2513" ref="S1224"/>
    <hyperlink r:id="rId2514" ref="G1226"/>
    <hyperlink r:id="rId2515" ref="S1226"/>
    <hyperlink r:id="rId2516" ref="F1227"/>
    <hyperlink r:id="rId2517" ref="F1228"/>
    <hyperlink r:id="rId2518" ref="S1228"/>
    <hyperlink r:id="rId2519" ref="F1229"/>
    <hyperlink r:id="rId2520" ref="S1230"/>
    <hyperlink r:id="rId2521" ref="G1231"/>
    <hyperlink r:id="rId2522" ref="S1231"/>
    <hyperlink r:id="rId2523" ref="F1232"/>
    <hyperlink r:id="rId2524" ref="G1232"/>
    <hyperlink r:id="rId2525" ref="S1232"/>
    <hyperlink r:id="rId2526" ref="F1233"/>
    <hyperlink r:id="rId2527" ref="G1233"/>
    <hyperlink r:id="rId2528" ref="S1233"/>
    <hyperlink r:id="rId2529" ref="F1234"/>
    <hyperlink r:id="rId2530" ref="G1234"/>
    <hyperlink r:id="rId2531" ref="S1234"/>
    <hyperlink r:id="rId2532" ref="F1235"/>
    <hyperlink r:id="rId2533" ref="F1237"/>
    <hyperlink r:id="rId2534" ref="G1237"/>
    <hyperlink r:id="rId2535" ref="G1238"/>
    <hyperlink r:id="rId2536" ref="S1238"/>
    <hyperlink r:id="rId2537" ref="S1240"/>
    <hyperlink r:id="rId2538" ref="F1242"/>
    <hyperlink r:id="rId2539" ref="G1243"/>
    <hyperlink r:id="rId2540" ref="S1243"/>
    <hyperlink r:id="rId2541" ref="S1244"/>
    <hyperlink r:id="rId2542" ref="F1245"/>
    <hyperlink r:id="rId2543" ref="F1246"/>
    <hyperlink r:id="rId2544" ref="S1246"/>
    <hyperlink r:id="rId2545" ref="F1247"/>
    <hyperlink r:id="rId2546" ref="G1247"/>
    <hyperlink r:id="rId2547" ref="S1247"/>
    <hyperlink r:id="rId2548" ref="F1248"/>
    <hyperlink r:id="rId2549" ref="S1248"/>
    <hyperlink r:id="rId2550" ref="F1249"/>
    <hyperlink r:id="rId2551" ref="S1249"/>
    <hyperlink r:id="rId2552" ref="F1250"/>
    <hyperlink r:id="rId2553" ref="G1250"/>
    <hyperlink r:id="rId2554" ref="S1250"/>
    <hyperlink r:id="rId2555" ref="F1251"/>
    <hyperlink r:id="rId2556" ref="F1252"/>
    <hyperlink r:id="rId2557" ref="S1252"/>
    <hyperlink r:id="rId2558" ref="F1253"/>
    <hyperlink r:id="rId2559" ref="S1253"/>
    <hyperlink r:id="rId2560" ref="G1254"/>
    <hyperlink r:id="rId2561" ref="G1255"/>
    <hyperlink r:id="rId2562" ref="C1256"/>
    <hyperlink r:id="rId2563" ref="S1256"/>
    <hyperlink r:id="rId2564" ref="F1257"/>
    <hyperlink r:id="rId2565" ref="G1257"/>
    <hyperlink r:id="rId2566" ref="S1257"/>
    <hyperlink r:id="rId2567" ref="G1258"/>
    <hyperlink r:id="rId2568" ref="S1258"/>
    <hyperlink r:id="rId2569" ref="F1259"/>
    <hyperlink r:id="rId2570" ref="G1259"/>
    <hyperlink r:id="rId2571" ref="S1259"/>
    <hyperlink r:id="rId2572" ref="F1260"/>
    <hyperlink r:id="rId2573" ref="G1260"/>
    <hyperlink r:id="rId2574" ref="S1260"/>
    <hyperlink r:id="rId2575" ref="F1261"/>
    <hyperlink r:id="rId2576" ref="G1262"/>
    <hyperlink r:id="rId2577" ref="G1263"/>
    <hyperlink r:id="rId2578" ref="F1264"/>
    <hyperlink r:id="rId2579" ref="G1266"/>
    <hyperlink r:id="rId2580" ref="S1266"/>
    <hyperlink r:id="rId2581" ref="F1267"/>
    <hyperlink r:id="rId2582" ref="F1268"/>
    <hyperlink r:id="rId2583" ref="S1268"/>
    <hyperlink r:id="rId2584" ref="F1269"/>
    <hyperlink r:id="rId2585" ref="G1269"/>
    <hyperlink r:id="rId2586" ref="F1270"/>
    <hyperlink r:id="rId2587" ref="S1270"/>
    <hyperlink r:id="rId2588" ref="F1271"/>
    <hyperlink r:id="rId2589" ref="G1271"/>
    <hyperlink r:id="rId2590" ref="S1271"/>
    <hyperlink r:id="rId2591" ref="G1272"/>
    <hyperlink r:id="rId2592" ref="S1272"/>
    <hyperlink r:id="rId2593" ref="F1273"/>
    <hyperlink r:id="rId2594" ref="G1273"/>
    <hyperlink r:id="rId2595" ref="S1273"/>
    <hyperlink r:id="rId2596" ref="F1274"/>
    <hyperlink r:id="rId2597" ref="S1274"/>
    <hyperlink r:id="rId2598" ref="F1275"/>
    <hyperlink r:id="rId2599" ref="G1275"/>
    <hyperlink r:id="rId2600" ref="S1275"/>
    <hyperlink r:id="rId2601" ref="F1276"/>
    <hyperlink r:id="rId2602" ref="G1276"/>
    <hyperlink r:id="rId2603" ref="S1276"/>
    <hyperlink r:id="rId2604" ref="F1277"/>
    <hyperlink r:id="rId2605" ref="S1277"/>
    <hyperlink r:id="rId2606" ref="F1278"/>
    <hyperlink r:id="rId2607" ref="S1278"/>
    <hyperlink r:id="rId2608" ref="F1279"/>
    <hyperlink r:id="rId2609" ref="S1279"/>
    <hyperlink r:id="rId2610" ref="F1280"/>
    <hyperlink r:id="rId2611" ref="G1280"/>
    <hyperlink r:id="rId2612" ref="S1280"/>
    <hyperlink r:id="rId2613" ref="F1281"/>
    <hyperlink r:id="rId2614" ref="S1281"/>
    <hyperlink r:id="rId2615" ref="F1282"/>
    <hyperlink r:id="rId2616" ref="G1282"/>
    <hyperlink r:id="rId2617" ref="S1282"/>
    <hyperlink r:id="rId2618" ref="S1283"/>
    <hyperlink r:id="rId2619" ref="F1284"/>
    <hyperlink r:id="rId2620" ref="S1284"/>
    <hyperlink r:id="rId2621" ref="F1285"/>
    <hyperlink r:id="rId2622" ref="G1285"/>
    <hyperlink r:id="rId2623" ref="S1285"/>
    <hyperlink r:id="rId2624" ref="F1286"/>
    <hyperlink r:id="rId2625" ref="F1287"/>
    <hyperlink r:id="rId2626" ref="G1287"/>
    <hyperlink r:id="rId2627" ref="S1287"/>
    <hyperlink r:id="rId2628" ref="F1288"/>
    <hyperlink r:id="rId2629" ref="S1288"/>
    <hyperlink r:id="rId2630" ref="G1289"/>
    <hyperlink r:id="rId2631" ref="F1290"/>
    <hyperlink r:id="rId2632" ref="S1290"/>
    <hyperlink r:id="rId2633" ref="F1291"/>
    <hyperlink r:id="rId2634" ref="S1291"/>
    <hyperlink r:id="rId2635" ref="F1292"/>
    <hyperlink r:id="rId2636" ref="S1292"/>
    <hyperlink r:id="rId2637" ref="F1293"/>
    <hyperlink r:id="rId2638" ref="F1294"/>
    <hyperlink r:id="rId2639" ref="G1294"/>
    <hyperlink r:id="rId2640" ref="F1295"/>
    <hyperlink r:id="rId2641" ref="S1296"/>
    <hyperlink r:id="rId2642" ref="F1297"/>
    <hyperlink r:id="rId2643" ref="G1297"/>
    <hyperlink r:id="rId2644" ref="S1297"/>
    <hyperlink r:id="rId2645" ref="S1298"/>
    <hyperlink r:id="rId2646" ref="F1299"/>
    <hyperlink r:id="rId2647" ref="G1299"/>
    <hyperlink r:id="rId2648" ref="S1299"/>
    <hyperlink r:id="rId2649" ref="F1300"/>
    <hyperlink r:id="rId2650" ref="G1300"/>
    <hyperlink r:id="rId2651" ref="S1300"/>
    <hyperlink r:id="rId2652" ref="G1301"/>
    <hyperlink r:id="rId2653" ref="S1301"/>
    <hyperlink r:id="rId2654" ref="F1302"/>
    <hyperlink r:id="rId2655" ref="S1302"/>
    <hyperlink r:id="rId2656" ref="F1303"/>
    <hyperlink r:id="rId2657" ref="S1303"/>
    <hyperlink r:id="rId2658" ref="F1304"/>
    <hyperlink r:id="rId2659" ref="S1304"/>
    <hyperlink r:id="rId2660" ref="F1306"/>
    <hyperlink r:id="rId2661" ref="S1306"/>
    <hyperlink r:id="rId2662" ref="F1308"/>
    <hyperlink r:id="rId2663" ref="S1308"/>
    <hyperlink r:id="rId2664" ref="C1309"/>
    <hyperlink r:id="rId2665" ref="G1309"/>
    <hyperlink r:id="rId2666" ref="S1309"/>
    <hyperlink r:id="rId2667" ref="F1310"/>
    <hyperlink r:id="rId2668" ref="S1310"/>
    <hyperlink r:id="rId2669" ref="G1311"/>
    <hyperlink r:id="rId2670" ref="S1311"/>
    <hyperlink r:id="rId2671" ref="S1312"/>
    <hyperlink r:id="rId2672" ref="F1313"/>
    <hyperlink r:id="rId2673" ref="S1313"/>
    <hyperlink r:id="rId2674" ref="F1314"/>
    <hyperlink r:id="rId2675" ref="G1314"/>
    <hyperlink r:id="rId2676" ref="S1314"/>
    <hyperlink r:id="rId2677" ref="F1315"/>
    <hyperlink r:id="rId2678" ref="S1315"/>
    <hyperlink r:id="rId2679" ref="F1316"/>
    <hyperlink r:id="rId2680" ref="S1316"/>
    <hyperlink r:id="rId2681" ref="F1317"/>
    <hyperlink r:id="rId2682" ref="G1317"/>
    <hyperlink r:id="rId2683" ref="S1317"/>
    <hyperlink r:id="rId2684" ref="F1318"/>
    <hyperlink r:id="rId2685" ref="G1318"/>
    <hyperlink r:id="rId2686" ref="S1318"/>
    <hyperlink r:id="rId2687" ref="G1319"/>
    <hyperlink r:id="rId2688" ref="S1320"/>
    <hyperlink r:id="rId2689" ref="F1321"/>
    <hyperlink r:id="rId2690" ref="S1321"/>
    <hyperlink r:id="rId2691" ref="F1322"/>
    <hyperlink r:id="rId2692" ref="F1323"/>
    <hyperlink r:id="rId2693" ref="G1323"/>
    <hyperlink r:id="rId2694" ref="S1323"/>
    <hyperlink r:id="rId2695" ref="F1324"/>
    <hyperlink r:id="rId2696" ref="S1324"/>
    <hyperlink r:id="rId2697" ref="F1325"/>
    <hyperlink r:id="rId2698" ref="S1325"/>
    <hyperlink r:id="rId2699" ref="F1326"/>
    <hyperlink r:id="rId2700" ref="S1326"/>
    <hyperlink r:id="rId2701" ref="G1327"/>
    <hyperlink r:id="rId2702" ref="S1327"/>
    <hyperlink r:id="rId2703" ref="F1328"/>
    <hyperlink r:id="rId2704" ref="G1328"/>
    <hyperlink r:id="rId2705" ref="S1328"/>
    <hyperlink r:id="rId2706" ref="F1329"/>
    <hyperlink r:id="rId2707" ref="G1329"/>
    <hyperlink r:id="rId2708" ref="S1329"/>
    <hyperlink r:id="rId2709" ref="F1330"/>
    <hyperlink r:id="rId2710" ref="S1330"/>
    <hyperlink r:id="rId2711" ref="F1331"/>
    <hyperlink r:id="rId2712" ref="G1331"/>
    <hyperlink r:id="rId2713" ref="S1331"/>
    <hyperlink r:id="rId2714" ref="S1332"/>
    <hyperlink r:id="rId2715" ref="F1333"/>
    <hyperlink r:id="rId2716" ref="G1333"/>
    <hyperlink r:id="rId2717" ref="F1334"/>
    <hyperlink r:id="rId2718" ref="S1334"/>
    <hyperlink r:id="rId2719" ref="F1335"/>
    <hyperlink r:id="rId2720" ref="S1335"/>
    <hyperlink r:id="rId2721" ref="F1336"/>
    <hyperlink r:id="rId2722" ref="G1336"/>
    <hyperlink r:id="rId2723" ref="S1336"/>
    <hyperlink r:id="rId2724" ref="F1337"/>
    <hyperlink r:id="rId2725" ref="G1337"/>
    <hyperlink r:id="rId2726" ref="S1337"/>
    <hyperlink r:id="rId2727" ref="F1338"/>
    <hyperlink r:id="rId2728" ref="G1338"/>
    <hyperlink r:id="rId2729" ref="S1338"/>
    <hyperlink r:id="rId2730" ref="G1339"/>
    <hyperlink r:id="rId2731" ref="S1339"/>
    <hyperlink r:id="rId2732" ref="G1341"/>
    <hyperlink r:id="rId2733" ref="F1342"/>
    <hyperlink r:id="rId2734" ref="G1342"/>
    <hyperlink r:id="rId2735" ref="S1342"/>
    <hyperlink r:id="rId2736" ref="S1343"/>
    <hyperlink r:id="rId2737" ref="F1344"/>
    <hyperlink r:id="rId2738" ref="S1344"/>
    <hyperlink r:id="rId2739" ref="F1345"/>
    <hyperlink r:id="rId2740" ref="S1345"/>
    <hyperlink r:id="rId2741" ref="G1346"/>
    <hyperlink r:id="rId2742" location="behavioral" ref="F1348"/>
    <hyperlink r:id="rId2743" ref="G1348"/>
    <hyperlink r:id="rId2744" ref="S1348"/>
    <hyperlink r:id="rId2745" ref="G1349"/>
    <hyperlink r:id="rId2746" ref="S1349"/>
    <hyperlink r:id="rId2747" ref="G1350"/>
    <hyperlink r:id="rId2748" ref="S1350"/>
    <hyperlink r:id="rId2749" location=".Xh-ClWrxRuE.twitter" ref="F1351"/>
    <hyperlink r:id="rId2750" ref="S1351"/>
    <hyperlink r:id="rId2751" ref="F1353"/>
    <hyperlink r:id="rId2752" ref="F1354"/>
    <hyperlink r:id="rId2753" ref="G1354"/>
    <hyperlink r:id="rId2754" ref="S1354"/>
    <hyperlink r:id="rId2755" ref="F1355"/>
    <hyperlink r:id="rId2756" ref="G1355"/>
    <hyperlink r:id="rId2757" ref="S1355"/>
    <hyperlink r:id="rId2758" ref="F1356"/>
    <hyperlink r:id="rId2759" ref="S1356"/>
    <hyperlink r:id="rId2760" ref="F1357"/>
    <hyperlink r:id="rId2761" ref="S1357"/>
    <hyperlink r:id="rId2762" ref="F1358"/>
    <hyperlink r:id="rId2763" ref="G1358"/>
    <hyperlink r:id="rId2764" ref="S1358"/>
    <hyperlink r:id="rId2765" ref="F1359"/>
    <hyperlink r:id="rId2766" ref="S1359"/>
    <hyperlink r:id="rId2767" ref="F1361"/>
    <hyperlink r:id="rId2768" ref="G1361"/>
    <hyperlink r:id="rId2769" ref="S1361"/>
    <hyperlink r:id="rId2770" ref="F1362"/>
    <hyperlink r:id="rId2771" ref="S1362"/>
    <hyperlink r:id="rId2772" ref="G1363"/>
    <hyperlink r:id="rId2773" ref="S1363"/>
    <hyperlink r:id="rId2774" ref="F1364"/>
    <hyperlink r:id="rId2775" ref="G1364"/>
    <hyperlink r:id="rId2776" ref="S1364"/>
    <hyperlink r:id="rId2777" ref="F1365"/>
    <hyperlink r:id="rId2778" ref="S1365"/>
    <hyperlink r:id="rId2779" ref="F1366"/>
    <hyperlink r:id="rId2780" ref="S1366"/>
    <hyperlink r:id="rId2781" ref="F1367"/>
    <hyperlink r:id="rId2782" ref="G1367"/>
    <hyperlink r:id="rId2783" ref="S1367"/>
    <hyperlink r:id="rId2784" ref="F1368"/>
    <hyperlink r:id="rId2785" ref="G1368"/>
    <hyperlink r:id="rId2786" ref="S1368"/>
    <hyperlink r:id="rId2787" ref="F1371"/>
    <hyperlink r:id="rId2788" location="effects" ref="F1373"/>
    <hyperlink r:id="rId2789" ref="G1374"/>
    <hyperlink r:id="rId2790" ref="S1374"/>
    <hyperlink r:id="rId2791" ref="F1375"/>
    <hyperlink r:id="rId2792" ref="G1375"/>
    <hyperlink r:id="rId2793" ref="S1375"/>
    <hyperlink r:id="rId2794" ref="F1376"/>
    <hyperlink r:id="rId2795" ref="F1377"/>
    <hyperlink r:id="rId2796" ref="S1377"/>
    <hyperlink r:id="rId2797" ref="F1378"/>
    <hyperlink r:id="rId2798" ref="S1378"/>
    <hyperlink r:id="rId2799" ref="F1379"/>
    <hyperlink r:id="rId2800" ref="S1379"/>
    <hyperlink r:id="rId2801" ref="G1380"/>
    <hyperlink r:id="rId2802" ref="G1381"/>
    <hyperlink r:id="rId2803" ref="S1381"/>
    <hyperlink r:id="rId2804" ref="F1382"/>
    <hyperlink r:id="rId2805" ref="G1382"/>
    <hyperlink r:id="rId2806" ref="S1382"/>
    <hyperlink r:id="rId2807" ref="F1383"/>
    <hyperlink r:id="rId2808" ref="S1383"/>
    <hyperlink r:id="rId2809" ref="F1384"/>
    <hyperlink r:id="rId2810" ref="S1384"/>
    <hyperlink r:id="rId2811" ref="F1385"/>
    <hyperlink r:id="rId2812" ref="G1385"/>
    <hyperlink r:id="rId2813" ref="S1385"/>
    <hyperlink r:id="rId2814" ref="F1386"/>
    <hyperlink r:id="rId2815" ref="G1386"/>
    <hyperlink r:id="rId2816" ref="S1386"/>
    <hyperlink r:id="rId2817" ref="G1388"/>
    <hyperlink r:id="rId2818" ref="S1388"/>
    <hyperlink r:id="rId2819" ref="F1389"/>
    <hyperlink r:id="rId2820" ref="G1389"/>
    <hyperlink r:id="rId2821" ref="S1389"/>
    <hyperlink r:id="rId2822" ref="F1390"/>
    <hyperlink r:id="rId2823" ref="S1390"/>
    <hyperlink r:id="rId2824" ref="F1391"/>
    <hyperlink r:id="rId2825" ref="S1391"/>
    <hyperlink r:id="rId2826" ref="F1392"/>
    <hyperlink r:id="rId2827" ref="G1392"/>
    <hyperlink r:id="rId2828" ref="S1392"/>
    <hyperlink r:id="rId2829" ref="F1393"/>
    <hyperlink r:id="rId2830" ref="G1393"/>
    <hyperlink r:id="rId2831" ref="S1393"/>
    <hyperlink r:id="rId2832" ref="F1394"/>
    <hyperlink r:id="rId2833" ref="G1394"/>
    <hyperlink r:id="rId2834" ref="S1394"/>
    <hyperlink r:id="rId2835" ref="F1395"/>
    <hyperlink r:id="rId2836" ref="G1395"/>
    <hyperlink r:id="rId2837" ref="S1395"/>
    <hyperlink r:id="rId2838" ref="G1397"/>
    <hyperlink r:id="rId2839" ref="S1397"/>
    <hyperlink r:id="rId2840" ref="F1398"/>
    <hyperlink r:id="rId2841" ref="S1398"/>
    <hyperlink r:id="rId2842" ref="F1399"/>
    <hyperlink r:id="rId2843" ref="S1399"/>
    <hyperlink r:id="rId2844" ref="F1400"/>
    <hyperlink r:id="rId2845" ref="S1400"/>
    <hyperlink r:id="rId2846" ref="G1401"/>
    <hyperlink r:id="rId2847" ref="F1402"/>
    <hyperlink r:id="rId2848" ref="S1402"/>
    <hyperlink r:id="rId2849" ref="F1403"/>
    <hyperlink r:id="rId2850" ref="S1403"/>
    <hyperlink r:id="rId2851" ref="F1404"/>
    <hyperlink r:id="rId2852" ref="S1404"/>
    <hyperlink r:id="rId2853" ref="F1405"/>
    <hyperlink r:id="rId2854" ref="G1405"/>
    <hyperlink r:id="rId2855" ref="S1405"/>
    <hyperlink r:id="rId2856" ref="F1406"/>
    <hyperlink r:id="rId2857" ref="S1406"/>
    <hyperlink r:id="rId2858" ref="S1407"/>
    <hyperlink r:id="rId2859" ref="F1408"/>
    <hyperlink r:id="rId2860" ref="S1408"/>
    <hyperlink r:id="rId2861" ref="G1409"/>
    <hyperlink r:id="rId2862" ref="S1409"/>
    <hyperlink r:id="rId2863" ref="F1410"/>
    <hyperlink r:id="rId2864" ref="F1411"/>
    <hyperlink r:id="rId2865" ref="F1412"/>
    <hyperlink r:id="rId2866" ref="S1412"/>
    <hyperlink r:id="rId2867" ref="F1413"/>
    <hyperlink r:id="rId2868" ref="G1413"/>
    <hyperlink r:id="rId2869" ref="S1413"/>
    <hyperlink r:id="rId2870" ref="F1414"/>
    <hyperlink r:id="rId2871" ref="F1415"/>
    <hyperlink r:id="rId2872" ref="G1415"/>
    <hyperlink r:id="rId2873" ref="S1415"/>
    <hyperlink r:id="rId2874" ref="F1416"/>
    <hyperlink r:id="rId2875" ref="G1416"/>
    <hyperlink r:id="rId2876" ref="F1417"/>
    <hyperlink r:id="rId2877" ref="G1417"/>
    <hyperlink r:id="rId2878" ref="S1417"/>
    <hyperlink r:id="rId2879" ref="G1418"/>
    <hyperlink r:id="rId2880" ref="S1418"/>
    <hyperlink r:id="rId2881" ref="F1419"/>
    <hyperlink r:id="rId2882" ref="S1419"/>
    <hyperlink r:id="rId2883" ref="F1420"/>
    <hyperlink r:id="rId2884" ref="S1420"/>
    <hyperlink r:id="rId2885" ref="S1421"/>
    <hyperlink r:id="rId2886" ref="F1422"/>
    <hyperlink r:id="rId2887" ref="G1422"/>
    <hyperlink r:id="rId2888" ref="S1422"/>
    <hyperlink r:id="rId2889" ref="F1424"/>
    <hyperlink r:id="rId2890" ref="G1424"/>
    <hyperlink r:id="rId2891" ref="S1424"/>
    <hyperlink r:id="rId2892" ref="F1425"/>
    <hyperlink r:id="rId2893" ref="G1425"/>
    <hyperlink r:id="rId2894" ref="S1425"/>
    <hyperlink r:id="rId2895" ref="F1426"/>
    <hyperlink r:id="rId2896" ref="S1426"/>
    <hyperlink r:id="rId2897" ref="F1427"/>
    <hyperlink r:id="rId2898" ref="G1427"/>
    <hyperlink r:id="rId2899" ref="S1427"/>
    <hyperlink r:id="rId2900" ref="F1428"/>
    <hyperlink r:id="rId2901" ref="G1428"/>
    <hyperlink r:id="rId2902" ref="S1428"/>
    <hyperlink r:id="rId2903" ref="S1429"/>
    <hyperlink r:id="rId2904" ref="F1430"/>
    <hyperlink r:id="rId2905" ref="G1430"/>
    <hyperlink r:id="rId2906" ref="F1431"/>
    <hyperlink r:id="rId2907" ref="G1431"/>
    <hyperlink r:id="rId2908" ref="S1431"/>
    <hyperlink r:id="rId2909" ref="F1432"/>
    <hyperlink r:id="rId2910" ref="S1432"/>
    <hyperlink r:id="rId2911" ref="F1433"/>
    <hyperlink r:id="rId2912" ref="G1433"/>
    <hyperlink r:id="rId2913" ref="S1433"/>
    <hyperlink r:id="rId2914" ref="F1434"/>
    <hyperlink r:id="rId2915" ref="G1434"/>
    <hyperlink r:id="rId2916" ref="S1434"/>
    <hyperlink r:id="rId2917" ref="F1435"/>
    <hyperlink r:id="rId2918" ref="G1436"/>
    <hyperlink r:id="rId2919" ref="S1436"/>
    <hyperlink r:id="rId2920" location="5819eeb63638" ref="F1437"/>
    <hyperlink r:id="rId2921" ref="S1437"/>
    <hyperlink r:id="rId2922" ref="F1438"/>
    <hyperlink r:id="rId2923" ref="S1438"/>
    <hyperlink r:id="rId2924" ref="G1439"/>
    <hyperlink r:id="rId2925" ref="F1440"/>
    <hyperlink r:id="rId2926" ref="G1440"/>
    <hyperlink r:id="rId2927" ref="S1440"/>
    <hyperlink r:id="rId2928" ref="G1441"/>
    <hyperlink r:id="rId2929" ref="S1441"/>
    <hyperlink r:id="rId2930" ref="F1442"/>
    <hyperlink r:id="rId2931" ref="G1442"/>
    <hyperlink r:id="rId2932" ref="S1442"/>
    <hyperlink r:id="rId2933" ref="F1443"/>
    <hyperlink r:id="rId2934" ref="S1443"/>
    <hyperlink r:id="rId2935" ref="G1444"/>
    <hyperlink r:id="rId2936" ref="S1445"/>
    <hyperlink r:id="rId2937" ref="F1446"/>
    <hyperlink r:id="rId2938" ref="S1446"/>
    <hyperlink r:id="rId2939" ref="F1447"/>
    <hyperlink r:id="rId2940" ref="G1447"/>
    <hyperlink r:id="rId2941" ref="S1447"/>
    <hyperlink r:id="rId2942" ref="G1448"/>
    <hyperlink r:id="rId2943" ref="S1448"/>
    <hyperlink r:id="rId2944" ref="F1449"/>
    <hyperlink r:id="rId2945" ref="G1449"/>
    <hyperlink r:id="rId2946" ref="G1450"/>
    <hyperlink r:id="rId2947" ref="S1450"/>
    <hyperlink r:id="rId2948" ref="F1451"/>
    <hyperlink r:id="rId2949" ref="G1451"/>
    <hyperlink r:id="rId2950" ref="S1451"/>
    <hyperlink r:id="rId2951" ref="G1452"/>
    <hyperlink r:id="rId2952" ref="F1453"/>
    <hyperlink r:id="rId2953" ref="S1453"/>
    <hyperlink r:id="rId2954" ref="F1454"/>
    <hyperlink r:id="rId2955" ref="G1454"/>
    <hyperlink r:id="rId2956" ref="S1454"/>
    <hyperlink r:id="rId2957" ref="F1455"/>
    <hyperlink r:id="rId2958" ref="G1455"/>
    <hyperlink r:id="rId2959" ref="S1455"/>
    <hyperlink r:id="rId2960" ref="F1456"/>
    <hyperlink r:id="rId2961" ref="S1456"/>
    <hyperlink r:id="rId2962" ref="S1457"/>
    <hyperlink r:id="rId2963" ref="C1458"/>
    <hyperlink r:id="rId2964" ref="F1458"/>
    <hyperlink r:id="rId2965" ref="S1458"/>
    <hyperlink r:id="rId2966" ref="F1459"/>
    <hyperlink r:id="rId2967" ref="S1459"/>
    <hyperlink r:id="rId2968" ref="G1460"/>
    <hyperlink r:id="rId2969" ref="S1460"/>
    <hyperlink r:id="rId2970" ref="C1461"/>
    <hyperlink r:id="rId2971" ref="F1461"/>
    <hyperlink r:id="rId2972" ref="S1461"/>
    <hyperlink r:id="rId2973" ref="S1462"/>
    <hyperlink r:id="rId2974" ref="F1463"/>
    <hyperlink r:id="rId2975" ref="S1463"/>
    <hyperlink r:id="rId2976" ref="S1464"/>
    <hyperlink r:id="rId2977" ref="G1465"/>
    <hyperlink r:id="rId2978" ref="S1465"/>
    <hyperlink r:id="rId2979" location="426b0dd97083" ref="F1466"/>
    <hyperlink r:id="rId2980" ref="S1466"/>
    <hyperlink r:id="rId2981" ref="F1468"/>
    <hyperlink r:id="rId2982" ref="S1468"/>
    <hyperlink r:id="rId2983" ref="F1469"/>
    <hyperlink r:id="rId2984" ref="S1469"/>
    <hyperlink r:id="rId2985" ref="F1470"/>
    <hyperlink r:id="rId2986" ref="S1470"/>
    <hyperlink r:id="rId2987" ref="F1471"/>
    <hyperlink r:id="rId2988" ref="S1471"/>
    <hyperlink r:id="rId2989" ref="F1472"/>
    <hyperlink r:id="rId2990" ref="S1472"/>
    <hyperlink r:id="rId2991" ref="F1473"/>
    <hyperlink r:id="rId2992" ref="S1473"/>
    <hyperlink r:id="rId2993" ref="F1474"/>
    <hyperlink r:id="rId2994" ref="G1474"/>
    <hyperlink r:id="rId2995" ref="S1474"/>
    <hyperlink r:id="rId2996" ref="F1475"/>
    <hyperlink r:id="rId2997" ref="G1475"/>
    <hyperlink r:id="rId2998" ref="S1475"/>
    <hyperlink r:id="rId2999" ref="G1476"/>
    <hyperlink r:id="rId3000" ref="S1476"/>
    <hyperlink r:id="rId3001" ref="F1477"/>
    <hyperlink r:id="rId3002" ref="F1478"/>
    <hyperlink r:id="rId3003" ref="S1478"/>
    <hyperlink r:id="rId3004" ref="F1479"/>
    <hyperlink r:id="rId3005" ref="G1479"/>
    <hyperlink r:id="rId3006" ref="S1479"/>
    <hyperlink r:id="rId3007" ref="F1480"/>
    <hyperlink r:id="rId3008" ref="G1480"/>
    <hyperlink r:id="rId3009" ref="S1480"/>
    <hyperlink r:id="rId3010" ref="G1481"/>
    <hyperlink r:id="rId3011" ref="S1481"/>
    <hyperlink r:id="rId3012" ref="F1482"/>
    <hyperlink r:id="rId3013" ref="S1482"/>
    <hyperlink r:id="rId3014" ref="F1484"/>
    <hyperlink r:id="rId3015" ref="G1484"/>
    <hyperlink r:id="rId3016" ref="S1484"/>
    <hyperlink r:id="rId3017" ref="F1485"/>
    <hyperlink r:id="rId3018" ref="G1485"/>
    <hyperlink r:id="rId3019" ref="S1485"/>
    <hyperlink r:id="rId3020" ref="F1486"/>
    <hyperlink r:id="rId3021" ref="S1486"/>
    <hyperlink r:id="rId3022" ref="F1487"/>
    <hyperlink r:id="rId3023" ref="S1487"/>
    <hyperlink r:id="rId3024" ref="F1488"/>
    <hyperlink r:id="rId3025" ref="G1489"/>
    <hyperlink r:id="rId3026" ref="S1489"/>
    <hyperlink r:id="rId3027" ref="C1490"/>
    <hyperlink r:id="rId3028" ref="F1490"/>
    <hyperlink r:id="rId3029" ref="G1490"/>
    <hyperlink r:id="rId3030" ref="S1490"/>
    <hyperlink r:id="rId3031" ref="G1491"/>
    <hyperlink r:id="rId3032" ref="S1491"/>
    <hyperlink r:id="rId3033" ref="G1492"/>
    <hyperlink r:id="rId3034" ref="S1492"/>
    <hyperlink r:id="rId3035" ref="F1493"/>
    <hyperlink r:id="rId3036" ref="G1493"/>
    <hyperlink r:id="rId3037" ref="S1493"/>
    <hyperlink r:id="rId3038" ref="F1494"/>
    <hyperlink r:id="rId3039" ref="S1494"/>
    <hyperlink r:id="rId3040" ref="F1495"/>
    <hyperlink r:id="rId3041" ref="G1495"/>
    <hyperlink r:id="rId3042" ref="S1495"/>
    <hyperlink r:id="rId3043" ref="F1496"/>
    <hyperlink r:id="rId3044" ref="S1496"/>
    <hyperlink r:id="rId3045" ref="F1497"/>
    <hyperlink r:id="rId3046" ref="S1497"/>
    <hyperlink r:id="rId3047" ref="F1498"/>
    <hyperlink r:id="rId3048" ref="S1498"/>
    <hyperlink r:id="rId3049" ref="F1499"/>
    <hyperlink r:id="rId3050" ref="G1499"/>
    <hyperlink r:id="rId3051" ref="S1499"/>
    <hyperlink r:id="rId3052" ref="F1500"/>
    <hyperlink r:id="rId3053" ref="S1500"/>
    <hyperlink r:id="rId3054" ref="F1501"/>
    <hyperlink r:id="rId3055" ref="G1501"/>
    <hyperlink r:id="rId3056" ref="S1501"/>
    <hyperlink r:id="rId3057" ref="G1502"/>
    <hyperlink r:id="rId3058" ref="S1502"/>
    <hyperlink r:id="rId3059" ref="F1503"/>
    <hyperlink r:id="rId3060" ref="G1503"/>
    <hyperlink r:id="rId3061" ref="S1503"/>
    <hyperlink r:id="rId3062" ref="F1504"/>
    <hyperlink r:id="rId3063" ref="G1504"/>
    <hyperlink r:id="rId3064" ref="F1505"/>
    <hyperlink r:id="rId3065" ref="S1505"/>
    <hyperlink r:id="rId3066" ref="F1506"/>
    <hyperlink r:id="rId3067" ref="S1506"/>
    <hyperlink r:id="rId3068" ref="G1507"/>
    <hyperlink r:id="rId3069" ref="S1507"/>
    <hyperlink r:id="rId3070" ref="F1508"/>
    <hyperlink r:id="rId3071" ref="G1508"/>
    <hyperlink r:id="rId3072" ref="F1509"/>
    <hyperlink r:id="rId3073" ref="G1509"/>
    <hyperlink r:id="rId3074" ref="F1510"/>
    <hyperlink r:id="rId3075" ref="G1510"/>
    <hyperlink r:id="rId3076" ref="F1511"/>
    <hyperlink r:id="rId3077" ref="G1511"/>
    <hyperlink r:id="rId3078" ref="S1511"/>
    <hyperlink r:id="rId3079" ref="F1512"/>
    <hyperlink r:id="rId3080" ref="S1512"/>
    <hyperlink r:id="rId3081" ref="G1513"/>
    <hyperlink r:id="rId3082" ref="F1514"/>
    <hyperlink r:id="rId3083" ref="G1514"/>
    <hyperlink r:id="rId3084" ref="S1514"/>
    <hyperlink r:id="rId3085" ref="F1515"/>
    <hyperlink r:id="rId3086" ref="S1515"/>
    <hyperlink r:id="rId3087" ref="F1516"/>
    <hyperlink r:id="rId3088" ref="S1516"/>
    <hyperlink r:id="rId3089" ref="F1517"/>
    <hyperlink r:id="rId3090" ref="G1517"/>
    <hyperlink r:id="rId3091" ref="S1517"/>
    <hyperlink r:id="rId3092" location=".Xh8wxKlePeE.twitter" ref="F1518"/>
    <hyperlink r:id="rId3093" ref="S1518"/>
    <hyperlink r:id="rId3094" ref="F1520"/>
    <hyperlink r:id="rId3095" ref="G1520"/>
    <hyperlink r:id="rId3096" ref="S1520"/>
    <hyperlink r:id="rId3097" ref="G1521"/>
    <hyperlink r:id="rId3098" ref="S1521"/>
    <hyperlink r:id="rId3099" ref="S1522"/>
    <hyperlink r:id="rId3100" ref="F1523"/>
    <hyperlink r:id="rId3101" ref="G1524"/>
    <hyperlink r:id="rId3102" ref="S1524"/>
    <hyperlink r:id="rId3103" ref="G1525"/>
    <hyperlink r:id="rId3104" ref="S1525"/>
    <hyperlink r:id="rId3105" ref="F1526"/>
    <hyperlink r:id="rId3106" ref="G1526"/>
    <hyperlink r:id="rId3107" ref="S1526"/>
    <hyperlink r:id="rId3108" ref="F1527"/>
    <hyperlink r:id="rId3109" ref="S1527"/>
    <hyperlink r:id="rId3110" ref="F1528"/>
    <hyperlink r:id="rId3111" ref="G1528"/>
    <hyperlink r:id="rId3112" ref="S1528"/>
    <hyperlink r:id="rId3113" ref="F1529"/>
    <hyperlink r:id="rId3114" ref="S1529"/>
    <hyperlink r:id="rId3115" ref="F1530"/>
    <hyperlink r:id="rId3116" ref="S1530"/>
    <hyperlink r:id="rId3117" ref="F1531"/>
    <hyperlink r:id="rId3118" ref="S1531"/>
    <hyperlink r:id="rId3119" ref="F1532"/>
    <hyperlink r:id="rId3120" ref="S1532"/>
    <hyperlink r:id="rId3121" ref="F1533"/>
    <hyperlink r:id="rId3122" ref="F1534"/>
    <hyperlink r:id="rId3123" ref="S1534"/>
    <hyperlink r:id="rId3124" ref="G1535"/>
    <hyperlink r:id="rId3125" ref="F1536"/>
    <hyperlink r:id="rId3126" ref="G1536"/>
    <hyperlink r:id="rId3127" ref="S1536"/>
    <hyperlink r:id="rId3128" ref="F1537"/>
    <hyperlink r:id="rId3129" ref="S1537"/>
    <hyperlink r:id="rId3130" ref="F1538"/>
    <hyperlink r:id="rId3131" ref="S1538"/>
    <hyperlink r:id="rId3132" ref="G1540"/>
    <hyperlink r:id="rId3133" ref="F1541"/>
    <hyperlink r:id="rId3134" ref="S1541"/>
    <hyperlink r:id="rId3135" ref="F1542"/>
    <hyperlink r:id="rId3136" ref="G1542"/>
    <hyperlink r:id="rId3137" ref="S1542"/>
    <hyperlink r:id="rId3138" ref="S1543"/>
    <hyperlink r:id="rId3139" ref="F1544"/>
    <hyperlink r:id="rId3140" ref="S1544"/>
    <hyperlink r:id="rId3141" ref="F1545"/>
    <hyperlink r:id="rId3142" ref="S1545"/>
    <hyperlink r:id="rId3143" ref="G1546"/>
    <hyperlink r:id="rId3144" ref="S1546"/>
    <hyperlink r:id="rId3145" ref="F1547"/>
    <hyperlink r:id="rId3146" ref="G1547"/>
    <hyperlink r:id="rId3147" ref="S1547"/>
    <hyperlink r:id="rId3148" ref="C1548"/>
    <hyperlink r:id="rId3149" ref="F1548"/>
    <hyperlink r:id="rId3150" ref="G1548"/>
    <hyperlink r:id="rId3151" ref="S1548"/>
    <hyperlink r:id="rId3152" ref="F1549"/>
    <hyperlink r:id="rId3153" ref="S1549"/>
    <hyperlink r:id="rId3154" ref="F1550"/>
    <hyperlink r:id="rId3155" ref="S1550"/>
    <hyperlink r:id="rId3156" ref="F1551"/>
    <hyperlink r:id="rId3157" ref="G1551"/>
    <hyperlink r:id="rId3158" ref="S1551"/>
    <hyperlink r:id="rId3159" ref="S1552"/>
    <hyperlink r:id="rId3160" ref="F1553"/>
    <hyperlink r:id="rId3161" ref="G1553"/>
    <hyperlink r:id="rId3162" ref="S1553"/>
    <hyperlink r:id="rId3163" ref="F1554"/>
    <hyperlink r:id="rId3164" ref="G1554"/>
    <hyperlink r:id="rId3165" ref="S1554"/>
    <hyperlink r:id="rId3166" ref="F1555"/>
    <hyperlink r:id="rId3167" ref="G1555"/>
    <hyperlink r:id="rId3168" ref="S1555"/>
    <hyperlink r:id="rId3169" ref="F1556"/>
    <hyperlink r:id="rId3170" ref="G1556"/>
    <hyperlink r:id="rId3171" ref="S1556"/>
    <hyperlink r:id="rId3172" ref="S1557"/>
    <hyperlink r:id="rId3173" ref="F1558"/>
    <hyperlink r:id="rId3174" ref="G1558"/>
    <hyperlink r:id="rId3175" ref="S1558"/>
    <hyperlink r:id="rId3176" ref="F1559"/>
    <hyperlink r:id="rId3177" ref="S1559"/>
    <hyperlink r:id="rId3178" ref="F1560"/>
    <hyperlink r:id="rId3179" ref="G1560"/>
    <hyperlink r:id="rId3180" ref="F1561"/>
    <hyperlink r:id="rId3181" ref="S1561"/>
    <hyperlink r:id="rId3182" ref="F1562"/>
    <hyperlink r:id="rId3183" ref="S1562"/>
    <hyperlink r:id="rId3184" ref="F1563"/>
    <hyperlink r:id="rId3185" ref="S1563"/>
    <hyperlink r:id="rId3186" ref="F1564"/>
    <hyperlink r:id="rId3187" ref="S1564"/>
    <hyperlink r:id="rId3188" ref="F1565"/>
    <hyperlink r:id="rId3189" ref="G1565"/>
    <hyperlink r:id="rId3190" ref="S1565"/>
    <hyperlink r:id="rId3191" ref="F1566"/>
    <hyperlink r:id="rId3192" ref="S1566"/>
    <hyperlink r:id="rId3193" ref="S1567"/>
    <hyperlink r:id="rId3194" ref="F1568"/>
    <hyperlink r:id="rId3195" ref="G1568"/>
    <hyperlink r:id="rId3196" ref="S1568"/>
    <hyperlink r:id="rId3197" ref="G1569"/>
    <hyperlink r:id="rId3198" ref="S1569"/>
    <hyperlink r:id="rId3199" ref="G1570"/>
    <hyperlink r:id="rId3200" ref="S1570"/>
    <hyperlink r:id="rId3201" ref="F1571"/>
    <hyperlink r:id="rId3202" ref="G1571"/>
    <hyperlink r:id="rId3203" ref="S1571"/>
    <hyperlink r:id="rId3204" ref="F1572"/>
    <hyperlink r:id="rId3205" ref="G1572"/>
    <hyperlink r:id="rId3206" ref="S1572"/>
    <hyperlink r:id="rId3207" ref="S1573"/>
    <hyperlink r:id="rId3208" ref="F1574"/>
    <hyperlink r:id="rId3209" ref="G1574"/>
    <hyperlink r:id="rId3210" ref="S1574"/>
    <hyperlink r:id="rId3211" ref="F1575"/>
    <hyperlink r:id="rId3212" ref="G1575"/>
    <hyperlink r:id="rId3213" ref="S1575"/>
    <hyperlink r:id="rId3214" ref="F1576"/>
    <hyperlink r:id="rId3215" ref="S1576"/>
    <hyperlink r:id="rId3216" ref="G1577"/>
    <hyperlink r:id="rId3217" ref="S1577"/>
    <hyperlink r:id="rId3218" ref="S1578"/>
    <hyperlink r:id="rId3219" ref="G1579"/>
    <hyperlink r:id="rId3220" ref="S1579"/>
    <hyperlink r:id="rId3221" ref="C1580"/>
    <hyperlink r:id="rId3222" ref="F1580"/>
    <hyperlink r:id="rId3223" ref="G1580"/>
    <hyperlink r:id="rId3224" ref="S1580"/>
    <hyperlink r:id="rId3225" ref="F1581"/>
    <hyperlink r:id="rId3226" ref="G1581"/>
    <hyperlink r:id="rId3227" ref="S1581"/>
    <hyperlink r:id="rId3228" ref="C1582"/>
    <hyperlink r:id="rId3229" ref="F1582"/>
    <hyperlink r:id="rId3230" ref="G1582"/>
    <hyperlink r:id="rId3231" ref="S1582"/>
    <hyperlink r:id="rId3232" ref="F1583"/>
    <hyperlink r:id="rId3233" ref="G1583"/>
    <hyperlink r:id="rId3234" ref="S1583"/>
    <hyperlink r:id="rId3235" ref="F1584"/>
    <hyperlink r:id="rId3236" ref="S1584"/>
    <hyperlink r:id="rId3237" ref="F1585"/>
    <hyperlink r:id="rId3238" ref="G1585"/>
    <hyperlink r:id="rId3239" ref="S1585"/>
    <hyperlink r:id="rId3240" ref="S1586"/>
    <hyperlink r:id="rId3241" ref="F1587"/>
    <hyperlink r:id="rId3242" ref="G1588"/>
    <hyperlink r:id="rId3243" ref="S1589"/>
    <hyperlink r:id="rId3244" ref="S1590"/>
    <hyperlink r:id="rId3245" ref="F1592"/>
    <hyperlink r:id="rId3246" ref="G1592"/>
    <hyperlink r:id="rId3247" ref="S1592"/>
    <hyperlink r:id="rId3248" ref="F1593"/>
    <hyperlink r:id="rId3249" ref="G1593"/>
    <hyperlink r:id="rId3250" ref="S1593"/>
    <hyperlink r:id="rId3251" ref="F1594"/>
    <hyperlink r:id="rId3252" ref="S1594"/>
    <hyperlink r:id="rId3253" ref="S1595"/>
    <hyperlink r:id="rId3254" ref="F1596"/>
    <hyperlink r:id="rId3255" ref="S1596"/>
    <hyperlink r:id="rId3256" ref="F1597"/>
    <hyperlink r:id="rId3257" ref="G1597"/>
    <hyperlink r:id="rId3258" ref="S1597"/>
    <hyperlink r:id="rId3259" ref="G1598"/>
    <hyperlink r:id="rId3260" ref="S1598"/>
    <hyperlink r:id="rId3261" ref="G1599"/>
    <hyperlink r:id="rId3262" ref="S1599"/>
    <hyperlink r:id="rId3263" ref="F1600"/>
    <hyperlink r:id="rId3264" ref="S1600"/>
    <hyperlink r:id="rId3265" ref="G1601"/>
    <hyperlink r:id="rId3266" ref="S1601"/>
    <hyperlink r:id="rId3267" ref="F1602"/>
    <hyperlink r:id="rId3268" ref="G1602"/>
    <hyperlink r:id="rId3269" ref="S1602"/>
    <hyperlink r:id="rId3270" ref="F1603"/>
    <hyperlink r:id="rId3271" ref="F1604"/>
    <hyperlink r:id="rId3272" ref="S1604"/>
    <hyperlink r:id="rId3273" ref="F1605"/>
    <hyperlink r:id="rId3274" ref="G1605"/>
    <hyperlink r:id="rId3275" ref="S1605"/>
    <hyperlink r:id="rId3276" ref="F1606"/>
    <hyperlink r:id="rId3277" ref="G1606"/>
    <hyperlink r:id="rId3278" ref="S1606"/>
    <hyperlink r:id="rId3279" ref="F1607"/>
    <hyperlink r:id="rId3280" ref="G1607"/>
    <hyperlink r:id="rId3281" ref="S1607"/>
    <hyperlink r:id="rId3282" ref="G1608"/>
    <hyperlink r:id="rId3283" ref="S1608"/>
    <hyperlink r:id="rId3284" ref="F1609"/>
    <hyperlink r:id="rId3285" ref="S1609"/>
    <hyperlink r:id="rId3286" ref="F1610"/>
    <hyperlink r:id="rId3287" ref="F1611"/>
    <hyperlink r:id="rId3288" ref="S1611"/>
    <hyperlink r:id="rId3289" ref="F1612"/>
    <hyperlink r:id="rId3290" ref="G1612"/>
    <hyperlink r:id="rId3291" ref="S1612"/>
    <hyperlink r:id="rId3292" ref="G1613"/>
    <hyperlink r:id="rId3293" ref="S1613"/>
    <hyperlink r:id="rId3294" ref="G1614"/>
    <hyperlink r:id="rId3295" ref="S1614"/>
    <hyperlink r:id="rId3296" ref="F1615"/>
    <hyperlink r:id="rId3297" ref="G1615"/>
    <hyperlink r:id="rId3298" ref="S1615"/>
    <hyperlink r:id="rId3299" ref="F1616"/>
    <hyperlink r:id="rId3300" ref="S1616"/>
    <hyperlink r:id="rId3301" ref="G1617"/>
    <hyperlink r:id="rId3302" ref="S1617"/>
    <hyperlink r:id="rId3303" ref="F1618"/>
    <hyperlink r:id="rId3304" ref="S1618"/>
    <hyperlink r:id="rId3305" ref="F1619"/>
    <hyperlink r:id="rId3306" ref="S1619"/>
    <hyperlink r:id="rId3307" ref="F1620"/>
    <hyperlink r:id="rId3308" ref="S1620"/>
    <hyperlink r:id="rId3309" ref="F1621"/>
    <hyperlink r:id="rId3310" ref="S1621"/>
    <hyperlink r:id="rId3311" location="_l_1og" ref="F1622"/>
    <hyperlink r:id="rId3312" ref="S1622"/>
    <hyperlink r:id="rId3313" ref="F1623"/>
    <hyperlink r:id="rId3314" ref="G1623"/>
    <hyperlink r:id="rId3315" ref="G1624"/>
    <hyperlink r:id="rId3316" ref="S1624"/>
    <hyperlink r:id="rId3317" ref="G1625"/>
    <hyperlink r:id="rId3318" ref="S1625"/>
    <hyperlink r:id="rId3319" ref="F1626"/>
    <hyperlink r:id="rId3320" ref="S1626"/>
    <hyperlink r:id="rId3321" ref="G1627"/>
    <hyperlink r:id="rId3322" ref="S1627"/>
    <hyperlink r:id="rId3323" ref="F1628"/>
    <hyperlink r:id="rId3324" ref="G1628"/>
    <hyperlink r:id="rId3325" ref="S1628"/>
    <hyperlink r:id="rId3326" ref="G1629"/>
    <hyperlink r:id="rId3327" ref="S1629"/>
    <hyperlink r:id="rId3328" ref="G1630"/>
    <hyperlink r:id="rId3329" ref="S1630"/>
    <hyperlink r:id="rId3330" ref="F1631"/>
    <hyperlink r:id="rId3331" ref="S1631"/>
    <hyperlink r:id="rId3332" ref="F1632"/>
    <hyperlink r:id="rId3333" ref="S1632"/>
    <hyperlink r:id="rId3334" ref="F1633"/>
    <hyperlink r:id="rId3335" ref="G1633"/>
    <hyperlink r:id="rId3336" ref="S1633"/>
    <hyperlink r:id="rId3337" ref="F1634"/>
    <hyperlink r:id="rId3338" ref="S1634"/>
    <hyperlink r:id="rId3339" location=".Xh7yj9FHPLY.buffer" ref="F1635"/>
    <hyperlink r:id="rId3340" ref="G1635"/>
    <hyperlink r:id="rId3341" ref="S1635"/>
    <hyperlink r:id="rId3342" ref="G1636"/>
    <hyperlink r:id="rId3343" ref="S1636"/>
    <hyperlink r:id="rId3344" ref="G1637"/>
    <hyperlink r:id="rId3345" ref="S1637"/>
    <hyperlink r:id="rId3346" ref="G1638"/>
    <hyperlink r:id="rId3347" ref="S1638"/>
    <hyperlink r:id="rId3348" location=".Xh7uxm8IiBs.buffer" ref="F1639"/>
    <hyperlink r:id="rId3349" ref="G1639"/>
    <hyperlink r:id="rId3350" ref="S1639"/>
    <hyperlink r:id="rId3351" ref="F1640"/>
    <hyperlink r:id="rId3352" ref="G1640"/>
    <hyperlink r:id="rId3353" ref="F1641"/>
    <hyperlink r:id="rId3354" ref="G1641"/>
    <hyperlink r:id="rId3355" ref="F1642"/>
    <hyperlink r:id="rId3356" ref="S1642"/>
    <hyperlink r:id="rId3357" ref="F1643"/>
    <hyperlink r:id="rId3358" ref="S1643"/>
    <hyperlink r:id="rId3359" ref="F1645"/>
    <hyperlink r:id="rId3360" ref="S1645"/>
    <hyperlink r:id="rId3361" ref="F1646"/>
    <hyperlink r:id="rId3362" ref="S1646"/>
    <hyperlink r:id="rId3363" ref="G1647"/>
    <hyperlink r:id="rId3364" ref="S1647"/>
    <hyperlink r:id="rId3365" ref="F1648"/>
    <hyperlink r:id="rId3366" ref="G1648"/>
    <hyperlink r:id="rId3367" ref="S1648"/>
    <hyperlink r:id="rId3368" ref="F1649"/>
    <hyperlink r:id="rId3369" ref="F1650"/>
    <hyperlink r:id="rId3370" ref="S1650"/>
    <hyperlink r:id="rId3371" ref="F1651"/>
    <hyperlink r:id="rId3372" ref="S1651"/>
    <hyperlink r:id="rId3373" ref="G1652"/>
    <hyperlink r:id="rId3374" ref="S1652"/>
    <hyperlink r:id="rId3375" ref="F1653"/>
    <hyperlink r:id="rId3376" ref="G1653"/>
    <hyperlink r:id="rId3377" ref="F1654"/>
    <hyperlink r:id="rId3378" ref="G1654"/>
    <hyperlink r:id="rId3379" ref="F1655"/>
    <hyperlink r:id="rId3380" ref="F1656"/>
    <hyperlink r:id="rId3381" ref="G1656"/>
    <hyperlink r:id="rId3382" ref="S1656"/>
    <hyperlink r:id="rId3383" ref="F1657"/>
    <hyperlink r:id="rId3384" ref="S1657"/>
    <hyperlink r:id="rId3385" ref="S1658"/>
    <hyperlink r:id="rId3386" ref="G1659"/>
    <hyperlink r:id="rId3387" ref="S1659"/>
    <hyperlink r:id="rId3388" ref="G1660"/>
    <hyperlink r:id="rId3389" ref="F1661"/>
    <hyperlink r:id="rId3390" ref="G1661"/>
    <hyperlink r:id="rId3391" ref="S1661"/>
    <hyperlink r:id="rId3392" ref="F1662"/>
    <hyperlink r:id="rId3393" ref="G1662"/>
    <hyperlink r:id="rId3394" ref="S1662"/>
    <hyperlink r:id="rId3395" ref="F1663"/>
    <hyperlink r:id="rId3396" ref="G1663"/>
    <hyperlink r:id="rId3397" ref="S1663"/>
    <hyperlink r:id="rId3398" ref="F1664"/>
    <hyperlink r:id="rId3399" ref="S1664"/>
    <hyperlink r:id="rId3400" ref="F1665"/>
    <hyperlink r:id="rId3401" ref="G1665"/>
    <hyperlink r:id="rId3402" ref="S1665"/>
    <hyperlink r:id="rId3403" ref="F1666"/>
    <hyperlink r:id="rId3404" ref="G1666"/>
    <hyperlink r:id="rId3405" ref="S1666"/>
    <hyperlink r:id="rId3406" ref="G1667"/>
    <hyperlink r:id="rId3407" ref="S1667"/>
    <hyperlink r:id="rId3408" ref="G1668"/>
    <hyperlink r:id="rId3409" ref="S1668"/>
    <hyperlink r:id="rId3410" ref="F1669"/>
    <hyperlink r:id="rId3411" ref="S1669"/>
    <hyperlink r:id="rId3412" ref="G1670"/>
    <hyperlink r:id="rId3413" ref="S1670"/>
    <hyperlink r:id="rId3414" ref="F1672"/>
    <hyperlink r:id="rId3415" ref="G1672"/>
    <hyperlink r:id="rId3416" ref="S1672"/>
    <hyperlink r:id="rId3417" ref="C1673"/>
    <hyperlink r:id="rId3418" ref="F1673"/>
    <hyperlink r:id="rId3419" ref="S1673"/>
    <hyperlink r:id="rId3420" ref="G1674"/>
    <hyperlink r:id="rId3421" ref="S1674"/>
    <hyperlink r:id="rId3422" ref="F1675"/>
    <hyperlink r:id="rId3423" ref="S1675"/>
    <hyperlink r:id="rId3424" ref="S1676"/>
    <hyperlink r:id="rId3425" ref="S1677"/>
    <hyperlink r:id="rId3426" ref="F1678"/>
    <hyperlink r:id="rId3427" ref="G1678"/>
    <hyperlink r:id="rId3428" ref="S1678"/>
    <hyperlink r:id="rId3429" ref="G1679"/>
    <hyperlink r:id="rId3430" ref="S1679"/>
    <hyperlink r:id="rId3431" ref="G1680"/>
    <hyperlink r:id="rId3432" ref="S1680"/>
    <hyperlink r:id="rId3433" ref="F1681"/>
    <hyperlink r:id="rId3434" ref="G1681"/>
    <hyperlink r:id="rId3435" ref="S1681"/>
    <hyperlink r:id="rId3436" ref="F1682"/>
    <hyperlink r:id="rId3437" ref="G1682"/>
    <hyperlink r:id="rId3438" ref="F1683"/>
    <hyperlink r:id="rId3439" ref="G1683"/>
    <hyperlink r:id="rId3440" ref="S1683"/>
    <hyperlink r:id="rId3441" ref="F1684"/>
    <hyperlink r:id="rId3442" ref="S1684"/>
    <hyperlink r:id="rId3443" ref="F1686"/>
    <hyperlink r:id="rId3444" ref="S1686"/>
    <hyperlink r:id="rId3445" ref="F1687"/>
    <hyperlink r:id="rId3446" ref="S1687"/>
    <hyperlink r:id="rId3447" ref="F1688"/>
    <hyperlink r:id="rId3448" ref="G1688"/>
    <hyperlink r:id="rId3449" ref="S1688"/>
    <hyperlink r:id="rId3450" ref="F1689"/>
    <hyperlink r:id="rId3451" ref="S1689"/>
    <hyperlink r:id="rId3452" ref="G1690"/>
    <hyperlink r:id="rId3453" ref="S1690"/>
    <hyperlink r:id="rId3454" ref="F1691"/>
    <hyperlink r:id="rId3455" ref="G1691"/>
    <hyperlink r:id="rId3456" ref="S1691"/>
    <hyperlink r:id="rId3457" ref="F1692"/>
    <hyperlink r:id="rId3458" ref="G1692"/>
    <hyperlink r:id="rId3459" ref="S1692"/>
    <hyperlink r:id="rId3460" ref="F1693"/>
    <hyperlink r:id="rId3461" ref="G1693"/>
    <hyperlink r:id="rId3462" ref="S1693"/>
    <hyperlink r:id="rId3463" ref="F1694"/>
    <hyperlink r:id="rId3464" ref="S1694"/>
    <hyperlink r:id="rId3465" ref="F1695"/>
    <hyperlink r:id="rId3466" ref="G1695"/>
    <hyperlink r:id="rId3467" ref="S1695"/>
    <hyperlink r:id="rId3468" ref="F1696"/>
    <hyperlink r:id="rId3469" ref="F1698"/>
    <hyperlink r:id="rId3470" ref="G1698"/>
    <hyperlink r:id="rId3471" ref="G1699"/>
    <hyperlink r:id="rId3472" ref="S1699"/>
    <hyperlink r:id="rId3473" ref="F1700"/>
    <hyperlink r:id="rId3474" ref="S1700"/>
    <hyperlink r:id="rId3475" ref="F1701"/>
    <hyperlink r:id="rId3476" ref="S1701"/>
    <hyperlink r:id="rId3477" ref="F1702"/>
    <hyperlink r:id="rId3478" ref="G1702"/>
    <hyperlink r:id="rId3479" ref="S1702"/>
    <hyperlink r:id="rId3480" ref="F1703"/>
    <hyperlink r:id="rId3481" ref="S1703"/>
    <hyperlink r:id="rId3482" ref="F1704"/>
    <hyperlink r:id="rId3483" ref="S1704"/>
    <hyperlink r:id="rId3484" ref="S1705"/>
    <hyperlink r:id="rId3485" ref="G1706"/>
    <hyperlink r:id="rId3486" ref="S1706"/>
    <hyperlink r:id="rId3487" ref="G1707"/>
    <hyperlink r:id="rId3488" ref="S1707"/>
    <hyperlink r:id="rId3489" ref="F1708"/>
    <hyperlink r:id="rId3490" ref="S1708"/>
    <hyperlink r:id="rId3491" ref="F1710"/>
    <hyperlink r:id="rId3492" ref="G1710"/>
    <hyperlink r:id="rId3493" ref="S1710"/>
    <hyperlink r:id="rId3494" ref="S1711"/>
    <hyperlink r:id="rId3495" ref="C1713"/>
    <hyperlink r:id="rId3496" ref="F1713"/>
    <hyperlink r:id="rId3497" ref="G1713"/>
    <hyperlink r:id="rId3498" ref="S1713"/>
    <hyperlink r:id="rId3499" ref="F1714"/>
    <hyperlink r:id="rId3500" ref="S1714"/>
    <hyperlink r:id="rId3501" ref="F1715"/>
    <hyperlink r:id="rId3502" ref="S1715"/>
    <hyperlink r:id="rId3503" ref="F1717"/>
    <hyperlink r:id="rId3504" ref="G1717"/>
    <hyperlink r:id="rId3505" ref="S1717"/>
    <hyperlink r:id="rId3506" ref="G1718"/>
    <hyperlink r:id="rId3507" ref="S1718"/>
    <hyperlink r:id="rId3508" ref="G1719"/>
    <hyperlink r:id="rId3509" ref="S1719"/>
    <hyperlink r:id="rId3510" ref="F1720"/>
    <hyperlink r:id="rId3511" ref="G1720"/>
    <hyperlink r:id="rId3512" ref="S1720"/>
    <hyperlink r:id="rId3513" ref="F1721"/>
    <hyperlink r:id="rId3514" ref="S1721"/>
    <hyperlink r:id="rId3515" ref="G1722"/>
    <hyperlink r:id="rId3516" ref="S1722"/>
    <hyperlink r:id="rId3517" ref="F1724"/>
    <hyperlink r:id="rId3518" ref="S1724"/>
    <hyperlink r:id="rId3519" ref="F1725"/>
    <hyperlink r:id="rId3520" ref="G1725"/>
    <hyperlink r:id="rId3521" ref="S1725"/>
    <hyperlink r:id="rId3522" ref="F1726"/>
    <hyperlink r:id="rId3523" ref="S1726"/>
    <hyperlink r:id="rId3524" ref="G1727"/>
    <hyperlink r:id="rId3525" ref="S1728"/>
    <hyperlink r:id="rId3526" ref="G1729"/>
    <hyperlink r:id="rId3527" ref="F1730"/>
    <hyperlink r:id="rId3528" ref="G1730"/>
    <hyperlink r:id="rId3529" ref="S1730"/>
    <hyperlink r:id="rId3530" ref="F1731"/>
    <hyperlink r:id="rId3531" ref="G1731"/>
    <hyperlink r:id="rId3532" ref="S1731"/>
    <hyperlink r:id="rId3533" ref="F1732"/>
    <hyperlink r:id="rId3534" ref="G1732"/>
    <hyperlink r:id="rId3535" ref="S1732"/>
    <hyperlink r:id="rId3536" ref="G1733"/>
    <hyperlink r:id="rId3537" ref="F1735"/>
    <hyperlink r:id="rId3538" ref="G1735"/>
    <hyperlink r:id="rId3539" ref="S1735"/>
    <hyperlink r:id="rId3540" ref="G1736"/>
    <hyperlink r:id="rId3541" ref="F1737"/>
    <hyperlink r:id="rId3542" ref="G1737"/>
    <hyperlink r:id="rId3543" ref="S1737"/>
    <hyperlink r:id="rId3544" ref="F1738"/>
    <hyperlink r:id="rId3545" ref="S1739"/>
    <hyperlink r:id="rId3546" ref="G1740"/>
    <hyperlink r:id="rId3547" ref="G1741"/>
    <hyperlink r:id="rId3548" ref="G1742"/>
    <hyperlink r:id="rId3549" ref="S1742"/>
    <hyperlink r:id="rId3550" ref="F1743"/>
    <hyperlink r:id="rId3551" ref="G1743"/>
    <hyperlink r:id="rId3552" ref="S1743"/>
    <hyperlink r:id="rId3553" ref="S1744"/>
    <hyperlink r:id="rId3554" ref="G1745"/>
    <hyperlink r:id="rId3555" ref="S1746"/>
    <hyperlink r:id="rId3556" ref="F1747"/>
    <hyperlink r:id="rId3557" ref="S1747"/>
    <hyperlink r:id="rId3558" ref="F1748"/>
    <hyperlink r:id="rId3559" ref="S1748"/>
    <hyperlink r:id="rId3560" ref="S1749"/>
    <hyperlink r:id="rId3561" ref="F1750"/>
    <hyperlink r:id="rId3562" ref="G1750"/>
    <hyperlink r:id="rId3563" ref="S1750"/>
    <hyperlink r:id="rId3564" ref="G1751"/>
    <hyperlink r:id="rId3565" ref="S1751"/>
    <hyperlink r:id="rId3566" ref="F1752"/>
    <hyperlink r:id="rId3567" ref="S1752"/>
    <hyperlink r:id="rId3568" ref="F1753"/>
    <hyperlink r:id="rId3569" ref="S1753"/>
    <hyperlink r:id="rId3570" ref="S1754"/>
    <hyperlink r:id="rId3571" ref="G1755"/>
    <hyperlink r:id="rId3572" ref="S1755"/>
    <hyperlink r:id="rId3573" ref="G1756"/>
    <hyperlink r:id="rId3574" ref="S1756"/>
    <hyperlink r:id="rId3575" ref="S1757"/>
    <hyperlink r:id="rId3576" ref="F1758"/>
    <hyperlink r:id="rId3577" ref="S1758"/>
    <hyperlink r:id="rId3578" ref="F1759"/>
    <hyperlink r:id="rId3579" ref="S1759"/>
    <hyperlink r:id="rId3580" ref="F1760"/>
    <hyperlink r:id="rId3581" ref="S1760"/>
    <hyperlink r:id="rId3582" ref="F1761"/>
    <hyperlink r:id="rId3583" ref="S1761"/>
    <hyperlink r:id="rId3584" ref="G1762"/>
    <hyperlink r:id="rId3585" ref="S1762"/>
    <hyperlink r:id="rId3586" ref="S1763"/>
    <hyperlink r:id="rId3587" ref="F1764"/>
    <hyperlink r:id="rId3588" ref="G1765"/>
    <hyperlink r:id="rId3589" ref="F1766"/>
    <hyperlink r:id="rId3590" ref="S1766"/>
    <hyperlink r:id="rId3591" ref="F1767"/>
    <hyperlink r:id="rId3592" ref="S1767"/>
    <hyperlink r:id="rId3593" ref="C1768"/>
    <hyperlink r:id="rId3594" ref="F1768"/>
    <hyperlink r:id="rId3595" ref="G1768"/>
    <hyperlink r:id="rId3596" ref="S1768"/>
    <hyperlink r:id="rId3597" ref="S1769"/>
    <hyperlink r:id="rId3598" ref="F1770"/>
    <hyperlink r:id="rId3599" ref="S1770"/>
    <hyperlink r:id="rId3600" ref="F1771"/>
    <hyperlink r:id="rId3601" ref="S1771"/>
    <hyperlink r:id="rId3602" ref="G1772"/>
    <hyperlink r:id="rId3603" ref="S1772"/>
    <hyperlink r:id="rId3604" ref="G1773"/>
    <hyperlink r:id="rId3605" ref="S1773"/>
    <hyperlink r:id="rId3606" ref="F1774"/>
    <hyperlink r:id="rId3607" ref="G1774"/>
    <hyperlink r:id="rId3608" ref="S1774"/>
    <hyperlink r:id="rId3609" ref="F1775"/>
    <hyperlink r:id="rId3610" ref="G1775"/>
    <hyperlink r:id="rId3611" ref="S1775"/>
    <hyperlink r:id="rId3612" ref="F1776"/>
    <hyperlink r:id="rId3613" ref="G1776"/>
    <hyperlink r:id="rId3614" ref="S1776"/>
    <hyperlink r:id="rId3615" ref="F1777"/>
    <hyperlink r:id="rId3616" ref="S1777"/>
    <hyperlink r:id="rId3617" ref="F1778"/>
    <hyperlink r:id="rId3618" ref="S1778"/>
    <hyperlink r:id="rId3619" ref="F1779"/>
    <hyperlink r:id="rId3620" ref="G1779"/>
    <hyperlink r:id="rId3621" ref="S1779"/>
    <hyperlink r:id="rId3622" ref="F1780"/>
    <hyperlink r:id="rId3623" ref="G1780"/>
    <hyperlink r:id="rId3624" ref="F1781"/>
    <hyperlink r:id="rId3625" ref="G1781"/>
    <hyperlink r:id="rId3626" ref="F1782"/>
    <hyperlink r:id="rId3627" ref="S1782"/>
    <hyperlink r:id="rId3628" ref="G1784"/>
    <hyperlink r:id="rId3629" ref="S1784"/>
    <hyperlink r:id="rId3630" ref="F1785"/>
    <hyperlink r:id="rId3631" ref="G1785"/>
    <hyperlink r:id="rId3632" ref="S1785"/>
    <hyperlink r:id="rId3633" ref="F1786"/>
    <hyperlink r:id="rId3634" ref="F1787"/>
    <hyperlink r:id="rId3635" ref="S1787"/>
    <hyperlink r:id="rId3636" ref="F1788"/>
    <hyperlink r:id="rId3637" ref="G1788"/>
    <hyperlink r:id="rId3638" ref="S1788"/>
    <hyperlink r:id="rId3639" ref="S1789"/>
    <hyperlink r:id="rId3640" ref="F1790"/>
    <hyperlink r:id="rId3641" ref="G1790"/>
    <hyperlink r:id="rId3642" ref="S1790"/>
    <hyperlink r:id="rId3643" ref="G1791"/>
    <hyperlink r:id="rId3644" ref="S1791"/>
    <hyperlink r:id="rId3645" ref="F1792"/>
    <hyperlink r:id="rId3646" ref="G1792"/>
    <hyperlink r:id="rId3647" ref="S1792"/>
    <hyperlink r:id="rId3648" ref="G1793"/>
    <hyperlink r:id="rId3649" ref="S1793"/>
    <hyperlink r:id="rId3650" ref="F1794"/>
    <hyperlink r:id="rId3651" ref="S1794"/>
    <hyperlink r:id="rId3652" ref="F1795"/>
    <hyperlink r:id="rId3653" ref="G1795"/>
    <hyperlink r:id="rId3654" ref="S1795"/>
    <hyperlink r:id="rId3655" ref="G1796"/>
    <hyperlink r:id="rId3656" ref="F1797"/>
    <hyperlink r:id="rId3657" ref="S1797"/>
    <hyperlink r:id="rId3658" ref="F1798"/>
    <hyperlink r:id="rId3659" ref="S1798"/>
    <hyperlink r:id="rId3660" ref="F1799"/>
    <hyperlink r:id="rId3661" ref="G1799"/>
    <hyperlink r:id="rId3662" ref="S1799"/>
    <hyperlink r:id="rId3663" ref="F1800"/>
    <hyperlink r:id="rId3664" ref="G1800"/>
    <hyperlink r:id="rId3665" ref="S1800"/>
    <hyperlink r:id="rId3666" ref="F1801"/>
    <hyperlink r:id="rId3667" ref="S1801"/>
    <hyperlink r:id="rId3668" ref="F1802"/>
    <hyperlink r:id="rId3669" ref="S1802"/>
    <hyperlink r:id="rId3670" ref="F1803"/>
    <hyperlink r:id="rId3671" ref="S1803"/>
    <hyperlink r:id="rId3672" ref="G1804"/>
    <hyperlink r:id="rId3673" ref="S1804"/>
    <hyperlink r:id="rId3674" ref="F1805"/>
    <hyperlink r:id="rId3675" ref="S1805"/>
    <hyperlink r:id="rId3676" ref="G1806"/>
    <hyperlink r:id="rId3677" ref="S1806"/>
    <hyperlink r:id="rId3678" ref="G1807"/>
    <hyperlink r:id="rId3679" ref="F1808"/>
    <hyperlink r:id="rId3680" ref="S1808"/>
    <hyperlink r:id="rId3681" ref="F1809"/>
    <hyperlink r:id="rId3682" ref="S1809"/>
    <hyperlink r:id="rId3683" ref="F1810"/>
    <hyperlink r:id="rId3684" ref="S1810"/>
    <hyperlink r:id="rId3685" ref="F1811"/>
    <hyperlink r:id="rId3686" ref="S1811"/>
    <hyperlink r:id="rId3687" ref="F1812"/>
    <hyperlink r:id="rId3688" ref="S1812"/>
    <hyperlink r:id="rId3689" ref="G1813"/>
    <hyperlink r:id="rId3690" ref="S1813"/>
    <hyperlink r:id="rId3691" ref="S1814"/>
    <hyperlink r:id="rId3692" ref="F1815"/>
    <hyperlink r:id="rId3693" ref="S1815"/>
    <hyperlink r:id="rId3694" ref="F1816"/>
    <hyperlink r:id="rId3695" ref="S1816"/>
    <hyperlink r:id="rId3696" ref="F1817"/>
    <hyperlink r:id="rId3697" ref="G1817"/>
    <hyperlink r:id="rId3698" ref="S1817"/>
    <hyperlink r:id="rId3699" ref="F1818"/>
    <hyperlink r:id="rId3700" ref="S1818"/>
    <hyperlink r:id="rId3701" ref="F1819"/>
    <hyperlink r:id="rId3702" ref="G1819"/>
    <hyperlink r:id="rId3703" ref="S1819"/>
    <hyperlink r:id="rId3704" ref="F1820"/>
    <hyperlink r:id="rId3705" ref="S1820"/>
    <hyperlink r:id="rId3706" ref="F1821"/>
    <hyperlink r:id="rId3707" ref="G1821"/>
    <hyperlink r:id="rId3708" ref="S1821"/>
    <hyperlink r:id="rId3709" ref="F1822"/>
    <hyperlink r:id="rId3710" ref="G1822"/>
    <hyperlink r:id="rId3711" ref="S1822"/>
    <hyperlink r:id="rId3712" ref="F1823"/>
    <hyperlink r:id="rId3713" ref="S1823"/>
    <hyperlink r:id="rId3714" ref="F1824"/>
    <hyperlink r:id="rId3715" ref="G1824"/>
    <hyperlink r:id="rId3716" ref="S1824"/>
    <hyperlink r:id="rId3717" ref="F1825"/>
    <hyperlink r:id="rId3718" ref="S1825"/>
    <hyperlink r:id="rId3719" ref="G1826"/>
    <hyperlink r:id="rId3720" ref="F1827"/>
    <hyperlink r:id="rId3721" ref="G1827"/>
    <hyperlink r:id="rId3722" ref="S1827"/>
    <hyperlink r:id="rId3723" ref="G1828"/>
    <hyperlink r:id="rId3724" ref="S1828"/>
    <hyperlink r:id="rId3725" ref="F1829"/>
    <hyperlink r:id="rId3726" ref="S1829"/>
    <hyperlink r:id="rId3727" ref="F1830"/>
    <hyperlink r:id="rId3728" ref="S1830"/>
    <hyperlink r:id="rId3729" ref="G1831"/>
    <hyperlink r:id="rId3730" ref="F1832"/>
    <hyperlink r:id="rId3731" ref="G1832"/>
    <hyperlink r:id="rId3732" ref="F1833"/>
    <hyperlink r:id="rId3733" ref="S1833"/>
    <hyperlink r:id="rId3734" ref="F1834"/>
    <hyperlink r:id="rId3735" ref="S1834"/>
    <hyperlink r:id="rId3736" ref="F1835"/>
    <hyperlink r:id="rId3737" ref="S1835"/>
    <hyperlink r:id="rId3738" ref="G1836"/>
    <hyperlink r:id="rId3739" ref="F1837"/>
    <hyperlink r:id="rId3740" ref="G1837"/>
    <hyperlink r:id="rId3741" ref="S1837"/>
    <hyperlink r:id="rId3742" ref="F1838"/>
    <hyperlink r:id="rId3743" ref="G1838"/>
    <hyperlink r:id="rId3744" ref="S1838"/>
    <hyperlink r:id="rId3745" ref="F1839"/>
    <hyperlink r:id="rId3746" ref="G1839"/>
    <hyperlink r:id="rId3747" ref="S1839"/>
    <hyperlink r:id="rId3748" ref="F1840"/>
    <hyperlink r:id="rId3749" ref="F1841"/>
    <hyperlink r:id="rId3750" ref="F1842"/>
    <hyperlink r:id="rId3751" ref="S1842"/>
    <hyperlink r:id="rId3752" ref="F1843"/>
    <hyperlink r:id="rId3753" ref="S1843"/>
    <hyperlink r:id="rId3754" ref="F1844"/>
    <hyperlink r:id="rId3755" ref="G1844"/>
    <hyperlink r:id="rId3756" ref="S1844"/>
    <hyperlink r:id="rId3757" ref="F1845"/>
    <hyperlink r:id="rId3758" ref="G1845"/>
    <hyperlink r:id="rId3759" ref="S1845"/>
    <hyperlink r:id="rId3760" ref="F1846"/>
    <hyperlink r:id="rId3761" ref="G1846"/>
    <hyperlink r:id="rId3762" ref="S1846"/>
    <hyperlink r:id="rId3763" ref="F1847"/>
    <hyperlink r:id="rId3764" ref="S1847"/>
    <hyperlink r:id="rId3765" ref="S1848"/>
    <hyperlink r:id="rId3766" ref="G1849"/>
    <hyperlink r:id="rId3767" ref="S1849"/>
    <hyperlink r:id="rId3768" ref="F1850"/>
    <hyperlink r:id="rId3769" ref="S1850"/>
    <hyperlink r:id="rId3770" ref="F1851"/>
    <hyperlink r:id="rId3771" ref="G1851"/>
    <hyperlink r:id="rId3772" ref="S1851"/>
    <hyperlink r:id="rId3773" ref="F1852"/>
    <hyperlink r:id="rId3774" ref="G1852"/>
    <hyperlink r:id="rId3775" ref="S1852"/>
    <hyperlink r:id="rId3776" ref="F1853"/>
    <hyperlink r:id="rId3777" ref="G1853"/>
    <hyperlink r:id="rId3778" ref="S1853"/>
    <hyperlink r:id="rId3779" ref="F1854"/>
    <hyperlink r:id="rId3780" ref="G1854"/>
    <hyperlink r:id="rId3781" ref="S1854"/>
    <hyperlink r:id="rId3782" ref="G1855"/>
    <hyperlink r:id="rId3783" ref="S1855"/>
    <hyperlink r:id="rId3784" ref="F1856"/>
    <hyperlink r:id="rId3785" ref="G1856"/>
    <hyperlink r:id="rId3786" ref="S1856"/>
    <hyperlink r:id="rId3787" ref="F1857"/>
    <hyperlink r:id="rId3788" ref="G1857"/>
    <hyperlink r:id="rId3789" ref="S1857"/>
    <hyperlink r:id="rId3790" ref="F1858"/>
    <hyperlink r:id="rId3791" ref="S1858"/>
    <hyperlink r:id="rId3792" ref="F1860"/>
    <hyperlink r:id="rId3793" ref="G1860"/>
    <hyperlink r:id="rId3794" ref="S1860"/>
    <hyperlink r:id="rId3795" ref="F1861"/>
    <hyperlink r:id="rId3796" ref="S1861"/>
    <hyperlink r:id="rId3797" ref="F1862"/>
    <hyperlink r:id="rId3798" ref="F1863"/>
    <hyperlink r:id="rId3799" ref="G1863"/>
    <hyperlink r:id="rId3800" ref="S1863"/>
    <hyperlink r:id="rId3801" ref="F1864"/>
    <hyperlink r:id="rId3802" ref="S1864"/>
    <hyperlink r:id="rId3803" ref="G1865"/>
    <hyperlink r:id="rId3804" ref="S1865"/>
    <hyperlink r:id="rId3805" ref="F1866"/>
    <hyperlink r:id="rId3806" ref="S1866"/>
    <hyperlink r:id="rId3807" ref="F1867"/>
    <hyperlink r:id="rId3808" ref="G1867"/>
    <hyperlink r:id="rId3809" ref="S1867"/>
    <hyperlink r:id="rId3810" ref="F1868"/>
    <hyperlink r:id="rId3811" ref="G1868"/>
    <hyperlink r:id="rId3812" ref="S1868"/>
    <hyperlink r:id="rId3813" location=".Xh4bd1JlzUY.twitter" ref="F1869"/>
    <hyperlink r:id="rId3814" ref="S1869"/>
    <hyperlink r:id="rId3815" ref="F1870"/>
    <hyperlink r:id="rId3816" ref="S1870"/>
    <hyperlink r:id="rId3817" ref="C1871"/>
    <hyperlink r:id="rId3818" ref="F1871"/>
    <hyperlink r:id="rId3819" ref="G1871"/>
    <hyperlink r:id="rId3820" ref="S1871"/>
    <hyperlink r:id="rId3821" ref="F1872"/>
    <hyperlink r:id="rId3822" ref="S1872"/>
    <hyperlink r:id="rId3823" ref="C1873"/>
    <hyperlink r:id="rId3824" ref="F1873"/>
    <hyperlink r:id="rId3825" ref="S1873"/>
    <hyperlink r:id="rId3826" ref="F1874"/>
    <hyperlink r:id="rId3827" ref="G1874"/>
    <hyperlink r:id="rId3828" ref="S1874"/>
    <hyperlink r:id="rId3829" ref="F1875"/>
    <hyperlink r:id="rId3830" ref="G1875"/>
    <hyperlink r:id="rId3831" ref="S1875"/>
    <hyperlink r:id="rId3832" ref="F1876"/>
    <hyperlink r:id="rId3833" ref="S1876"/>
    <hyperlink r:id="rId3834" location=".Xh4SKXRy8Sg.twitter" ref="F1877"/>
    <hyperlink r:id="rId3835" ref="S1877"/>
    <hyperlink r:id="rId3836" ref="F1878"/>
    <hyperlink r:id="rId3837" ref="S1878"/>
    <hyperlink r:id="rId3838" ref="F1879"/>
    <hyperlink r:id="rId3839" ref="S1879"/>
    <hyperlink r:id="rId3840" ref="G1880"/>
    <hyperlink r:id="rId3841" ref="S1880"/>
    <hyperlink r:id="rId3842" ref="F1881"/>
    <hyperlink r:id="rId3843" ref="G1881"/>
    <hyperlink r:id="rId3844" ref="S1881"/>
    <hyperlink r:id="rId3845" ref="F1882"/>
    <hyperlink r:id="rId3846" ref="G1882"/>
    <hyperlink r:id="rId3847" ref="S1882"/>
    <hyperlink r:id="rId3848" ref="F1883"/>
    <hyperlink r:id="rId3849" ref="S1883"/>
    <hyperlink r:id="rId3850" ref="F1884"/>
    <hyperlink r:id="rId3851" ref="G1884"/>
    <hyperlink r:id="rId3852" ref="F1885"/>
    <hyperlink r:id="rId3853" ref="S1885"/>
    <hyperlink r:id="rId3854" ref="F1886"/>
    <hyperlink r:id="rId3855" ref="G1886"/>
    <hyperlink r:id="rId3856" ref="S1886"/>
    <hyperlink r:id="rId3857" ref="G1887"/>
    <hyperlink r:id="rId3858" ref="S1887"/>
    <hyperlink r:id="rId3859" ref="G1888"/>
    <hyperlink r:id="rId3860" ref="S1888"/>
    <hyperlink r:id="rId3861" ref="F1889"/>
    <hyperlink r:id="rId3862" ref="G1890"/>
    <hyperlink r:id="rId3863" ref="F1891"/>
    <hyperlink r:id="rId3864" ref="F1892"/>
    <hyperlink r:id="rId3865" ref="G1892"/>
    <hyperlink r:id="rId3866" ref="S1892"/>
    <hyperlink r:id="rId3867" ref="G1893"/>
    <hyperlink r:id="rId3868" ref="S1893"/>
    <hyperlink r:id="rId3869" ref="G1894"/>
    <hyperlink r:id="rId3870" ref="G1895"/>
    <hyperlink r:id="rId3871" ref="S1895"/>
    <hyperlink r:id="rId3872" ref="F1896"/>
    <hyperlink r:id="rId3873" ref="G1896"/>
    <hyperlink r:id="rId3874" ref="S1896"/>
    <hyperlink r:id="rId3875" ref="F1897"/>
    <hyperlink r:id="rId3876" ref="G1897"/>
    <hyperlink r:id="rId3877" ref="S1897"/>
    <hyperlink r:id="rId3878" ref="G1898"/>
    <hyperlink r:id="rId3879" ref="G1899"/>
    <hyperlink r:id="rId3880" ref="S1899"/>
    <hyperlink r:id="rId3881" ref="F1900"/>
    <hyperlink r:id="rId3882" ref="G1900"/>
    <hyperlink r:id="rId3883" ref="S1900"/>
    <hyperlink r:id="rId3884" ref="F1901"/>
    <hyperlink r:id="rId3885" ref="S1901"/>
    <hyperlink r:id="rId3886" ref="F1902"/>
    <hyperlink r:id="rId3887" ref="S1902"/>
    <hyperlink r:id="rId3888" ref="G1903"/>
    <hyperlink r:id="rId3889" ref="F1904"/>
    <hyperlink r:id="rId3890" ref="G1904"/>
    <hyperlink r:id="rId3891" ref="S1904"/>
    <hyperlink r:id="rId3892" ref="F1905"/>
    <hyperlink r:id="rId3893" ref="S1905"/>
    <hyperlink r:id="rId3894" ref="F1906"/>
    <hyperlink r:id="rId3895" ref="F1907"/>
    <hyperlink r:id="rId3896" ref="G1907"/>
    <hyperlink r:id="rId3897" ref="S1907"/>
    <hyperlink r:id="rId3898" ref="F1908"/>
    <hyperlink r:id="rId3899" ref="G1908"/>
    <hyperlink r:id="rId3900" ref="S1908"/>
    <hyperlink r:id="rId3901" ref="F1909"/>
    <hyperlink r:id="rId3902" ref="G1909"/>
    <hyperlink r:id="rId3903" ref="S1909"/>
    <hyperlink r:id="rId3904" ref="F1910"/>
    <hyperlink r:id="rId3905" ref="G1910"/>
    <hyperlink r:id="rId3906" ref="S1910"/>
    <hyperlink r:id="rId3907" ref="G1911"/>
    <hyperlink r:id="rId3908" ref="S1911"/>
    <hyperlink r:id="rId3909" ref="F1912"/>
    <hyperlink r:id="rId3910" ref="G1912"/>
    <hyperlink r:id="rId3911" ref="S1912"/>
    <hyperlink r:id="rId3912" ref="F1913"/>
    <hyperlink r:id="rId3913" ref="F1914"/>
    <hyperlink r:id="rId3914" ref="S1914"/>
    <hyperlink r:id="rId3915" ref="G1915"/>
    <hyperlink r:id="rId3916" ref="S1915"/>
    <hyperlink r:id="rId3917" ref="G1916"/>
    <hyperlink r:id="rId3918" ref="S1916"/>
    <hyperlink r:id="rId3919" ref="F1917"/>
    <hyperlink r:id="rId3920" ref="S1917"/>
    <hyperlink r:id="rId3921" ref="F1918"/>
    <hyperlink r:id="rId3922" ref="G1918"/>
    <hyperlink r:id="rId3923" ref="S1918"/>
    <hyperlink r:id="rId3924" ref="F1919"/>
    <hyperlink r:id="rId3925" ref="G1919"/>
    <hyperlink r:id="rId3926" ref="S1919"/>
    <hyperlink r:id="rId3927" ref="F1920"/>
    <hyperlink r:id="rId3928" ref="S1920"/>
    <hyperlink r:id="rId3929" ref="F1921"/>
    <hyperlink r:id="rId3930" ref="S1921"/>
    <hyperlink r:id="rId3931" ref="F1922"/>
    <hyperlink r:id="rId3932" ref="G1922"/>
    <hyperlink r:id="rId3933" ref="S1922"/>
    <hyperlink r:id="rId3934" ref="F1923"/>
    <hyperlink r:id="rId3935" ref="G1923"/>
    <hyperlink r:id="rId3936" ref="S1923"/>
    <hyperlink r:id="rId3937" ref="F1924"/>
    <hyperlink r:id="rId3938" ref="G1924"/>
    <hyperlink r:id="rId3939" ref="S1924"/>
    <hyperlink r:id="rId3940" ref="F1925"/>
    <hyperlink r:id="rId3941" ref="S1925"/>
    <hyperlink r:id="rId3942" ref="F1926"/>
    <hyperlink r:id="rId3943" ref="G1926"/>
    <hyperlink r:id="rId3944" ref="F1927"/>
    <hyperlink r:id="rId3945" ref="G1927"/>
    <hyperlink r:id="rId3946" ref="S1927"/>
    <hyperlink r:id="rId3947" ref="F1928"/>
    <hyperlink r:id="rId3948" ref="S1928"/>
    <hyperlink r:id="rId3949" ref="G1929"/>
    <hyperlink r:id="rId3950" ref="S1929"/>
    <hyperlink r:id="rId3951" ref="F1930"/>
    <hyperlink r:id="rId3952" ref="S1930"/>
    <hyperlink r:id="rId3953" ref="G1932"/>
    <hyperlink r:id="rId3954" ref="S1932"/>
    <hyperlink r:id="rId3955" ref="G1933"/>
    <hyperlink r:id="rId3956" ref="S1933"/>
    <hyperlink r:id="rId3957" ref="G1934"/>
    <hyperlink r:id="rId3958" ref="S1934"/>
    <hyperlink r:id="rId3959" ref="F1935"/>
    <hyperlink r:id="rId3960" ref="G1935"/>
    <hyperlink r:id="rId3961" ref="S1935"/>
    <hyperlink r:id="rId3962" ref="G1936"/>
    <hyperlink r:id="rId3963" ref="F1937"/>
    <hyperlink r:id="rId3964" ref="G1937"/>
    <hyperlink r:id="rId3965" ref="S1937"/>
    <hyperlink r:id="rId3966" ref="G1938"/>
    <hyperlink r:id="rId3967" ref="G1939"/>
    <hyperlink r:id="rId3968" ref="F1940"/>
    <hyperlink r:id="rId3969" ref="G1940"/>
    <hyperlink r:id="rId3970" ref="S1940"/>
    <hyperlink r:id="rId3971" ref="G1941"/>
    <hyperlink r:id="rId3972" ref="S1941"/>
    <hyperlink r:id="rId3973" ref="F1942"/>
    <hyperlink r:id="rId3974" ref="G1942"/>
    <hyperlink r:id="rId3975" ref="S1942"/>
    <hyperlink r:id="rId3976" ref="G1943"/>
    <hyperlink r:id="rId3977" ref="S1943"/>
    <hyperlink r:id="rId3978" ref="G1944"/>
    <hyperlink r:id="rId3979" ref="S1944"/>
    <hyperlink r:id="rId3980" ref="G1945"/>
    <hyperlink r:id="rId3981" ref="S1945"/>
    <hyperlink r:id="rId3982" ref="F1946"/>
    <hyperlink r:id="rId3983" ref="S1946"/>
    <hyperlink r:id="rId3984" ref="F1947"/>
    <hyperlink r:id="rId3985" ref="G1947"/>
    <hyperlink r:id="rId3986" ref="S1947"/>
    <hyperlink r:id="rId3987" ref="F1948"/>
    <hyperlink r:id="rId3988" ref="S1948"/>
    <hyperlink r:id="rId3989" ref="S1949"/>
    <hyperlink r:id="rId3990" ref="F1950"/>
    <hyperlink r:id="rId3991" ref="S1950"/>
    <hyperlink r:id="rId3992" ref="F1952"/>
    <hyperlink r:id="rId3993" ref="S1952"/>
    <hyperlink r:id="rId3994" ref="G1953"/>
    <hyperlink r:id="rId3995" ref="S1953"/>
    <hyperlink r:id="rId3996" ref="F1954"/>
    <hyperlink r:id="rId3997" ref="S1954"/>
    <hyperlink r:id="rId3998" ref="G1955"/>
    <hyperlink r:id="rId3999" ref="S1955"/>
    <hyperlink r:id="rId4000" ref="S1956"/>
    <hyperlink r:id="rId4001" ref="F1957"/>
    <hyperlink r:id="rId4002" ref="G1957"/>
    <hyperlink r:id="rId4003" ref="S1957"/>
    <hyperlink r:id="rId4004" ref="F1958"/>
    <hyperlink r:id="rId4005" ref="C1959"/>
    <hyperlink r:id="rId4006" ref="F1959"/>
    <hyperlink r:id="rId4007" ref="G1959"/>
    <hyperlink r:id="rId4008" ref="S1959"/>
    <hyperlink r:id="rId4009" ref="F1960"/>
    <hyperlink r:id="rId4010" ref="G1960"/>
    <hyperlink r:id="rId4011" ref="S1960"/>
    <hyperlink r:id="rId4012" ref="G1961"/>
    <hyperlink r:id="rId4013" ref="S1961"/>
    <hyperlink r:id="rId4014" ref="F1962"/>
    <hyperlink r:id="rId4015" ref="G1962"/>
    <hyperlink r:id="rId4016" ref="S1962"/>
    <hyperlink r:id="rId4017" ref="F1963"/>
    <hyperlink r:id="rId4018" ref="S1963"/>
    <hyperlink r:id="rId4019" ref="F1964"/>
    <hyperlink r:id="rId4020" ref="G1964"/>
    <hyperlink r:id="rId4021" ref="F1965"/>
    <hyperlink r:id="rId4022" ref="G1965"/>
    <hyperlink r:id="rId4023" ref="S1965"/>
    <hyperlink r:id="rId4024" ref="G1966"/>
    <hyperlink r:id="rId4025" ref="S1966"/>
    <hyperlink r:id="rId4026" ref="F1967"/>
    <hyperlink r:id="rId4027" ref="S1967"/>
    <hyperlink r:id="rId4028" ref="F1968"/>
    <hyperlink r:id="rId4029" ref="S1968"/>
    <hyperlink r:id="rId4030" ref="G1969"/>
    <hyperlink r:id="rId4031" ref="S1969"/>
    <hyperlink r:id="rId4032" ref="S1970"/>
    <hyperlink r:id="rId4033" ref="G1971"/>
    <hyperlink r:id="rId4034" ref="S1971"/>
    <hyperlink r:id="rId4035" ref="G1972"/>
    <hyperlink r:id="rId4036" ref="S1972"/>
    <hyperlink r:id="rId4037" ref="G1973"/>
    <hyperlink r:id="rId4038" ref="S1973"/>
    <hyperlink r:id="rId4039" ref="F1974"/>
    <hyperlink r:id="rId4040" ref="S1974"/>
    <hyperlink r:id="rId4041" ref="F1976"/>
    <hyperlink r:id="rId4042" ref="G1976"/>
    <hyperlink r:id="rId4043" ref="S1976"/>
    <hyperlink r:id="rId4044" ref="F1977"/>
    <hyperlink r:id="rId4045" ref="S1977"/>
    <hyperlink r:id="rId4046" ref="F1978"/>
    <hyperlink r:id="rId4047" ref="S1978"/>
    <hyperlink r:id="rId4048" ref="F1979"/>
    <hyperlink r:id="rId4049" ref="S1980"/>
    <hyperlink r:id="rId4050" ref="F1981"/>
    <hyperlink r:id="rId4051" ref="S1981"/>
    <hyperlink r:id="rId4052" ref="F1982"/>
    <hyperlink r:id="rId4053" ref="S1982"/>
    <hyperlink r:id="rId4054" ref="F1983"/>
    <hyperlink r:id="rId4055" ref="F1984"/>
    <hyperlink r:id="rId4056" ref="G1984"/>
    <hyperlink r:id="rId4057" ref="F1985"/>
    <hyperlink r:id="rId4058" ref="S1985"/>
    <hyperlink r:id="rId4059" ref="S1986"/>
    <hyperlink r:id="rId4060" ref="G1987"/>
    <hyperlink r:id="rId4061" ref="S1987"/>
    <hyperlink r:id="rId4062" ref="F1988"/>
    <hyperlink r:id="rId4063" ref="G1988"/>
    <hyperlink r:id="rId4064" ref="F1989"/>
    <hyperlink r:id="rId4065" ref="G1989"/>
    <hyperlink r:id="rId4066" ref="S1989"/>
    <hyperlink r:id="rId4067" ref="G1990"/>
    <hyperlink r:id="rId4068" ref="S1990"/>
    <hyperlink r:id="rId4069" ref="F1991"/>
    <hyperlink r:id="rId4070" ref="G1991"/>
    <hyperlink r:id="rId4071" ref="S1991"/>
    <hyperlink r:id="rId4072" ref="F1992"/>
    <hyperlink r:id="rId4073" ref="G1992"/>
    <hyperlink r:id="rId4074" ref="S1992"/>
    <hyperlink r:id="rId4075" ref="S1993"/>
    <hyperlink r:id="rId4076" ref="F1994"/>
    <hyperlink r:id="rId4077" ref="G1994"/>
    <hyperlink r:id="rId4078" ref="S1994"/>
    <hyperlink r:id="rId4079" ref="F1995"/>
    <hyperlink r:id="rId4080" ref="G1995"/>
    <hyperlink r:id="rId4081" ref="S1995"/>
    <hyperlink r:id="rId4082" ref="F1996"/>
    <hyperlink r:id="rId4083" ref="G1996"/>
    <hyperlink r:id="rId4084" ref="S1996"/>
    <hyperlink r:id="rId4085" ref="S1997"/>
    <hyperlink r:id="rId4086" ref="F1998"/>
    <hyperlink r:id="rId4087" ref="G1998"/>
    <hyperlink r:id="rId4088" ref="S1998"/>
    <hyperlink r:id="rId4089" ref="C1999"/>
    <hyperlink r:id="rId4090" ref="G1999"/>
    <hyperlink r:id="rId4091" ref="S1999"/>
    <hyperlink r:id="rId4092" ref="F2000"/>
    <hyperlink r:id="rId4093" ref="S2000"/>
    <hyperlink r:id="rId4094" ref="G2001"/>
    <hyperlink r:id="rId4095" ref="S2001"/>
    <hyperlink r:id="rId4096" ref="F2002"/>
    <hyperlink r:id="rId4097" ref="G2002"/>
    <hyperlink r:id="rId4098" ref="F2003"/>
    <hyperlink r:id="rId4099" ref="G2003"/>
    <hyperlink r:id="rId4100" ref="S2003"/>
    <hyperlink r:id="rId4101" ref="F2004"/>
    <hyperlink r:id="rId4102" ref="S2004"/>
    <hyperlink r:id="rId4103" ref="F2005"/>
    <hyperlink r:id="rId4104" ref="G2005"/>
    <hyperlink r:id="rId4105" ref="S2005"/>
    <hyperlink r:id="rId4106" ref="G2006"/>
    <hyperlink r:id="rId4107" ref="S2006"/>
    <hyperlink r:id="rId4108" ref="F2007"/>
    <hyperlink r:id="rId4109" ref="F2008"/>
    <hyperlink r:id="rId4110" ref="G2008"/>
    <hyperlink r:id="rId4111" ref="S2008"/>
    <hyperlink r:id="rId4112" ref="F2009"/>
    <hyperlink r:id="rId4113" ref="F2010"/>
    <hyperlink r:id="rId4114" ref="G2010"/>
    <hyperlink r:id="rId4115" ref="S2010"/>
    <hyperlink r:id="rId4116" ref="F2012"/>
    <hyperlink r:id="rId4117" ref="S2012"/>
    <hyperlink r:id="rId4118" ref="F2013"/>
    <hyperlink r:id="rId4119" ref="G2013"/>
    <hyperlink r:id="rId4120" ref="S2013"/>
    <hyperlink r:id="rId4121" ref="F2014"/>
    <hyperlink r:id="rId4122" ref="S2014"/>
    <hyperlink r:id="rId4123" ref="G2015"/>
    <hyperlink r:id="rId4124" ref="S2015"/>
    <hyperlink r:id="rId4125" ref="F2016"/>
    <hyperlink r:id="rId4126" ref="S2016"/>
    <hyperlink r:id="rId4127" ref="G2017"/>
    <hyperlink r:id="rId4128" ref="S2019"/>
    <hyperlink r:id="rId4129" ref="G2020"/>
    <hyperlink r:id="rId4130" ref="S2020"/>
    <hyperlink r:id="rId4131" ref="F2021"/>
    <hyperlink r:id="rId4132" ref="S2021"/>
    <hyperlink r:id="rId4133" ref="F2022"/>
    <hyperlink r:id="rId4134" ref="S2022"/>
    <hyperlink r:id="rId4135" ref="G2023"/>
    <hyperlink r:id="rId4136" ref="F2024"/>
    <hyperlink r:id="rId4137" ref="G2024"/>
    <hyperlink r:id="rId4138" ref="S2024"/>
    <hyperlink r:id="rId4139" ref="G2025"/>
    <hyperlink r:id="rId4140" ref="S2025"/>
    <hyperlink r:id="rId4141" ref="F2026"/>
    <hyperlink r:id="rId4142" ref="S2026"/>
    <hyperlink r:id="rId4143" ref="F2027"/>
    <hyperlink r:id="rId4144" ref="S2027"/>
    <hyperlink r:id="rId4145" ref="S2028"/>
    <hyperlink r:id="rId4146" ref="F2029"/>
    <hyperlink r:id="rId4147" ref="S2029"/>
    <hyperlink r:id="rId4148" ref="F2030"/>
    <hyperlink r:id="rId4149" ref="S2030"/>
    <hyperlink r:id="rId4150" location=".Xh3KI_a3Vls.twitter" ref="F2031"/>
    <hyperlink r:id="rId4151" ref="S2031"/>
    <hyperlink r:id="rId4152" ref="F2032"/>
    <hyperlink r:id="rId4153" ref="S2032"/>
    <hyperlink r:id="rId4154" ref="F2033"/>
    <hyperlink r:id="rId4155" ref="G2033"/>
    <hyperlink r:id="rId4156" ref="S2033"/>
    <hyperlink r:id="rId4157" ref="F2034"/>
    <hyperlink r:id="rId4158" ref="G2034"/>
    <hyperlink r:id="rId4159" ref="S2034"/>
    <hyperlink r:id="rId4160" ref="F2035"/>
    <hyperlink r:id="rId4161" ref="G2035"/>
    <hyperlink r:id="rId4162" ref="S2035"/>
    <hyperlink r:id="rId4163" ref="G2036"/>
    <hyperlink r:id="rId4164" ref="S2036"/>
    <hyperlink r:id="rId4165" ref="G2037"/>
    <hyperlink r:id="rId4166" ref="S2037"/>
    <hyperlink r:id="rId4167" ref="G2038"/>
    <hyperlink r:id="rId4168" ref="S2038"/>
    <hyperlink r:id="rId4169" ref="F2039"/>
    <hyperlink r:id="rId4170" ref="G2039"/>
    <hyperlink r:id="rId4171" ref="S2039"/>
    <hyperlink r:id="rId4172" ref="F2040"/>
    <hyperlink r:id="rId4173" ref="G2040"/>
    <hyperlink r:id="rId4174" ref="S2040"/>
    <hyperlink r:id="rId4175" ref="G2041"/>
    <hyperlink r:id="rId4176" ref="S2041"/>
    <hyperlink r:id="rId4177" location=".Xh3I1dCIwkQ.twitter" ref="F2042"/>
    <hyperlink r:id="rId4178" ref="S2042"/>
    <hyperlink r:id="rId4179" ref="F2043"/>
    <hyperlink r:id="rId4180" ref="G2043"/>
    <hyperlink r:id="rId4181" ref="S2043"/>
    <hyperlink r:id="rId4182" ref="F2044"/>
    <hyperlink r:id="rId4183" ref="G2044"/>
    <hyperlink r:id="rId4184" ref="S2044"/>
    <hyperlink r:id="rId4185" ref="F2045"/>
    <hyperlink r:id="rId4186" ref="S2045"/>
    <hyperlink r:id="rId4187" ref="F2046"/>
    <hyperlink r:id="rId4188" ref="S2046"/>
    <hyperlink r:id="rId4189" ref="F2047"/>
    <hyperlink r:id="rId4190" ref="G2047"/>
    <hyperlink r:id="rId4191" ref="S2047"/>
    <hyperlink r:id="rId4192" ref="F2048"/>
    <hyperlink r:id="rId4193" ref="S2048"/>
    <hyperlink r:id="rId4194" ref="G2049"/>
    <hyperlink r:id="rId4195" ref="S2049"/>
    <hyperlink r:id="rId4196" ref="F2050"/>
    <hyperlink r:id="rId4197" ref="G2050"/>
    <hyperlink r:id="rId4198" ref="S2050"/>
    <hyperlink r:id="rId4199" ref="F2051"/>
    <hyperlink r:id="rId4200" ref="G2051"/>
    <hyperlink r:id="rId4201" ref="G2052"/>
    <hyperlink r:id="rId4202" ref="G2053"/>
    <hyperlink r:id="rId4203" ref="S2053"/>
    <hyperlink r:id="rId4204" ref="F2054"/>
    <hyperlink r:id="rId4205" ref="S2054"/>
    <hyperlink r:id="rId4206" ref="G2055"/>
    <hyperlink r:id="rId4207" ref="S2055"/>
    <hyperlink r:id="rId4208" ref="F2056"/>
    <hyperlink r:id="rId4209" ref="G2056"/>
    <hyperlink r:id="rId4210" ref="F2057"/>
    <hyperlink r:id="rId4211" ref="G2057"/>
    <hyperlink r:id="rId4212" ref="S2057"/>
    <hyperlink r:id="rId4213" ref="G2058"/>
    <hyperlink r:id="rId4214" ref="S2058"/>
    <hyperlink r:id="rId4215" ref="F2059"/>
    <hyperlink r:id="rId4216" ref="G2059"/>
    <hyperlink r:id="rId4217" ref="S2059"/>
    <hyperlink r:id="rId4218" ref="F2060"/>
    <hyperlink r:id="rId4219" ref="S2060"/>
    <hyperlink r:id="rId4220" ref="F2061"/>
    <hyperlink r:id="rId4221" ref="S2061"/>
    <hyperlink r:id="rId4222" ref="F2062"/>
    <hyperlink r:id="rId4223" ref="S2062"/>
    <hyperlink r:id="rId4224" ref="F2063"/>
    <hyperlink r:id="rId4225" ref="F2064"/>
    <hyperlink r:id="rId4226" ref="S2064"/>
    <hyperlink r:id="rId4227" ref="F2065"/>
    <hyperlink r:id="rId4228" ref="G2065"/>
    <hyperlink r:id="rId4229" ref="S2065"/>
    <hyperlink r:id="rId4230" ref="F2066"/>
    <hyperlink r:id="rId4231" ref="S2066"/>
    <hyperlink r:id="rId4232" ref="F2067"/>
    <hyperlink r:id="rId4233" ref="S2067"/>
    <hyperlink r:id="rId4234" ref="F2068"/>
    <hyperlink r:id="rId4235" ref="G2068"/>
    <hyperlink r:id="rId4236" ref="S2068"/>
    <hyperlink r:id="rId4237" ref="F2069"/>
    <hyperlink r:id="rId4238" ref="G2069"/>
    <hyperlink r:id="rId4239" ref="S2069"/>
    <hyperlink r:id="rId4240" ref="F2070"/>
    <hyperlink r:id="rId4241" ref="G2070"/>
    <hyperlink r:id="rId4242" ref="F2072"/>
    <hyperlink r:id="rId4243" ref="G2072"/>
    <hyperlink r:id="rId4244" ref="S2072"/>
    <hyperlink r:id="rId4245" ref="F2073"/>
    <hyperlink r:id="rId4246" ref="G2073"/>
    <hyperlink r:id="rId4247" ref="S2073"/>
    <hyperlink r:id="rId4248" ref="F2074"/>
    <hyperlink r:id="rId4249" ref="G2074"/>
    <hyperlink r:id="rId4250" ref="F2075"/>
    <hyperlink r:id="rId4251" ref="G2075"/>
    <hyperlink r:id="rId4252" ref="S2075"/>
    <hyperlink r:id="rId4253" ref="G2076"/>
    <hyperlink r:id="rId4254" ref="S2076"/>
    <hyperlink r:id="rId4255" ref="F2077"/>
    <hyperlink r:id="rId4256" ref="S2077"/>
    <hyperlink r:id="rId4257" ref="S2078"/>
    <hyperlink r:id="rId4258" ref="F2079"/>
    <hyperlink r:id="rId4259" ref="G2079"/>
    <hyperlink r:id="rId4260" ref="F2080"/>
    <hyperlink r:id="rId4261" ref="G2080"/>
    <hyperlink r:id="rId4262" ref="F2081"/>
    <hyperlink r:id="rId4263" ref="S2081"/>
    <hyperlink r:id="rId4264" ref="F2082"/>
    <hyperlink r:id="rId4265" ref="G2082"/>
    <hyperlink r:id="rId4266" ref="S2082"/>
    <hyperlink r:id="rId4267" ref="G2083"/>
    <hyperlink r:id="rId4268" ref="G2084"/>
    <hyperlink r:id="rId4269" ref="S2084"/>
    <hyperlink r:id="rId4270" ref="F2085"/>
    <hyperlink r:id="rId4271" ref="G2085"/>
    <hyperlink r:id="rId4272" location="/" ref="S2085"/>
    <hyperlink r:id="rId4273" ref="G2086"/>
    <hyperlink r:id="rId4274" ref="S2086"/>
    <hyperlink r:id="rId4275" ref="F2087"/>
    <hyperlink r:id="rId4276" ref="G2087"/>
    <hyperlink r:id="rId4277" ref="S2087"/>
    <hyperlink r:id="rId4278" ref="F2089"/>
    <hyperlink r:id="rId4279" ref="G2089"/>
    <hyperlink r:id="rId4280" ref="S2089"/>
    <hyperlink r:id="rId4281" ref="G2090"/>
    <hyperlink r:id="rId4282" ref="F2091"/>
    <hyperlink r:id="rId4283" ref="S2091"/>
    <hyperlink r:id="rId4284" location=".XhyRCsj7SUm" ref="F2092"/>
    <hyperlink r:id="rId4285" ref="G2092"/>
    <hyperlink r:id="rId4286" ref="S2092"/>
    <hyperlink r:id="rId4287" ref="G2093"/>
    <hyperlink r:id="rId4288" ref="S2093"/>
    <hyperlink r:id="rId4289" ref="F2094"/>
    <hyperlink r:id="rId4290" ref="G2094"/>
    <hyperlink r:id="rId4291" ref="S2094"/>
    <hyperlink r:id="rId4292" ref="F2095"/>
    <hyperlink r:id="rId4293" ref="G2095"/>
    <hyperlink r:id="rId4294" ref="S2095"/>
    <hyperlink r:id="rId4295" ref="C2096"/>
    <hyperlink r:id="rId4296" ref="S2096"/>
    <hyperlink r:id="rId4297" ref="F2097"/>
    <hyperlink r:id="rId4298" ref="S2097"/>
    <hyperlink r:id="rId4299" ref="G2098"/>
    <hyperlink r:id="rId4300" ref="S2098"/>
    <hyperlink r:id="rId4301" ref="S2099"/>
    <hyperlink r:id="rId4302" ref="G2100"/>
    <hyperlink r:id="rId4303" ref="S2100"/>
    <hyperlink r:id="rId4304" ref="F2101"/>
    <hyperlink r:id="rId4305" ref="G2101"/>
    <hyperlink r:id="rId4306" ref="S2101"/>
    <hyperlink r:id="rId4307" ref="G2102"/>
    <hyperlink r:id="rId4308" ref="S2102"/>
    <hyperlink r:id="rId4309" ref="F2103"/>
    <hyperlink r:id="rId4310" ref="S2103"/>
    <hyperlink r:id="rId4311" ref="S2104"/>
    <hyperlink r:id="rId4312" ref="F2105"/>
    <hyperlink r:id="rId4313" ref="G2105"/>
    <hyperlink r:id="rId4314" ref="S2105"/>
    <hyperlink r:id="rId4315" ref="G2106"/>
    <hyperlink r:id="rId4316" ref="S2106"/>
    <hyperlink r:id="rId4317" ref="G2108"/>
    <hyperlink r:id="rId4318" ref="S2108"/>
    <hyperlink r:id="rId4319" ref="G2109"/>
    <hyperlink r:id="rId4320" ref="S2109"/>
    <hyperlink r:id="rId4321" ref="F2110"/>
    <hyperlink r:id="rId4322" ref="G2110"/>
    <hyperlink r:id="rId4323" ref="R2110"/>
    <hyperlink r:id="rId4324" ref="S2110"/>
    <hyperlink r:id="rId4325" ref="F2111"/>
    <hyperlink r:id="rId4326" ref="G2111"/>
    <hyperlink r:id="rId4327" ref="S2111"/>
    <hyperlink r:id="rId4328" ref="C2112"/>
    <hyperlink r:id="rId4329" ref="F2112"/>
    <hyperlink r:id="rId4330" ref="G2112"/>
    <hyperlink r:id="rId4331" ref="S2112"/>
    <hyperlink r:id="rId4332" ref="F2113"/>
    <hyperlink r:id="rId4333" ref="G2113"/>
    <hyperlink r:id="rId4334" ref="S2113"/>
    <hyperlink r:id="rId4335" ref="G2114"/>
    <hyperlink r:id="rId4336" ref="S2114"/>
    <hyperlink r:id="rId4337" ref="F2116"/>
    <hyperlink r:id="rId4338" ref="G2116"/>
    <hyperlink r:id="rId4339" ref="S2116"/>
    <hyperlink r:id="rId4340" ref="F2117"/>
    <hyperlink r:id="rId4341" ref="G2117"/>
    <hyperlink r:id="rId4342" ref="S2117"/>
    <hyperlink r:id="rId4343" ref="F2118"/>
    <hyperlink r:id="rId4344" ref="S2118"/>
    <hyperlink r:id="rId4345" ref="G2119"/>
    <hyperlink r:id="rId4346" ref="S2119"/>
    <hyperlink r:id="rId4347" ref="F2120"/>
    <hyperlink r:id="rId4348" ref="S2120"/>
    <hyperlink r:id="rId4349" ref="F2121"/>
    <hyperlink r:id="rId4350" ref="G2121"/>
    <hyperlink r:id="rId4351" ref="S2121"/>
    <hyperlink r:id="rId4352" ref="F2122"/>
    <hyperlink r:id="rId4353" ref="S2122"/>
    <hyperlink r:id="rId4354" ref="G2123"/>
    <hyperlink r:id="rId4355" ref="S2123"/>
    <hyperlink r:id="rId4356" ref="F2124"/>
    <hyperlink r:id="rId4357" ref="S2124"/>
    <hyperlink r:id="rId4358" ref="F2125"/>
    <hyperlink r:id="rId4359" ref="S2125"/>
    <hyperlink r:id="rId4360" ref="G2126"/>
    <hyperlink r:id="rId4361" ref="S2126"/>
    <hyperlink r:id="rId4362" ref="G2127"/>
    <hyperlink r:id="rId4363" ref="S2127"/>
    <hyperlink r:id="rId4364" ref="F2128"/>
    <hyperlink r:id="rId4365" ref="G2128"/>
    <hyperlink r:id="rId4366" ref="S2128"/>
    <hyperlink r:id="rId4367" ref="F2129"/>
    <hyperlink r:id="rId4368" ref="G2129"/>
    <hyperlink r:id="rId4369" ref="S2129"/>
    <hyperlink r:id="rId4370" ref="F2130"/>
    <hyperlink r:id="rId4371" ref="G2130"/>
    <hyperlink r:id="rId4372" ref="S2130"/>
    <hyperlink r:id="rId4373" ref="S2132"/>
    <hyperlink r:id="rId4374" ref="G2133"/>
    <hyperlink r:id="rId4375" ref="S2133"/>
    <hyperlink r:id="rId4376" ref="F2134"/>
    <hyperlink r:id="rId4377" ref="F2135"/>
    <hyperlink r:id="rId4378" ref="S2135"/>
    <hyperlink r:id="rId4379" ref="F2136"/>
    <hyperlink r:id="rId4380" ref="G2136"/>
    <hyperlink r:id="rId4381" ref="S2136"/>
    <hyperlink r:id="rId4382" ref="F2137"/>
    <hyperlink r:id="rId4383" ref="S2137"/>
    <hyperlink r:id="rId4384" ref="F2138"/>
    <hyperlink r:id="rId4385" ref="S2138"/>
    <hyperlink r:id="rId4386" ref="F2139"/>
    <hyperlink r:id="rId4387" ref="G2139"/>
    <hyperlink r:id="rId4388" ref="S2139"/>
    <hyperlink r:id="rId4389" ref="F2140"/>
    <hyperlink r:id="rId4390" ref="G2140"/>
    <hyperlink r:id="rId4391" ref="F2141"/>
    <hyperlink r:id="rId4392" ref="G2141"/>
    <hyperlink r:id="rId4393" ref="S2141"/>
    <hyperlink r:id="rId4394" ref="F2142"/>
    <hyperlink r:id="rId4395" ref="S2142"/>
    <hyperlink r:id="rId4396" ref="S2143"/>
    <hyperlink r:id="rId4397" ref="F2145"/>
    <hyperlink r:id="rId4398" ref="G2145"/>
    <hyperlink r:id="rId4399" ref="S2145"/>
    <hyperlink r:id="rId4400" ref="G2146"/>
    <hyperlink r:id="rId4401" ref="S2147"/>
    <hyperlink r:id="rId4402" ref="F2148"/>
    <hyperlink r:id="rId4403" ref="G2148"/>
    <hyperlink r:id="rId4404" ref="S2148"/>
    <hyperlink r:id="rId4405" ref="S2149"/>
    <hyperlink r:id="rId4406" ref="S2150"/>
    <hyperlink r:id="rId4407" ref="F2151"/>
    <hyperlink r:id="rId4408" ref="S2151"/>
    <hyperlink r:id="rId4409" ref="F2152"/>
    <hyperlink r:id="rId4410" ref="G2152"/>
    <hyperlink r:id="rId4411" ref="S2152"/>
    <hyperlink r:id="rId4412" ref="F2153"/>
    <hyperlink r:id="rId4413" ref="S2153"/>
    <hyperlink r:id="rId4414" ref="F2154"/>
    <hyperlink r:id="rId4415" ref="S2154"/>
    <hyperlink r:id="rId4416" ref="S2155"/>
    <hyperlink r:id="rId4417" ref="F2156"/>
    <hyperlink r:id="rId4418" ref="G2156"/>
    <hyperlink r:id="rId4419" ref="S2156"/>
    <hyperlink r:id="rId4420" ref="F2157"/>
    <hyperlink r:id="rId4421" ref="G2157"/>
    <hyperlink r:id="rId4422" ref="S2157"/>
    <hyperlink r:id="rId4423" ref="F2158"/>
    <hyperlink r:id="rId4424" ref="G2158"/>
    <hyperlink r:id="rId4425" ref="S2158"/>
    <hyperlink r:id="rId4426" ref="F2159"/>
    <hyperlink r:id="rId4427" ref="G2159"/>
    <hyperlink r:id="rId4428" ref="S2159"/>
    <hyperlink r:id="rId4429" ref="S2160"/>
    <hyperlink r:id="rId4430" ref="F2161"/>
    <hyperlink r:id="rId4431" ref="S2161"/>
    <hyperlink r:id="rId4432" ref="F2162"/>
    <hyperlink r:id="rId4433" ref="S2162"/>
    <hyperlink r:id="rId4434" ref="F2163"/>
    <hyperlink r:id="rId4435" ref="G2163"/>
    <hyperlink r:id="rId4436" ref="S2163"/>
    <hyperlink r:id="rId4437" ref="F2164"/>
    <hyperlink r:id="rId4438" ref="S2164"/>
    <hyperlink r:id="rId4439" ref="F2165"/>
    <hyperlink r:id="rId4440" ref="G2165"/>
    <hyperlink r:id="rId4441" ref="S2165"/>
    <hyperlink r:id="rId4442" ref="F2166"/>
    <hyperlink r:id="rId4443" ref="S2166"/>
    <hyperlink r:id="rId4444" ref="F2167"/>
    <hyperlink r:id="rId4445" ref="G2167"/>
    <hyperlink r:id="rId4446" ref="S2167"/>
    <hyperlink r:id="rId4447" ref="F2168"/>
    <hyperlink r:id="rId4448" ref="G2168"/>
    <hyperlink r:id="rId4449" ref="S2168"/>
    <hyperlink r:id="rId4450" ref="F2169"/>
    <hyperlink r:id="rId4451" ref="S2169"/>
    <hyperlink r:id="rId4452" ref="F2170"/>
    <hyperlink r:id="rId4453" ref="G2170"/>
    <hyperlink r:id="rId4454" ref="S2170"/>
    <hyperlink r:id="rId4455" ref="F2171"/>
    <hyperlink r:id="rId4456" ref="G2171"/>
    <hyperlink r:id="rId4457" ref="S2171"/>
    <hyperlink r:id="rId4458" ref="F2172"/>
    <hyperlink r:id="rId4459" ref="G2173"/>
    <hyperlink r:id="rId4460" ref="S2173"/>
    <hyperlink r:id="rId4461" ref="G2174"/>
    <hyperlink r:id="rId4462" ref="S2174"/>
    <hyperlink r:id="rId4463" ref="F2175"/>
    <hyperlink r:id="rId4464" ref="G2175"/>
    <hyperlink r:id="rId4465" ref="S2175"/>
    <hyperlink r:id="rId4466" ref="F2176"/>
    <hyperlink r:id="rId4467" ref="S2176"/>
    <hyperlink r:id="rId4468" ref="F2177"/>
    <hyperlink r:id="rId4469" ref="S2177"/>
    <hyperlink r:id="rId4470" ref="F2178"/>
    <hyperlink r:id="rId4471" ref="G2178"/>
    <hyperlink r:id="rId4472" ref="S2178"/>
    <hyperlink r:id="rId4473" ref="F2179"/>
    <hyperlink r:id="rId4474" ref="S2179"/>
    <hyperlink r:id="rId4475" ref="F2181"/>
    <hyperlink r:id="rId4476" ref="S2181"/>
    <hyperlink r:id="rId4477" ref="G2183"/>
    <hyperlink r:id="rId4478" ref="S2183"/>
    <hyperlink r:id="rId4479" ref="F2184"/>
    <hyperlink r:id="rId4480" ref="S2184"/>
    <hyperlink r:id="rId4481" ref="S2185"/>
    <hyperlink r:id="rId4482" ref="F2186"/>
    <hyperlink r:id="rId4483" ref="G2186"/>
    <hyperlink r:id="rId4484" ref="S2186"/>
    <hyperlink r:id="rId4485" ref="G2188"/>
    <hyperlink r:id="rId4486" ref="S2188"/>
    <hyperlink r:id="rId4487" ref="F2189"/>
    <hyperlink r:id="rId4488" ref="G2189"/>
    <hyperlink r:id="rId4489" ref="S2189"/>
    <hyperlink r:id="rId4490" ref="G2190"/>
    <hyperlink r:id="rId4491" ref="S2190"/>
    <hyperlink r:id="rId4492" ref="F2191"/>
    <hyperlink r:id="rId4493" ref="G2191"/>
    <hyperlink r:id="rId4494" ref="S2191"/>
    <hyperlink r:id="rId4495" ref="F2192"/>
    <hyperlink r:id="rId4496" ref="G2192"/>
    <hyperlink r:id="rId4497" ref="S2192"/>
    <hyperlink r:id="rId4498" ref="F2193"/>
    <hyperlink r:id="rId4499" ref="S2193"/>
    <hyperlink r:id="rId4500" ref="G2194"/>
    <hyperlink r:id="rId4501" ref="S2194"/>
    <hyperlink r:id="rId4502" ref="S2195"/>
    <hyperlink r:id="rId4503" ref="F2196"/>
    <hyperlink r:id="rId4504" ref="S2196"/>
    <hyperlink r:id="rId4505" ref="F2197"/>
    <hyperlink r:id="rId4506" ref="G2197"/>
    <hyperlink r:id="rId4507" ref="S2197"/>
    <hyperlink r:id="rId4508" ref="G2199"/>
    <hyperlink r:id="rId4509" ref="G2200"/>
    <hyperlink r:id="rId4510" ref="F2201"/>
    <hyperlink r:id="rId4511" ref="S2201"/>
    <hyperlink r:id="rId4512" ref="F2202"/>
    <hyperlink r:id="rId4513" ref="S2202"/>
    <hyperlink r:id="rId4514" ref="F2203"/>
    <hyperlink r:id="rId4515" ref="S2203"/>
    <hyperlink r:id="rId4516" ref="F2204"/>
    <hyperlink r:id="rId4517" ref="G2204"/>
    <hyperlink r:id="rId4518" ref="S2204"/>
    <hyperlink r:id="rId4519" ref="F2205"/>
    <hyperlink r:id="rId4520" ref="S2205"/>
    <hyperlink r:id="rId4521" ref="F2206"/>
    <hyperlink r:id="rId4522" ref="G2206"/>
    <hyperlink r:id="rId4523" ref="S2206"/>
    <hyperlink r:id="rId4524" ref="C2207"/>
    <hyperlink r:id="rId4525" ref="F2207"/>
    <hyperlink r:id="rId4526" ref="G2207"/>
    <hyperlink r:id="rId4527" ref="S2207"/>
    <hyperlink r:id="rId4528" ref="G2208"/>
    <hyperlink r:id="rId4529" ref="S2208"/>
    <hyperlink r:id="rId4530" ref="G2209"/>
    <hyperlink r:id="rId4531" ref="S2209"/>
    <hyperlink r:id="rId4532" ref="F2210"/>
    <hyperlink r:id="rId4533" ref="G2210"/>
    <hyperlink r:id="rId4534" ref="S2210"/>
    <hyperlink r:id="rId4535" ref="S2211"/>
    <hyperlink r:id="rId4536" ref="F2212"/>
    <hyperlink r:id="rId4537" ref="G2212"/>
    <hyperlink r:id="rId4538" ref="S2212"/>
    <hyperlink r:id="rId4539" ref="F2213"/>
    <hyperlink r:id="rId4540" ref="S2213"/>
    <hyperlink r:id="rId4541" ref="F2214"/>
    <hyperlink r:id="rId4542" ref="G2214"/>
    <hyperlink r:id="rId4543" ref="S2214"/>
    <hyperlink r:id="rId4544" ref="F2215"/>
    <hyperlink r:id="rId4545" ref="G2215"/>
    <hyperlink r:id="rId4546" ref="S2215"/>
    <hyperlink r:id="rId4547" ref="F2216"/>
    <hyperlink r:id="rId4548" ref="S2216"/>
    <hyperlink r:id="rId4549" ref="F2217"/>
    <hyperlink r:id="rId4550" ref="S2217"/>
    <hyperlink r:id="rId4551" ref="F2218"/>
    <hyperlink r:id="rId4552" ref="S2218"/>
    <hyperlink r:id="rId4553" ref="F2219"/>
    <hyperlink r:id="rId4554" ref="G2219"/>
    <hyperlink r:id="rId4555" ref="S2219"/>
    <hyperlink r:id="rId4556" ref="G2220"/>
    <hyperlink r:id="rId4557" ref="S2220"/>
    <hyperlink r:id="rId4558" ref="S2222"/>
    <hyperlink r:id="rId4559" ref="F2223"/>
    <hyperlink r:id="rId4560" ref="G2223"/>
    <hyperlink r:id="rId4561" ref="S2223"/>
    <hyperlink r:id="rId4562" ref="F2224"/>
    <hyperlink r:id="rId4563" ref="G2224"/>
    <hyperlink r:id="rId4564" ref="S2224"/>
    <hyperlink r:id="rId4565" ref="F2225"/>
    <hyperlink r:id="rId4566" ref="S2225"/>
    <hyperlink r:id="rId4567" location=".Xh0jKjGVA84.twitter" ref="F2226"/>
    <hyperlink r:id="rId4568" ref="S2226"/>
    <hyperlink r:id="rId4569" location=".Xh0iQZNmD4Y.twitter" ref="F2227"/>
    <hyperlink r:id="rId4570" ref="S2227"/>
    <hyperlink r:id="rId4571" ref="F2228"/>
    <hyperlink r:id="rId4572" ref="G2228"/>
    <hyperlink r:id="rId4573" ref="S2228"/>
    <hyperlink r:id="rId4574" ref="F2229"/>
    <hyperlink r:id="rId4575" ref="G2229"/>
    <hyperlink r:id="rId4576" ref="S2229"/>
    <hyperlink r:id="rId4577" ref="F2230"/>
    <hyperlink r:id="rId4578" ref="G2230"/>
    <hyperlink r:id="rId4579" ref="S2230"/>
    <hyperlink r:id="rId4580" ref="F2231"/>
    <hyperlink r:id="rId4581" ref="S2231"/>
    <hyperlink r:id="rId4582" location=".Xh0eweukspU.twitter" ref="F2232"/>
    <hyperlink r:id="rId4583" ref="S2232"/>
    <hyperlink r:id="rId4584" ref="F2233"/>
    <hyperlink r:id="rId4585" ref="S2233"/>
    <hyperlink r:id="rId4586" ref="F2234"/>
    <hyperlink r:id="rId4587" ref="G2234"/>
    <hyperlink r:id="rId4588" ref="S2234"/>
    <hyperlink r:id="rId4589" ref="F2235"/>
    <hyperlink r:id="rId4590" ref="G2235"/>
    <hyperlink r:id="rId4591" ref="S2235"/>
    <hyperlink r:id="rId4592" ref="F2236"/>
    <hyperlink r:id="rId4593" ref="S2236"/>
    <hyperlink r:id="rId4594" ref="F2237"/>
    <hyperlink r:id="rId4595" ref="S2237"/>
    <hyperlink r:id="rId4596" ref="F2238"/>
    <hyperlink r:id="rId4597" ref="S2238"/>
    <hyperlink r:id="rId4598" ref="F2239"/>
    <hyperlink r:id="rId4599" ref="S2239"/>
    <hyperlink r:id="rId4600" ref="G2240"/>
    <hyperlink r:id="rId4601" ref="S2240"/>
    <hyperlink r:id="rId4602" ref="F2241"/>
    <hyperlink r:id="rId4603" ref="G2241"/>
    <hyperlink r:id="rId4604" ref="G2242"/>
    <hyperlink r:id="rId4605" ref="F2243"/>
    <hyperlink r:id="rId4606" ref="S2243"/>
    <hyperlink r:id="rId4607" ref="F2244"/>
    <hyperlink r:id="rId4608" ref="S2244"/>
    <hyperlink r:id="rId4609" ref="F2245"/>
    <hyperlink r:id="rId4610" ref="S2245"/>
    <hyperlink r:id="rId4611" ref="G2246"/>
    <hyperlink r:id="rId4612" ref="F2247"/>
    <hyperlink r:id="rId4613" ref="G2247"/>
    <hyperlink r:id="rId4614" ref="F2248"/>
    <hyperlink r:id="rId4615" ref="G2248"/>
    <hyperlink r:id="rId4616" ref="S2248"/>
    <hyperlink r:id="rId4617" ref="F2249"/>
    <hyperlink r:id="rId4618" ref="S2249"/>
    <hyperlink r:id="rId4619" ref="F2250"/>
    <hyperlink r:id="rId4620" ref="S2250"/>
    <hyperlink r:id="rId4621" ref="F2251"/>
    <hyperlink r:id="rId4622" ref="G2251"/>
    <hyperlink r:id="rId4623" ref="S2251"/>
    <hyperlink r:id="rId4624" ref="G2252"/>
    <hyperlink r:id="rId4625" ref="S2252"/>
    <hyperlink r:id="rId4626" ref="G2253"/>
    <hyperlink r:id="rId4627" ref="S2253"/>
    <hyperlink r:id="rId4628" ref="G2254"/>
    <hyperlink r:id="rId4629" ref="S2255"/>
    <hyperlink r:id="rId4630" ref="F2256"/>
    <hyperlink r:id="rId4631" ref="S2256"/>
    <hyperlink r:id="rId4632" ref="F2257"/>
    <hyperlink r:id="rId4633" ref="G2257"/>
    <hyperlink r:id="rId4634" ref="S2257"/>
    <hyperlink r:id="rId4635" ref="F2258"/>
    <hyperlink r:id="rId4636" ref="G2258"/>
    <hyperlink r:id="rId4637" ref="S2258"/>
    <hyperlink r:id="rId4638" ref="F2259"/>
    <hyperlink r:id="rId4639" ref="G2259"/>
    <hyperlink r:id="rId4640" ref="S2259"/>
    <hyperlink r:id="rId4641" ref="F2260"/>
    <hyperlink r:id="rId4642" ref="G2260"/>
    <hyperlink r:id="rId4643" ref="S2260"/>
    <hyperlink r:id="rId4644" ref="F2261"/>
    <hyperlink r:id="rId4645" ref="S2261"/>
    <hyperlink r:id="rId4646" ref="F2262"/>
    <hyperlink r:id="rId4647" ref="S2262"/>
    <hyperlink r:id="rId4648" ref="F2263"/>
    <hyperlink r:id="rId4649" ref="G2263"/>
    <hyperlink r:id="rId4650" ref="S2263"/>
    <hyperlink r:id="rId4651" ref="S2264"/>
    <hyperlink r:id="rId4652" ref="F2265"/>
    <hyperlink r:id="rId4653" ref="S2265"/>
    <hyperlink r:id="rId4654" ref="S2266"/>
    <hyperlink r:id="rId4655" ref="F2267"/>
    <hyperlink r:id="rId4656" ref="G2267"/>
    <hyperlink r:id="rId4657" ref="S2269"/>
    <hyperlink r:id="rId4658" ref="F2270"/>
    <hyperlink r:id="rId4659" ref="S2270"/>
    <hyperlink r:id="rId4660" ref="F2271"/>
    <hyperlink r:id="rId4661" ref="G2271"/>
    <hyperlink r:id="rId4662" ref="S2271"/>
    <hyperlink r:id="rId4663" ref="S2272"/>
    <hyperlink r:id="rId4664" ref="S2273"/>
    <hyperlink r:id="rId4665" ref="S2274"/>
    <hyperlink r:id="rId4666" ref="F2275"/>
    <hyperlink r:id="rId4667" ref="S2275"/>
    <hyperlink r:id="rId4668" ref="F2276"/>
    <hyperlink r:id="rId4669" ref="G2276"/>
    <hyperlink r:id="rId4670" ref="S2276"/>
    <hyperlink r:id="rId4671" ref="C2277"/>
    <hyperlink r:id="rId4672" ref="F2277"/>
    <hyperlink r:id="rId4673" ref="G2277"/>
    <hyperlink r:id="rId4674" ref="S2277"/>
    <hyperlink r:id="rId4675" ref="S2278"/>
    <hyperlink r:id="rId4676" ref="F2279"/>
    <hyperlink r:id="rId4677" ref="S2279"/>
    <hyperlink r:id="rId4678" ref="G2280"/>
    <hyperlink r:id="rId4679" ref="S2280"/>
    <hyperlink r:id="rId4680" ref="C2281"/>
    <hyperlink r:id="rId4681" ref="S2281"/>
    <hyperlink r:id="rId4682" ref="G2282"/>
    <hyperlink r:id="rId4683" ref="S2282"/>
    <hyperlink r:id="rId4684" ref="S2283"/>
    <hyperlink r:id="rId4685" ref="F2284"/>
    <hyperlink r:id="rId4686" ref="S2284"/>
    <hyperlink r:id="rId4687" ref="F2285"/>
    <hyperlink r:id="rId4688" ref="G2285"/>
    <hyperlink r:id="rId4689" ref="S2285"/>
    <hyperlink r:id="rId4690" ref="F2286"/>
    <hyperlink r:id="rId4691" ref="S2286"/>
    <hyperlink r:id="rId4692" ref="S2287"/>
    <hyperlink r:id="rId4693" ref="F2288"/>
    <hyperlink r:id="rId4694" ref="S2288"/>
    <hyperlink r:id="rId4695" ref="F2289"/>
    <hyperlink r:id="rId4696" ref="G2289"/>
    <hyperlink r:id="rId4697" ref="S2289"/>
    <hyperlink r:id="rId4698" ref="F2290"/>
    <hyperlink r:id="rId4699" ref="G2290"/>
    <hyperlink r:id="rId4700" ref="S2290"/>
    <hyperlink r:id="rId4701" ref="F2291"/>
    <hyperlink r:id="rId4702" ref="G2291"/>
    <hyperlink r:id="rId4703" ref="S2291"/>
    <hyperlink r:id="rId4704" ref="F2292"/>
    <hyperlink r:id="rId4705" ref="S2292"/>
    <hyperlink r:id="rId4706" ref="F2293"/>
    <hyperlink r:id="rId4707" ref="G2293"/>
    <hyperlink r:id="rId4708" ref="S2293"/>
    <hyperlink r:id="rId4709" ref="F2294"/>
    <hyperlink r:id="rId4710" ref="G2294"/>
    <hyperlink r:id="rId4711" ref="S2294"/>
    <hyperlink r:id="rId4712" ref="F2295"/>
    <hyperlink r:id="rId4713" ref="G2295"/>
    <hyperlink r:id="rId4714" ref="F2296"/>
    <hyperlink r:id="rId4715" ref="G2296"/>
    <hyperlink r:id="rId4716" ref="S2296"/>
    <hyperlink r:id="rId4717" ref="S2297"/>
    <hyperlink r:id="rId4718" ref="F2298"/>
    <hyperlink r:id="rId4719" ref="G2300"/>
    <hyperlink r:id="rId4720" ref="S2300"/>
    <hyperlink r:id="rId4721" ref="G2301"/>
    <hyperlink r:id="rId4722" ref="S2301"/>
    <hyperlink r:id="rId4723" ref="F2302"/>
    <hyperlink r:id="rId4724" ref="G2303"/>
    <hyperlink r:id="rId4725" ref="F2304"/>
    <hyperlink r:id="rId4726" ref="G2304"/>
    <hyperlink r:id="rId4727" ref="S2304"/>
    <hyperlink r:id="rId4728" ref="F2305"/>
    <hyperlink r:id="rId4729" ref="G2305"/>
    <hyperlink r:id="rId4730" ref="S2305"/>
    <hyperlink r:id="rId4731" ref="F2306"/>
    <hyperlink r:id="rId4732" ref="G2306"/>
    <hyperlink r:id="rId4733" ref="S2306"/>
    <hyperlink r:id="rId4734" ref="F2307"/>
    <hyperlink r:id="rId4735" ref="G2308"/>
    <hyperlink r:id="rId4736" ref="F2309"/>
    <hyperlink r:id="rId4737" ref="S2309"/>
    <hyperlink r:id="rId4738" ref="F2310"/>
    <hyperlink r:id="rId4739" ref="S2310"/>
    <hyperlink r:id="rId4740" ref="G2311"/>
    <hyperlink r:id="rId4741" ref="S2311"/>
    <hyperlink r:id="rId4742" ref="S2312"/>
    <hyperlink r:id="rId4743" ref="F2313"/>
    <hyperlink r:id="rId4744" ref="G2313"/>
    <hyperlink r:id="rId4745" ref="S2313"/>
    <hyperlink r:id="rId4746" ref="F2314"/>
    <hyperlink r:id="rId4747" ref="S2314"/>
    <hyperlink r:id="rId4748" ref="G2315"/>
    <hyperlink r:id="rId4749" ref="S2315"/>
    <hyperlink r:id="rId4750" location=".XhzSizGZch4.twitter" ref="F2316"/>
    <hyperlink r:id="rId4751" ref="S2316"/>
    <hyperlink r:id="rId4752" ref="F2317"/>
    <hyperlink r:id="rId4753" ref="G2317"/>
    <hyperlink r:id="rId4754" ref="S2317"/>
    <hyperlink r:id="rId4755" ref="F2318"/>
    <hyperlink r:id="rId4756" ref="G2318"/>
    <hyperlink r:id="rId4757" ref="S2318"/>
    <hyperlink r:id="rId4758" ref="F2319"/>
    <hyperlink r:id="rId4759" ref="G2319"/>
    <hyperlink r:id="rId4760" ref="S2319"/>
    <hyperlink r:id="rId4761" ref="G2320"/>
    <hyperlink r:id="rId4762" ref="S2320"/>
    <hyperlink r:id="rId4763" ref="F2321"/>
    <hyperlink r:id="rId4764" ref="G2321"/>
    <hyperlink r:id="rId4765" ref="S2321"/>
    <hyperlink r:id="rId4766" ref="F2322"/>
    <hyperlink r:id="rId4767" ref="G2322"/>
    <hyperlink r:id="rId4768" ref="S2322"/>
    <hyperlink r:id="rId4769" ref="F2323"/>
    <hyperlink r:id="rId4770" ref="G2323"/>
    <hyperlink r:id="rId4771" ref="S2323"/>
    <hyperlink r:id="rId4772" ref="F2324"/>
    <hyperlink r:id="rId4773" ref="S2324"/>
    <hyperlink r:id="rId4774" ref="F2325"/>
    <hyperlink r:id="rId4775" ref="G2325"/>
    <hyperlink r:id="rId4776" ref="F2326"/>
    <hyperlink r:id="rId4777" ref="G2326"/>
    <hyperlink r:id="rId4778" ref="S2326"/>
    <hyperlink r:id="rId4779" ref="F2327"/>
    <hyperlink r:id="rId4780" ref="G2327"/>
    <hyperlink r:id="rId4781" ref="S2327"/>
    <hyperlink r:id="rId4782" ref="G2328"/>
    <hyperlink r:id="rId4783" ref="F2329"/>
    <hyperlink r:id="rId4784" ref="G2329"/>
    <hyperlink r:id="rId4785" ref="S2329"/>
    <hyperlink r:id="rId4786" ref="F2330"/>
    <hyperlink r:id="rId4787" ref="G2330"/>
    <hyperlink r:id="rId4788" ref="S2330"/>
    <hyperlink r:id="rId4789" ref="S2331"/>
    <hyperlink r:id="rId4790" ref="F2332"/>
    <hyperlink r:id="rId4791" ref="G2332"/>
    <hyperlink r:id="rId4792" ref="S2332"/>
    <hyperlink r:id="rId4793" ref="F2333"/>
    <hyperlink r:id="rId4794" ref="G2333"/>
    <hyperlink r:id="rId4795" ref="F2334"/>
    <hyperlink r:id="rId4796" ref="S2334"/>
    <hyperlink r:id="rId4797" ref="F2335"/>
    <hyperlink r:id="rId4798" ref="G2335"/>
    <hyperlink r:id="rId4799" ref="S2335"/>
    <hyperlink r:id="rId4800" ref="F2336"/>
    <hyperlink r:id="rId4801" ref="S2336"/>
    <hyperlink r:id="rId4802" ref="F2337"/>
    <hyperlink r:id="rId4803" ref="S2337"/>
    <hyperlink r:id="rId4804" ref="F2338"/>
    <hyperlink r:id="rId4805" ref="G2338"/>
    <hyperlink r:id="rId4806" ref="F2339"/>
    <hyperlink r:id="rId4807" ref="G2339"/>
    <hyperlink r:id="rId4808" ref="S2339"/>
    <hyperlink r:id="rId4809" ref="C2340"/>
    <hyperlink r:id="rId4810" ref="F2340"/>
    <hyperlink r:id="rId4811" ref="G2340"/>
    <hyperlink r:id="rId4812" ref="S2340"/>
    <hyperlink r:id="rId4813" ref="G2341"/>
    <hyperlink r:id="rId4814" ref="S2341"/>
    <hyperlink r:id="rId4815" ref="F2342"/>
    <hyperlink r:id="rId4816" ref="S2342"/>
    <hyperlink r:id="rId4817" ref="F2343"/>
    <hyperlink r:id="rId4818" ref="S2343"/>
    <hyperlink r:id="rId4819" ref="F2344"/>
    <hyperlink r:id="rId4820" ref="S2344"/>
    <hyperlink r:id="rId4821" ref="F2346"/>
    <hyperlink r:id="rId4822" ref="G2346"/>
    <hyperlink r:id="rId4823" ref="S2346"/>
    <hyperlink r:id="rId4824" ref="F2347"/>
    <hyperlink r:id="rId4825" ref="S2347"/>
    <hyperlink r:id="rId4826" ref="G2348"/>
    <hyperlink r:id="rId4827" ref="S2348"/>
    <hyperlink r:id="rId4828" ref="F2349"/>
    <hyperlink r:id="rId4829" ref="S2349"/>
    <hyperlink r:id="rId4830" ref="F2351"/>
    <hyperlink r:id="rId4831" ref="S2351"/>
    <hyperlink r:id="rId4832" ref="F2352"/>
    <hyperlink r:id="rId4833" ref="S2352"/>
    <hyperlink r:id="rId4834" ref="F2353"/>
    <hyperlink r:id="rId4835" ref="G2353"/>
    <hyperlink r:id="rId4836" ref="S2353"/>
    <hyperlink r:id="rId4837" ref="F2354"/>
    <hyperlink r:id="rId4838" ref="G2354"/>
    <hyperlink r:id="rId4839" ref="S2354"/>
    <hyperlink r:id="rId4840" ref="G2355"/>
    <hyperlink r:id="rId4841" ref="S2355"/>
    <hyperlink r:id="rId4842" ref="F2356"/>
    <hyperlink r:id="rId4843" ref="S2356"/>
    <hyperlink r:id="rId4844" ref="F2357"/>
    <hyperlink r:id="rId4845" ref="S2357"/>
    <hyperlink r:id="rId4846" ref="F2359"/>
    <hyperlink r:id="rId4847" ref="G2359"/>
    <hyperlink r:id="rId4848" ref="S2359"/>
    <hyperlink r:id="rId4849" ref="F2360"/>
    <hyperlink r:id="rId4850" ref="S2360"/>
    <hyperlink r:id="rId4851" ref="S2361"/>
    <hyperlink r:id="rId4852" ref="F2362"/>
    <hyperlink r:id="rId4853" ref="S2362"/>
    <hyperlink r:id="rId4854" ref="F2363"/>
    <hyperlink r:id="rId4855" ref="G2363"/>
    <hyperlink r:id="rId4856" ref="S2363"/>
    <hyperlink r:id="rId4857" ref="F2364"/>
    <hyperlink r:id="rId4858" ref="G2364"/>
    <hyperlink r:id="rId4859" ref="S2364"/>
    <hyperlink r:id="rId4860" ref="F2365"/>
    <hyperlink r:id="rId4861" ref="G2365"/>
    <hyperlink r:id="rId4862" ref="S2365"/>
    <hyperlink r:id="rId4863" ref="F2366"/>
    <hyperlink r:id="rId4864" ref="G2366"/>
    <hyperlink r:id="rId4865" ref="S2366"/>
    <hyperlink r:id="rId4866" ref="G2367"/>
    <hyperlink r:id="rId4867" ref="S2367"/>
    <hyperlink r:id="rId4868" ref="F2368"/>
    <hyperlink r:id="rId4869" ref="G2368"/>
    <hyperlink r:id="rId4870" ref="F2369"/>
    <hyperlink r:id="rId4871" ref="G2369"/>
    <hyperlink r:id="rId4872" ref="S2369"/>
    <hyperlink r:id="rId4873" ref="G2370"/>
    <hyperlink r:id="rId4874" ref="S2370"/>
    <hyperlink r:id="rId4875" ref="G2371"/>
    <hyperlink r:id="rId4876" ref="S2371"/>
    <hyperlink r:id="rId4877" ref="S2372"/>
    <hyperlink r:id="rId4878" ref="G2373"/>
    <hyperlink r:id="rId4879" ref="S2373"/>
    <hyperlink r:id="rId4880" ref="G2374"/>
    <hyperlink r:id="rId4881" ref="S2374"/>
    <hyperlink r:id="rId4882" ref="F2375"/>
    <hyperlink r:id="rId4883" ref="S2375"/>
    <hyperlink r:id="rId4884" ref="F2376"/>
    <hyperlink r:id="rId4885" ref="S2376"/>
    <hyperlink r:id="rId4886" ref="F2377"/>
    <hyperlink r:id="rId4887" ref="G2377"/>
    <hyperlink r:id="rId4888" ref="S2377"/>
    <hyperlink r:id="rId4889" ref="G2378"/>
    <hyperlink r:id="rId4890" ref="F2379"/>
    <hyperlink r:id="rId4891" ref="G2379"/>
    <hyperlink r:id="rId4892" ref="S2379"/>
    <hyperlink r:id="rId4893" ref="F2381"/>
    <hyperlink r:id="rId4894" ref="G2381"/>
    <hyperlink r:id="rId4895" ref="S2381"/>
    <hyperlink r:id="rId4896" ref="F2382"/>
    <hyperlink r:id="rId4897" ref="S2382"/>
    <hyperlink r:id="rId4898" ref="G2383"/>
    <hyperlink r:id="rId4899" ref="G2384"/>
    <hyperlink r:id="rId4900" ref="S2384"/>
    <hyperlink r:id="rId4901" ref="F2385"/>
    <hyperlink r:id="rId4902" ref="G2385"/>
    <hyperlink r:id="rId4903" ref="S2385"/>
    <hyperlink r:id="rId4904" ref="F2386"/>
    <hyperlink r:id="rId4905" ref="S2386"/>
    <hyperlink r:id="rId4906" ref="F2387"/>
    <hyperlink r:id="rId4907" ref="G2387"/>
    <hyperlink r:id="rId4908" ref="F2388"/>
    <hyperlink r:id="rId4909" ref="G2388"/>
    <hyperlink r:id="rId4910" ref="F2389"/>
    <hyperlink r:id="rId4911" ref="S2389"/>
    <hyperlink r:id="rId4912" ref="F2390"/>
    <hyperlink r:id="rId4913" ref="G2390"/>
    <hyperlink r:id="rId4914" ref="S2390"/>
    <hyperlink r:id="rId4915" ref="F2391"/>
    <hyperlink r:id="rId4916" ref="S2391"/>
    <hyperlink r:id="rId4917" ref="F2392"/>
    <hyperlink r:id="rId4918" ref="G2392"/>
    <hyperlink r:id="rId4919" ref="S2392"/>
    <hyperlink r:id="rId4920" ref="F2393"/>
    <hyperlink r:id="rId4921" ref="S2393"/>
    <hyperlink r:id="rId4922" ref="F2394"/>
    <hyperlink r:id="rId4923" ref="S2394"/>
    <hyperlink r:id="rId4924" ref="F2395"/>
    <hyperlink r:id="rId4925" ref="G2395"/>
    <hyperlink r:id="rId4926" ref="S2395"/>
    <hyperlink r:id="rId4927" ref="F2396"/>
    <hyperlink r:id="rId4928" ref="S2396"/>
    <hyperlink r:id="rId4929" ref="G2397"/>
    <hyperlink r:id="rId4930" ref="G2398"/>
    <hyperlink r:id="rId4931" ref="S2398"/>
    <hyperlink r:id="rId4932" ref="G2399"/>
    <hyperlink r:id="rId4933" ref="F2400"/>
    <hyperlink r:id="rId4934" ref="S2400"/>
    <hyperlink r:id="rId4935" ref="F2401"/>
    <hyperlink r:id="rId4936" ref="G2401"/>
    <hyperlink r:id="rId4937" ref="S2401"/>
    <hyperlink r:id="rId4938" ref="F2402"/>
    <hyperlink r:id="rId4939" ref="S2402"/>
    <hyperlink r:id="rId4940" ref="F2403"/>
    <hyperlink r:id="rId4941" ref="S2403"/>
    <hyperlink r:id="rId4942" ref="G2404"/>
    <hyperlink r:id="rId4943" ref="S2404"/>
    <hyperlink r:id="rId4944" ref="F2405"/>
    <hyperlink r:id="rId4945" ref="G2405"/>
    <hyperlink r:id="rId4946" ref="S2405"/>
    <hyperlink r:id="rId4947" ref="F2406"/>
    <hyperlink r:id="rId4948" ref="G2406"/>
    <hyperlink r:id="rId4949" ref="S2406"/>
    <hyperlink r:id="rId4950" ref="G2407"/>
    <hyperlink r:id="rId4951" ref="S2407"/>
    <hyperlink r:id="rId4952" ref="F2408"/>
    <hyperlink r:id="rId4953" ref="S2408"/>
    <hyperlink r:id="rId4954" ref="F2409"/>
    <hyperlink r:id="rId4955" ref="S2409"/>
    <hyperlink r:id="rId4956" ref="F2410"/>
    <hyperlink r:id="rId4957" ref="S2410"/>
    <hyperlink r:id="rId4958" ref="G2411"/>
    <hyperlink r:id="rId4959" ref="S2411"/>
    <hyperlink r:id="rId4960" ref="F2412"/>
    <hyperlink r:id="rId4961" ref="S2412"/>
    <hyperlink r:id="rId4962" ref="F2413"/>
    <hyperlink r:id="rId4963" ref="G2413"/>
    <hyperlink r:id="rId4964" ref="S2413"/>
    <hyperlink r:id="rId4965" ref="G2414"/>
    <hyperlink r:id="rId4966" ref="S2414"/>
    <hyperlink r:id="rId4967" ref="G2415"/>
    <hyperlink r:id="rId4968" ref="S2415"/>
    <hyperlink r:id="rId4969" ref="F2416"/>
    <hyperlink r:id="rId4970" ref="G2416"/>
    <hyperlink r:id="rId4971" ref="S2416"/>
    <hyperlink r:id="rId4972" ref="F2417"/>
    <hyperlink r:id="rId4973" ref="F2418"/>
    <hyperlink r:id="rId4974" ref="S2418"/>
    <hyperlink r:id="rId4975" ref="F2419"/>
    <hyperlink r:id="rId4976" ref="G2419"/>
    <hyperlink r:id="rId4977" ref="S2419"/>
    <hyperlink r:id="rId4978" ref="G2420"/>
    <hyperlink r:id="rId4979" ref="F2421"/>
    <hyperlink r:id="rId4980" ref="G2421"/>
    <hyperlink r:id="rId4981" ref="S2421"/>
    <hyperlink r:id="rId4982" ref="S2422"/>
    <hyperlink r:id="rId4983" ref="F2423"/>
    <hyperlink r:id="rId4984" ref="F2424"/>
    <hyperlink r:id="rId4985" ref="S2424"/>
    <hyperlink r:id="rId4986" ref="S2425"/>
    <hyperlink r:id="rId4987" ref="F2426"/>
    <hyperlink r:id="rId4988" ref="G2426"/>
    <hyperlink r:id="rId4989" ref="S2426"/>
    <hyperlink r:id="rId4990" ref="F2427"/>
    <hyperlink r:id="rId4991" ref="G2427"/>
    <hyperlink r:id="rId4992" ref="S2427"/>
    <hyperlink r:id="rId4993" ref="F2428"/>
    <hyperlink r:id="rId4994" ref="S2428"/>
    <hyperlink r:id="rId4995" ref="F2429"/>
    <hyperlink r:id="rId4996" ref="S2429"/>
    <hyperlink r:id="rId4997" ref="F2430"/>
    <hyperlink r:id="rId4998" ref="S2430"/>
    <hyperlink r:id="rId4999" ref="F2431"/>
    <hyperlink r:id="rId5000" ref="S2431"/>
    <hyperlink r:id="rId5001" ref="G2432"/>
    <hyperlink r:id="rId5002" ref="G2433"/>
    <hyperlink r:id="rId5003" ref="S2433"/>
    <hyperlink r:id="rId5004" ref="G2434"/>
    <hyperlink r:id="rId5005" ref="S2434"/>
    <hyperlink r:id="rId5006" ref="F2435"/>
    <hyperlink r:id="rId5007" ref="G2435"/>
    <hyperlink r:id="rId5008" ref="S2435"/>
    <hyperlink r:id="rId5009" ref="F2436"/>
    <hyperlink r:id="rId5010" ref="S2436"/>
    <hyperlink r:id="rId5011" ref="F2437"/>
    <hyperlink r:id="rId5012" ref="G2437"/>
    <hyperlink r:id="rId5013" ref="S2437"/>
    <hyperlink r:id="rId5014" ref="F2439"/>
    <hyperlink r:id="rId5015" ref="G2439"/>
    <hyperlink r:id="rId5016" ref="S2439"/>
    <hyperlink r:id="rId5017" ref="F2440"/>
    <hyperlink r:id="rId5018" ref="S2440"/>
    <hyperlink r:id="rId5019" ref="F2441"/>
    <hyperlink r:id="rId5020" ref="G2441"/>
    <hyperlink r:id="rId5021" ref="S2441"/>
    <hyperlink r:id="rId5022" ref="F2442"/>
    <hyperlink r:id="rId5023" ref="S2442"/>
    <hyperlink r:id="rId5024" ref="F2443"/>
    <hyperlink r:id="rId5025" ref="F2444"/>
    <hyperlink r:id="rId5026" ref="G2444"/>
    <hyperlink r:id="rId5027" ref="S2444"/>
    <hyperlink r:id="rId5028" ref="F2446"/>
    <hyperlink r:id="rId5029" ref="S2446"/>
    <hyperlink r:id="rId5030" ref="F2447"/>
    <hyperlink r:id="rId5031" ref="S2447"/>
    <hyperlink r:id="rId5032" ref="F2449"/>
    <hyperlink r:id="rId5033" ref="G2449"/>
    <hyperlink r:id="rId5034" ref="Q2449"/>
    <hyperlink r:id="rId5035" ref="S2449"/>
    <hyperlink r:id="rId5036" ref="F2450"/>
    <hyperlink r:id="rId5037" ref="G2450"/>
    <hyperlink r:id="rId5038" ref="S2450"/>
    <hyperlink r:id="rId5039" ref="F2451"/>
    <hyperlink r:id="rId5040" ref="G2451"/>
    <hyperlink r:id="rId5041" ref="S2451"/>
    <hyperlink r:id="rId5042" ref="F2452"/>
    <hyperlink r:id="rId5043" ref="S2452"/>
    <hyperlink r:id="rId5044" ref="F2453"/>
    <hyperlink r:id="rId5045" ref="S2453"/>
    <hyperlink r:id="rId5046" ref="G2454"/>
    <hyperlink r:id="rId5047" ref="S2454"/>
    <hyperlink r:id="rId5048" ref="G2455"/>
    <hyperlink r:id="rId5049" ref="F2456"/>
    <hyperlink r:id="rId5050" ref="G2456"/>
    <hyperlink r:id="rId5051" ref="F2457"/>
    <hyperlink r:id="rId5052" ref="G2457"/>
    <hyperlink r:id="rId5053" ref="S2457"/>
    <hyperlink r:id="rId5054" ref="G2458"/>
    <hyperlink r:id="rId5055" ref="F2459"/>
    <hyperlink r:id="rId5056" ref="S2459"/>
    <hyperlink r:id="rId5057" ref="G2460"/>
    <hyperlink r:id="rId5058" ref="S2460"/>
    <hyperlink r:id="rId5059" ref="F2461"/>
    <hyperlink r:id="rId5060" ref="G2461"/>
    <hyperlink r:id="rId5061" ref="S2461"/>
    <hyperlink r:id="rId5062" ref="F2462"/>
    <hyperlink r:id="rId5063" ref="S2462"/>
    <hyperlink r:id="rId5064" ref="F2463"/>
    <hyperlink r:id="rId5065" ref="G2463"/>
    <hyperlink r:id="rId5066" ref="S2463"/>
    <hyperlink r:id="rId5067" ref="G2464"/>
    <hyperlink r:id="rId5068" ref="S2464"/>
    <hyperlink r:id="rId5069" ref="G2465"/>
    <hyperlink r:id="rId5070" location=".XhyD6mkvGjQ.twitter" ref="F2466"/>
    <hyperlink r:id="rId5071" ref="S2466"/>
    <hyperlink r:id="rId5072" ref="F2467"/>
    <hyperlink r:id="rId5073" ref="G2467"/>
    <hyperlink r:id="rId5074" ref="F2468"/>
    <hyperlink r:id="rId5075" ref="G2468"/>
    <hyperlink r:id="rId5076" ref="S2468"/>
    <hyperlink r:id="rId5077" ref="F2469"/>
    <hyperlink r:id="rId5078" ref="S2469"/>
    <hyperlink r:id="rId5079" ref="G2470"/>
    <hyperlink r:id="rId5080" ref="F2471"/>
    <hyperlink r:id="rId5081" ref="S2471"/>
    <hyperlink r:id="rId5082" ref="F2472"/>
    <hyperlink r:id="rId5083" ref="G2472"/>
    <hyperlink r:id="rId5084" ref="S2472"/>
    <hyperlink r:id="rId5085" ref="S2473"/>
    <hyperlink r:id="rId5086" ref="F2474"/>
    <hyperlink r:id="rId5087" ref="G2474"/>
    <hyperlink r:id="rId5088" ref="S2474"/>
    <hyperlink r:id="rId5089" ref="F2475"/>
    <hyperlink r:id="rId5090" ref="S2475"/>
  </hyperlinks>
  <drawing r:id="rId5091"/>
  <tableParts count="1">
    <tablePart r:id="rId509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v>43848.94379158565</v>
      </c>
      <c r="B2" s="1" t="s">
        <v>2</v>
      </c>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